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CE40hxk4_dev_board. " sheetId="1" state="visible" r:id="rId2"/>
  </sheets>
  <definedNames>
    <definedName function="false" hidden="false" name="BoardQty" vbProcedure="false">'iCE40hxk4_dev_board. '!$I$1</definedName>
    <definedName function="false" hidden="false" name="digikey_part_data" vbProcedure="false">'iCE40hxk4_dev_board. '!$J$5:$O$85</definedName>
    <definedName function="false" hidden="false" name="farnell_part_data" vbProcedure="false">'iCE40hxk4_dev_board. '!$P$5:$U$85</definedName>
    <definedName function="false" hidden="false" name="global_part_data" vbProcedure="false">'iCE40hxk4_dev_board. '!$A$5:$I$85</definedName>
    <definedName function="false" hidden="false" name="mouser_part_data" vbProcedure="false">'iCE40hxk4_dev_board. '!$V$5:$AA$85</definedName>
    <definedName function="false" hidden="false" name="newark_part_data" vbProcedure="false">'iCE40hxk4_dev_board. '!$AB$5:$AG$85</definedName>
    <definedName function="false" hidden="false" name="rs_part_data" vbProcedure="false">'iCE40hxk4_dev_board. '!$AH$5:$AM$85</definedName>
    <definedName function="false" hidden="false" name="TotalCost" vbProcedure="false">'iCE40hxk4_dev_board.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<sst xmlns="http://schemas.openxmlformats.org/spreadsheetml/2006/main" count="935" uniqueCount="502">
  <si>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</si>
  <si>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</si>
  <si>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</si>
  <si>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</si>
  <si>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</si>
  <si>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</si>
  <si>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</si>
  <si>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</si>
  <si>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</si>
  <si>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</si>
  <si>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</si>
  <si>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</si>
  <si>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</si>
  <si>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</si>
  <si>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</si>
  <si>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</si>
  <si>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</si>
  <si>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</si>
  <si>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</si>
  <si>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</si>
  <si>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</si>
  <si>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</si>
  <si>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R213-R231</t>
  </si>
  <si>
    <t xml:space="preserve">0R</t>
  </si>
  <si>
    <t xml:space="preserve">Resistors_SMD:R_0603_HandSoldering</t>
  </si>
  <si>
    <t xml:space="preserve">RC1206JR-070RL</t>
  </si>
  <si>
    <t xml:space="preserve">311-0.0ERCT-ND</t>
  </si>
  <si>
    <t xml:space="preserve">Link</t>
  </si>
  <si>
    <t xml:space="preserve">9240276</t>
  </si>
  <si>
    <t xml:space="preserve">603-RC1206JR-070RL</t>
  </si>
  <si>
    <t xml:space="preserve">68R0297</t>
  </si>
  <si>
    <t xml:space="preserve">R828,R831</t>
  </si>
  <si>
    <t xml:space="preserve">47K</t>
  </si>
  <si>
    <t xml:space="preserve">RC0603FR-0747KL</t>
  </si>
  <si>
    <t xml:space="preserve">311-47.0KHRCT-ND</t>
  </si>
  <si>
    <t xml:space="preserve">9238689</t>
  </si>
  <si>
    <t xml:space="preserve">603-RC0603FR-0747KL</t>
  </si>
  <si>
    <t xml:space="preserve">26M6759</t>
  </si>
  <si>
    <t xml:space="preserve">C601,C603,C605,C606,C608,C612,C614,C616,C618,C619,C621,C623,C625,C627,C629,C631,C633,C635,C905,C1002,C1003,C1005,C1006,C1010,C1011,C1018,C1101,C1102</t>
  </si>
  <si>
    <t xml:space="preserve">100nF</t>
  </si>
  <si>
    <t xml:space="preserve">Capacitors_SMD:C_0603_HandSoldering</t>
  </si>
  <si>
    <t xml:space="preserve">C0603C104K3RACTU</t>
  </si>
  <si>
    <t xml:space="preserve">399-1281-1-ND</t>
  </si>
  <si>
    <t xml:space="preserve">1650835</t>
  </si>
  <si>
    <t xml:space="preserve">80-C0603C104K3R</t>
  </si>
  <si>
    <t xml:space="preserve">64K2837</t>
  </si>
  <si>
    <t xml:space="preserve">147-538</t>
  </si>
  <si>
    <t xml:space="preserve">R1111,R1112</t>
  </si>
  <si>
    <t xml:space="preserve">330R</t>
  </si>
  <si>
    <t xml:space="preserve">RC0603FR-07330RL</t>
  </si>
  <si>
    <t xml:space="preserve">311-330HRCT-ND</t>
  </si>
  <si>
    <t xml:space="preserve">9238425</t>
  </si>
  <si>
    <t xml:space="preserve">603-RC0603FR-07330RL</t>
  </si>
  <si>
    <t xml:space="preserve">75X0150</t>
  </si>
  <si>
    <t xml:space="preserve">U205</t>
  </si>
  <si>
    <t xml:space="preserve">FT2232H</t>
  </si>
  <si>
    <t xml:space="preserve">Housings_QFP:LQFP-64_10x10mm_Pitch0.5mm</t>
  </si>
  <si>
    <t xml:space="preserve">FT2232HL</t>
  </si>
  <si>
    <t xml:space="preserve">768-1024-1-ND</t>
  </si>
  <si>
    <t xml:space="preserve">1697461</t>
  </si>
  <si>
    <t xml:space="preserve">895-FT2232HL-TRAY</t>
  </si>
  <si>
    <t xml:space="preserve">80P4235</t>
  </si>
  <si>
    <t xml:space="preserve">687-7720</t>
  </si>
  <si>
    <t xml:space="preserve">C610,C620,C901,C902</t>
  </si>
  <si>
    <t xml:space="preserve">10uF</t>
  </si>
  <si>
    <t xml:space="preserve">GRM188R60J106ME47J</t>
  </si>
  <si>
    <t xml:space="preserve">490-6405-1-ND</t>
  </si>
  <si>
    <t xml:space="preserve">2611921</t>
  </si>
  <si>
    <t xml:space="preserve">81-GRM188R60J106ME7J</t>
  </si>
  <si>
    <t xml:space="preserve">96Y9254</t>
  </si>
  <si>
    <t xml:space="preserve">815-1355</t>
  </si>
  <si>
    <t xml:space="preserve">R202,R204,R205</t>
  </si>
  <si>
    <t xml:space="preserve">1K5</t>
  </si>
  <si>
    <t xml:space="preserve">CRCW06031K50JNEA</t>
  </si>
  <si>
    <t xml:space="preserve">541-1.5KGCT-ND</t>
  </si>
  <si>
    <t xml:space="preserve">2616745</t>
  </si>
  <si>
    <t xml:space="preserve">71-CRCW0603J-1.5K-E3</t>
  </si>
  <si>
    <t xml:space="preserve">59M6753</t>
  </si>
  <si>
    <t xml:space="preserve">830-6668</t>
  </si>
  <si>
    <t xml:space="preserve">D1001,D1003</t>
  </si>
  <si>
    <t xml:space="preserve">LM4040DYM3-2.5-TR</t>
  </si>
  <si>
    <t xml:space="preserve">TO_SOT_Packages_SMD:SOT-23</t>
  </si>
  <si>
    <t xml:space="preserve">576-1047-1-ND</t>
  </si>
  <si>
    <t xml:space="preserve">2509865</t>
  </si>
  <si>
    <t xml:space="preserve">998-LM4040DYM3-2.5TR</t>
  </si>
  <si>
    <t xml:space="preserve">91Y4892</t>
  </si>
  <si>
    <t xml:space="preserve">R1119,R1120</t>
  </si>
  <si>
    <t xml:space="preserve">6K8</t>
  </si>
  <si>
    <t xml:space="preserve">RC0603FR-076K8L</t>
  </si>
  <si>
    <t xml:space="preserve">311-6.80KHRCT-ND</t>
  </si>
  <si>
    <t xml:space="preserve">9238581</t>
  </si>
  <si>
    <t xml:space="preserve">603-RC0603FR-076K8L</t>
  </si>
  <si>
    <t xml:space="preserve">68R0109</t>
  </si>
  <si>
    <t xml:space="preserve">U201</t>
  </si>
  <si>
    <t xml:space="preserve">MIC2005A-2YM5</t>
  </si>
  <si>
    <t xml:space="preserve">TO_SOT_Packages_SMD:SOT-23-5_HandSoldering</t>
  </si>
  <si>
    <t xml:space="preserve">576-3464-1-ND</t>
  </si>
  <si>
    <t xml:space="preserve">2431853</t>
  </si>
  <si>
    <t xml:space="preserve">998-MIC2005A-2YM5TR</t>
  </si>
  <si>
    <t xml:space="preserve">11AC9662</t>
  </si>
  <si>
    <t xml:space="preserve">727-5113</t>
  </si>
  <si>
    <t xml:space="preserve">C704,C707</t>
  </si>
  <si>
    <t xml:space="preserve">1-3pF</t>
  </si>
  <si>
    <t xml:space="preserve">Capacitors_THT:CP_Radial_Tantal_D6.0mm_P5.00mm</t>
  </si>
  <si>
    <t xml:space="preserve">GKG3R015</t>
  </si>
  <si>
    <t xml:space="preserve">SG9031-ND</t>
  </si>
  <si>
    <t xml:space="preserve">659-GKG3R015</t>
  </si>
  <si>
    <t xml:space="preserve">C701,C702</t>
  </si>
  <si>
    <t xml:space="preserve">100pF</t>
  </si>
  <si>
    <t xml:space="preserve">GRM1885C1H101GA01J</t>
  </si>
  <si>
    <t xml:space="preserve">490-10703-1-ND</t>
  </si>
  <si>
    <t xml:space="preserve">81-GRM1885C1H101GA1J</t>
  </si>
  <si>
    <t xml:space="preserve">L1001-L1007</t>
  </si>
  <si>
    <t xml:space="preserve">L_BLM18AG121SN1D</t>
  </si>
  <si>
    <t xml:space="preserve">Inductors_SMD:L_0603_HandSoldering</t>
  </si>
  <si>
    <t xml:space="preserve">BLM18AG121SN1D</t>
  </si>
  <si>
    <t xml:space="preserve">490-1011-1-ND</t>
  </si>
  <si>
    <t xml:space="preserve">1515672</t>
  </si>
  <si>
    <t xml:space="preserve">81-BLM11A121S</t>
  </si>
  <si>
    <t xml:space="preserve">73M9051</t>
  </si>
  <si>
    <t xml:space="preserve">202-3550</t>
  </si>
  <si>
    <t xml:space="preserve">C1001,C1004,C1007-C1009,C1012-C1017</t>
  </si>
  <si>
    <t xml:space="preserve">Capacitors_SMD:C_1206_HandSoldering</t>
  </si>
  <si>
    <t xml:space="preserve">TAJA106K016TNJ</t>
  </si>
  <si>
    <t xml:space="preserve">478-10744-1-ND</t>
  </si>
  <si>
    <t xml:space="preserve">581-TAJA106K016TNJ</t>
  </si>
  <si>
    <t xml:space="preserve">60R5827</t>
  </si>
  <si>
    <t xml:space="preserve">SW1101</t>
  </si>
  <si>
    <t xml:space="preserve">SW_Push</t>
  </si>
  <si>
    <t xml:space="preserve">Buttons_Switches_THT:SW_PUSH_6mm_h4.3mm</t>
  </si>
  <si>
    <t xml:space="preserve">1301.9309</t>
  </si>
  <si>
    <t xml:space="preserve">486-3464-ND</t>
  </si>
  <si>
    <t xml:space="preserve">1217779</t>
  </si>
  <si>
    <t xml:space="preserve">693-1301.9309</t>
  </si>
  <si>
    <t xml:space="preserve">32C4748</t>
  </si>
  <si>
    <t xml:space="preserve">J103,J104</t>
  </si>
  <si>
    <t xml:space="preserve">CONN_COAXIAL</t>
  </si>
  <si>
    <t xml:space="preserve">library:BNC_1-1337543-0</t>
  </si>
  <si>
    <t xml:space="preserve">1-1337543-0</t>
  </si>
  <si>
    <t xml:space="preserve">A97553-ND</t>
  </si>
  <si>
    <t xml:space="preserve">1020955</t>
  </si>
  <si>
    <t xml:space="preserve">571-1-1337543-0</t>
  </si>
  <si>
    <t xml:space="preserve">63K9785</t>
  </si>
  <si>
    <t xml:space="preserve">512-1225</t>
  </si>
  <si>
    <t xml:space="preserve">D1004,D1005</t>
  </si>
  <si>
    <t xml:space="preserve">D_Schottky_BAT54-7-F</t>
  </si>
  <si>
    <t xml:space="preserve">Diodes_SMD:D_SOT-23_ANK</t>
  </si>
  <si>
    <t xml:space="preserve">BAT54-7-F</t>
  </si>
  <si>
    <t xml:space="preserve">BAT54-FDICT-ND</t>
  </si>
  <si>
    <t xml:space="preserve">2306003</t>
  </si>
  <si>
    <t xml:space="preserve">621-BAT54-F</t>
  </si>
  <si>
    <t xml:space="preserve">65W8455</t>
  </si>
  <si>
    <t xml:space="preserve">738-4829</t>
  </si>
  <si>
    <t xml:space="preserve">C205,C207,C213,C215</t>
  </si>
  <si>
    <t xml:space="preserve">4.7uF</t>
  </si>
  <si>
    <t xml:space="preserve">TMCMA1A475MTRF</t>
  </si>
  <si>
    <t xml:space="preserve">74-TMCMA1A475MTRF</t>
  </si>
  <si>
    <t xml:space="preserve">R827,R830,R1115,R1118</t>
  </si>
  <si>
    <t xml:space="preserve">1K</t>
  </si>
  <si>
    <t xml:space="preserve">RC0603FR-071KL</t>
  </si>
  <si>
    <t xml:space="preserve">311-1.00KHRCT-ND</t>
  </si>
  <si>
    <t xml:space="preserve">9238484</t>
  </si>
  <si>
    <t xml:space="preserve">603-RC0603FR-071KL</t>
  </si>
  <si>
    <t xml:space="preserve">68R0042</t>
  </si>
  <si>
    <t xml:space="preserve">R809,R810,R813,R814,R816,R819,R822,R825</t>
  </si>
  <si>
    <t xml:space="preserve">1K8</t>
  </si>
  <si>
    <t xml:space="preserve">RC0603FR-071K8L</t>
  </si>
  <si>
    <t xml:space="preserve">311-1.80KHRCT-ND</t>
  </si>
  <si>
    <t xml:space="preserve">9238514</t>
  </si>
  <si>
    <t xml:space="preserve">603-RC0603FR-071K8L</t>
  </si>
  <si>
    <t xml:space="preserve">12AC2123</t>
  </si>
  <si>
    <t xml:space="preserve">R805-R808,R1010,R1011</t>
  </si>
  <si>
    <t xml:space="preserve">470R</t>
  </si>
  <si>
    <t xml:space="preserve">RC0603FR-07470RL</t>
  </si>
  <si>
    <t xml:space="preserve">311-470HRCT-ND</t>
  </si>
  <si>
    <t xml:space="preserve">2413707</t>
  </si>
  <si>
    <t xml:space="preserve">603-RC0603FR-07470RL</t>
  </si>
  <si>
    <t xml:space="preserve">68R0099</t>
  </si>
  <si>
    <t xml:space="preserve">R1121,R1122</t>
  </si>
  <si>
    <t xml:space="preserve">62K</t>
  </si>
  <si>
    <t xml:space="preserve">RC0603FR-0762KL</t>
  </si>
  <si>
    <t xml:space="preserve">311-62.0KHRCT-ND</t>
  </si>
  <si>
    <t xml:space="preserve">603-RC0603FR-0762KL</t>
  </si>
  <si>
    <t xml:space="preserve">66R2519</t>
  </si>
  <si>
    <t xml:space="preserve">U1104</t>
  </si>
  <si>
    <t xml:space="preserve">MCP4716</t>
  </si>
  <si>
    <t xml:space="preserve">TO_SOT_Packages_SMD:SOT-23-6</t>
  </si>
  <si>
    <t xml:space="preserve">MCP4716A0T-E/CH</t>
  </si>
  <si>
    <t xml:space="preserve">MCP4716A0T-E/CHCT-ND</t>
  </si>
  <si>
    <t xml:space="preserve">1925045</t>
  </si>
  <si>
    <t xml:space="preserve">579-MCP4716A0TECH</t>
  </si>
  <si>
    <t xml:space="preserve">58T2010</t>
  </si>
  <si>
    <t xml:space="preserve">738-7124</t>
  </si>
  <si>
    <t xml:space="preserve">U1103</t>
  </si>
  <si>
    <t xml:space="preserve">MCP4716A1T-E/CH</t>
  </si>
  <si>
    <t xml:space="preserve">MCP4716A1T-E/CHCT-ND</t>
  </si>
  <si>
    <t xml:space="preserve">579-MCP4716A1TECH</t>
  </si>
  <si>
    <t xml:space="preserve">823-0959</t>
  </si>
  <si>
    <t xml:space="preserve">U901</t>
  </si>
  <si>
    <t xml:space="preserve">LM2776DBVR</t>
  </si>
  <si>
    <t xml:space="preserve">296-43957-1-ND</t>
  </si>
  <si>
    <t xml:space="preserve">2498456</t>
  </si>
  <si>
    <t xml:space="preserve">595-LM2776DBVR</t>
  </si>
  <si>
    <t xml:space="preserve">53Y0672</t>
  </si>
  <si>
    <t xml:space="preserve">D201,D208</t>
  </si>
  <si>
    <t xml:space="preserve">D_Schottky_CDBURT0530LL-HF</t>
  </si>
  <si>
    <t xml:space="preserve">Diodes_SMD:D_0603</t>
  </si>
  <si>
    <t xml:space="preserve">CDBURT0530LL-HF</t>
  </si>
  <si>
    <t xml:space="preserve">641-1520-1-ND</t>
  </si>
  <si>
    <t xml:space="preserve">750-CDBURT0530LL-HF</t>
  </si>
  <si>
    <t xml:space="preserve">J1005</t>
  </si>
  <si>
    <t xml:space="preserve">USB_EXT</t>
  </si>
  <si>
    <t xml:space="preserve">library:USB_Micro-B_47642-0001</t>
  </si>
  <si>
    <t xml:space="preserve">47642-0001</t>
  </si>
  <si>
    <t xml:space="preserve">WM1398CT-ND</t>
  </si>
  <si>
    <t xml:space="preserve">2396171</t>
  </si>
  <si>
    <t xml:space="preserve">538-47642-0001</t>
  </si>
  <si>
    <t xml:space="preserve">78R2131</t>
  </si>
  <si>
    <t xml:space="preserve">896-7419</t>
  </si>
  <si>
    <t xml:space="preserve">C302,C304,C315,C317</t>
  </si>
  <si>
    <t xml:space="preserve">D203</t>
  </si>
  <si>
    <t xml:space="preserve">RED</t>
  </si>
  <si>
    <t xml:space="preserve">LEDs:LED_0603</t>
  </si>
  <si>
    <t xml:space="preserve">APTD1608LSURCK</t>
  </si>
  <si>
    <t xml:space="preserve">754-2038-1-ND</t>
  </si>
  <si>
    <t xml:space="preserve">604-APTD1608LSURCK</t>
  </si>
  <si>
    <t xml:space="preserve">J102</t>
  </si>
  <si>
    <t xml:space="preserve">Jack Estereo</t>
  </si>
  <si>
    <t xml:space="preserve">library:KobiConn_161-3509-E_Jack_3.5mm</t>
  </si>
  <si>
    <t xml:space="preserve">KobiConn_161-3509-E</t>
  </si>
  <si>
    <t xml:space="preserve">161-3509-E</t>
  </si>
  <si>
    <t xml:space="preserve">U902</t>
  </si>
  <si>
    <t xml:space="preserve">TCR2EF13,LM</t>
  </si>
  <si>
    <t xml:space="preserve">library:SC-74(5-pins)</t>
  </si>
  <si>
    <t xml:space="preserve">TCR2EF13LM(CTCT-ND</t>
  </si>
  <si>
    <t xml:space="preserve">757-TCR2EF13LM</t>
  </si>
  <si>
    <t xml:space="preserve">C201,C204,C206,C208,C209,C216-C224,C301,C305,C307-C309,C311,C313,C314,C316,C401-C405,C407,C501-C510</t>
  </si>
  <si>
    <t xml:space="preserve">C210-C212</t>
  </si>
  <si>
    <t xml:space="preserve">2.2uF</t>
  </si>
  <si>
    <t xml:space="preserve">Capacitors_SMD:C_0805_HandSoldering</t>
  </si>
  <si>
    <t xml:space="preserve">GRM21BR71A225KA01K</t>
  </si>
  <si>
    <t xml:space="preserve">490-11596-1-ND</t>
  </si>
  <si>
    <t xml:space="preserve">81-GRM21BR71A225KA1K</t>
  </si>
  <si>
    <t xml:space="preserve">106-757</t>
  </si>
  <si>
    <t xml:space="preserve">C214</t>
  </si>
  <si>
    <t xml:space="preserve">GRM21BR71A475KE51L</t>
  </si>
  <si>
    <t xml:space="preserve">GRM21BR71A475KE51L-ND</t>
  </si>
  <si>
    <t xml:space="preserve">81-GRM21BR71A475KE1L</t>
  </si>
  <si>
    <t xml:space="preserve">U203</t>
  </si>
  <si>
    <t xml:space="preserve">93LC56BT-I/OT</t>
  </si>
  <si>
    <t xml:space="preserve">TO_SOT_Packages_SMD:SOT-23-6_Handsoldering</t>
  </si>
  <si>
    <t xml:space="preserve">93LC56BT-I/OTCT-ND</t>
  </si>
  <si>
    <t xml:space="preserve">1556165</t>
  </si>
  <si>
    <t xml:space="preserve">579-93LC56BT-I/OT</t>
  </si>
  <si>
    <t xml:space="preserve">30H4760</t>
  </si>
  <si>
    <t xml:space="preserve">454-343</t>
  </si>
  <si>
    <t xml:space="preserve">U1101,U1102,U1105,U1106</t>
  </si>
  <si>
    <t xml:space="preserve">MIC7300</t>
  </si>
  <si>
    <t xml:space="preserve">TO_SOT_Packages_SMD:SOT-23-5</t>
  </si>
  <si>
    <t xml:space="preserve">MIC7300YM5-TR</t>
  </si>
  <si>
    <t xml:space="preserve">576-1319-1-ND</t>
  </si>
  <si>
    <t xml:space="preserve">2510429</t>
  </si>
  <si>
    <t xml:space="preserve">998-MIC7300YM5TR</t>
  </si>
  <si>
    <t xml:space="preserve">72Y5351</t>
  </si>
  <si>
    <t xml:space="preserve">910-1874</t>
  </si>
  <si>
    <t xml:space="preserve">R401-R408</t>
  </si>
  <si>
    <t xml:space="preserve">680R</t>
  </si>
  <si>
    <t xml:space="preserve">RC0603FR-07680RL</t>
  </si>
  <si>
    <t xml:space="preserve">311-680HRCT-ND</t>
  </si>
  <si>
    <t xml:space="preserve">9238468</t>
  </si>
  <si>
    <t xml:space="preserve">603-RC0603FR-07680RL</t>
  </si>
  <si>
    <t xml:space="preserve">68R0112</t>
  </si>
  <si>
    <t xml:space="preserve">D301</t>
  </si>
  <si>
    <t xml:space="preserve">D_BAS21,215</t>
  </si>
  <si>
    <t xml:space="preserve">BAS21,215</t>
  </si>
  <si>
    <t xml:space="preserve">1727-2889-1-ND</t>
  </si>
  <si>
    <t xml:space="preserve">8734267</t>
  </si>
  <si>
    <t xml:space="preserve">771-BAS21-T/R</t>
  </si>
  <si>
    <t xml:space="preserve">75R4934</t>
  </si>
  <si>
    <t xml:space="preserve">738-4803</t>
  </si>
  <si>
    <t xml:space="preserve">J101,J601,J602</t>
  </si>
  <si>
    <t xml:space="preserve">CONN_01X02</t>
  </si>
  <si>
    <t xml:space="preserve">Pin_Headers:Pin_Header_Straight_1x02_Pitch1.27mm</t>
  </si>
  <si>
    <t xml:space="preserve">M50-3030242</t>
  </si>
  <si>
    <t xml:space="preserve">952-3574-ND</t>
  </si>
  <si>
    <t xml:space="preserve">855-M50-3030242</t>
  </si>
  <si>
    <t xml:space="preserve">C303,C306</t>
  </si>
  <si>
    <t xml:space="preserve">1uF</t>
  </si>
  <si>
    <t xml:space="preserve">C0603C105K8PACTU</t>
  </si>
  <si>
    <t xml:space="preserve">399-3118-1-ND</t>
  </si>
  <si>
    <t xml:space="preserve">9227776</t>
  </si>
  <si>
    <t xml:space="preserve">80-C0603C105K8P</t>
  </si>
  <si>
    <t xml:space="preserve">70K9090</t>
  </si>
  <si>
    <t xml:space="preserve">461-2708</t>
  </si>
  <si>
    <t xml:space="preserve">Xtal201,Xtal401</t>
  </si>
  <si>
    <t xml:space="preserve">LFSPXO019966</t>
  </si>
  <si>
    <t xml:space="preserve">Oscillators:Oscillator_SMD_Fordahl_DFAS11-4pin_7.0x5.0mm_HandSoldering</t>
  </si>
  <si>
    <t xml:space="preserve">2449423</t>
  </si>
  <si>
    <t xml:space="preserve">449-LFSPXO019966REEL</t>
  </si>
  <si>
    <t xml:space="preserve">94X0882</t>
  </si>
  <si>
    <t xml:space="preserve">814-1626</t>
  </si>
  <si>
    <t xml:space="preserve">D1002</t>
  </si>
  <si>
    <t xml:space="preserve">LM4041EIM3-1.2/NOPB</t>
  </si>
  <si>
    <t xml:space="preserve">LM4041EIM3X-1.2/NOPBCT-ND</t>
  </si>
  <si>
    <t xml:space="preserve">2436138</t>
  </si>
  <si>
    <t xml:space="preserve">926-LM4041EIM312NOPB</t>
  </si>
  <si>
    <t xml:space="preserve">41K5322</t>
  </si>
  <si>
    <t xml:space="preserve">811-5636</t>
  </si>
  <si>
    <t xml:space="preserve">R702,R706</t>
  </si>
  <si>
    <t xml:space="preserve">887K</t>
  </si>
  <si>
    <t xml:space="preserve">RC0603FR-07887KL</t>
  </si>
  <si>
    <t xml:space="preserve">311-887KHRCT-ND</t>
  </si>
  <si>
    <t xml:space="preserve">603-RC0603FR-07887KL</t>
  </si>
  <si>
    <t xml:space="preserve">66R2611</t>
  </si>
  <si>
    <t xml:space="preserve">U803</t>
  </si>
  <si>
    <t xml:space="preserve">CLC4007</t>
  </si>
  <si>
    <t xml:space="preserve">Housings_SSOP:TSSOP-14_4.4x5mm_Pitch0.65mm</t>
  </si>
  <si>
    <t xml:space="preserve">701-CLC4007ITP14MTR</t>
  </si>
  <si>
    <t xml:space="preserve">791-7472</t>
  </si>
  <si>
    <t xml:space="preserve">R1006-R1009,R1113,R1116</t>
  </si>
  <si>
    <t xml:space="preserve">4K7</t>
  </si>
  <si>
    <t xml:space="preserve">RC0603FR-074K7L</t>
  </si>
  <si>
    <t xml:space="preserve">311-4.70KHRCT-ND</t>
  </si>
  <si>
    <t xml:space="preserve">2363478</t>
  </si>
  <si>
    <t xml:space="preserve">603-RC0603FR-074K7L</t>
  </si>
  <si>
    <t xml:space="preserve">68R0092</t>
  </si>
  <si>
    <t xml:space="preserve">U903</t>
  </si>
  <si>
    <t xml:space="preserve">MIC5270</t>
  </si>
  <si>
    <t xml:space="preserve">576-1295-1-ND</t>
  </si>
  <si>
    <t xml:space="preserve">2510309</t>
  </si>
  <si>
    <t xml:space="preserve">998-MIC5270YM5TR</t>
  </si>
  <si>
    <t xml:space="preserve">72Y5346</t>
  </si>
  <si>
    <t xml:space="preserve">910-1698</t>
  </si>
  <si>
    <t xml:space="preserve">R212,R309-R322</t>
  </si>
  <si>
    <t xml:space="preserve">C202,C203,C310,C312</t>
  </si>
  <si>
    <t xml:space="preserve">10nF</t>
  </si>
  <si>
    <t xml:space="preserve">C0603C103K5RECTU</t>
  </si>
  <si>
    <t xml:space="preserve">399-14172-2-ND</t>
  </si>
  <si>
    <t xml:space="preserve">80-C0603C103K5REC</t>
  </si>
  <si>
    <t xml:space="preserve">D202,D204,D401-D408</t>
  </si>
  <si>
    <t xml:space="preserve">GREEN</t>
  </si>
  <si>
    <t xml:space="preserve">APTD1608LCGCK</t>
  </si>
  <si>
    <t xml:space="preserve">754-2037-1-ND</t>
  </si>
  <si>
    <t xml:space="preserve">604-APTD1608LCGCK</t>
  </si>
  <si>
    <t xml:space="preserve">R701,R705</t>
  </si>
  <si>
    <t xml:space="preserve">13K</t>
  </si>
  <si>
    <t xml:space="preserve">RC0603FR-0713KL</t>
  </si>
  <si>
    <t xml:space="preserve">311-13.0KHRCT-ND</t>
  </si>
  <si>
    <t xml:space="preserve">2413675</t>
  </si>
  <si>
    <t xml:space="preserve">603-RC0603FR-0713KL</t>
  </si>
  <si>
    <t xml:space="preserve">68R0057</t>
  </si>
  <si>
    <t xml:space="preserve">C705,C708</t>
  </si>
  <si>
    <t xml:space="preserve">5-20pF</t>
  </si>
  <si>
    <t xml:space="preserve">GKG20015</t>
  </si>
  <si>
    <t xml:space="preserve">SG9029-ND</t>
  </si>
  <si>
    <t xml:space="preserve">659-GKG20015</t>
  </si>
  <si>
    <t xml:space="preserve">R829,R832</t>
  </si>
  <si>
    <t xml:space="preserve">2K2</t>
  </si>
  <si>
    <t xml:space="preserve">RC0603FR-072K2L</t>
  </si>
  <si>
    <t xml:space="preserve">311-2.20KHRCT-ND</t>
  </si>
  <si>
    <t xml:space="preserve">2413680</t>
  </si>
  <si>
    <t xml:space="preserve">603-RC0603FR-072K2L</t>
  </si>
  <si>
    <t xml:space="preserve">68R0064</t>
  </si>
  <si>
    <t xml:space="preserve">J105-J108</t>
  </si>
  <si>
    <t xml:space="preserve">MountingHole</t>
  </si>
  <si>
    <t xml:space="preserve">library:MountingHole</t>
  </si>
  <si>
    <t xml:space="preserve">L201-L204</t>
  </si>
  <si>
    <t xml:space="preserve">L_BLM18BA750SZ1D</t>
  </si>
  <si>
    <t xml:space="preserve">U302</t>
  </si>
  <si>
    <t xml:space="preserve">FLASH 2Mb</t>
  </si>
  <si>
    <t xml:space="preserve">Housings_SOIC:SOIC-8_3.9x4.9mm_Pitch1.27mm</t>
  </si>
  <si>
    <t xml:space="preserve">LE25U20AMB-AH</t>
  </si>
  <si>
    <t xml:space="preserve">LE25U20AMB-AHOSCT-ND</t>
  </si>
  <si>
    <t xml:space="preserve">2774638</t>
  </si>
  <si>
    <t xml:space="preserve">863-LE25U20AMB-AH</t>
  </si>
  <si>
    <t xml:space="preserve">30AC9756</t>
  </si>
  <si>
    <t xml:space="preserve">805-1306</t>
  </si>
  <si>
    <t xml:space="preserve">R709,R710,R801,R803,R1002,R1005,R1103,R1104</t>
  </si>
  <si>
    <t xml:space="preserve">R208</t>
  </si>
  <si>
    <t xml:space="preserve">R821,R823,R824,R826</t>
  </si>
  <si>
    <t xml:space="preserve">100R</t>
  </si>
  <si>
    <t xml:space="preserve">RC0603FR-07100RL</t>
  </si>
  <si>
    <t xml:space="preserve">311-100HRCT-ND</t>
  </si>
  <si>
    <t xml:space="preserve">9238360</t>
  </si>
  <si>
    <t xml:space="preserve">603-RC0603FR-07100RL</t>
  </si>
  <si>
    <t xml:space="preserve">68R0052</t>
  </si>
  <si>
    <t xml:space="preserve">U1001,U1002</t>
  </si>
  <si>
    <t xml:space="preserve">ADC1175</t>
  </si>
  <si>
    <t xml:space="preserve">library:TSSOP-24_4.4x7.8mm_Pitch0.65mm</t>
  </si>
  <si>
    <t xml:space="preserve">ADC1175CIMTCX/NOPB</t>
  </si>
  <si>
    <t xml:space="preserve">296-35235-1-ND</t>
  </si>
  <si>
    <t xml:space="preserve">2496151</t>
  </si>
  <si>
    <t xml:space="preserve">926-ADC1175CIMTCXNPB</t>
  </si>
  <si>
    <t xml:space="preserve">55K5084</t>
  </si>
  <si>
    <t xml:space="preserve">C907</t>
  </si>
  <si>
    <t xml:space="preserve">R211</t>
  </si>
  <si>
    <t xml:space="preserve">12K</t>
  </si>
  <si>
    <t xml:space="preserve">RC0603FR-0712KL</t>
  </si>
  <si>
    <t xml:space="preserve">311-12.0KHRCT-ND</t>
  </si>
  <si>
    <t xml:space="preserve">9238611</t>
  </si>
  <si>
    <t xml:space="preserve">603-RC0603FR-0712KL</t>
  </si>
  <si>
    <t xml:space="preserve">68R0054</t>
  </si>
  <si>
    <t xml:space="preserve">C709,C711</t>
  </si>
  <si>
    <t xml:space="preserve">180pF</t>
  </si>
  <si>
    <t xml:space="preserve">VJ0603A181FXXPW1BC</t>
  </si>
  <si>
    <t xml:space="preserve">77-VJ0603A181FXXPBC</t>
  </si>
  <si>
    <t xml:space="preserve">R101,R201,R207,R209,R210,R301-R306,R704,R708,R1105-R1110</t>
  </si>
  <si>
    <t xml:space="preserve">10K</t>
  </si>
  <si>
    <t xml:space="preserve">RT0603DRE0710KL</t>
  </si>
  <si>
    <t xml:space="preserve">YAG2318CT-ND</t>
  </si>
  <si>
    <t xml:space="preserve">603-RT0603DRE0710KL</t>
  </si>
  <si>
    <t xml:space="preserve">66R7868</t>
  </si>
  <si>
    <t xml:space="preserve">R1001,R1004</t>
  </si>
  <si>
    <t xml:space="preserve">50R</t>
  </si>
  <si>
    <t xml:space="preserve">Resistors_SMD:R_0805_HandSoldering</t>
  </si>
  <si>
    <t xml:space="preserve">CRCW080550R0FKTA</t>
  </si>
  <si>
    <t xml:space="preserve">71-CRCW0805-50</t>
  </si>
  <si>
    <t xml:space="preserve">D701,D702,D1006,D1007</t>
  </si>
  <si>
    <t xml:space="preserve">D_Schottky_BAT54S-7-F</t>
  </si>
  <si>
    <t xml:space="preserve">BAT54S</t>
  </si>
  <si>
    <t xml:space="preserve">2323106</t>
  </si>
  <si>
    <t xml:space="preserve">512-BAT54S</t>
  </si>
  <si>
    <t xml:space="preserve">35C0399</t>
  </si>
  <si>
    <t xml:space="preserve">544-4584</t>
  </si>
  <si>
    <t xml:space="preserve">C710,C712</t>
  </si>
  <si>
    <t xml:space="preserve">1800pF</t>
  </si>
  <si>
    <t xml:space="preserve">GRM1885C1H182FA01D</t>
  </si>
  <si>
    <t xml:space="preserve">490-12714-1-ND</t>
  </si>
  <si>
    <t xml:space="preserve">81-GRM1885C1H182FA1D</t>
  </si>
  <si>
    <t xml:space="preserve">R811,R812,R815,R817,R818,R820,R1003,R1012,R1013</t>
  </si>
  <si>
    <t xml:space="preserve">220R</t>
  </si>
  <si>
    <t xml:space="preserve">RC0603JR-07220RL</t>
  </si>
  <si>
    <t xml:space="preserve">311-220GRCT-ND</t>
  </si>
  <si>
    <t xml:space="preserve">9233296</t>
  </si>
  <si>
    <t xml:space="preserve">603-RC0603JR-07220RL</t>
  </si>
  <si>
    <t xml:space="preserve">68R0170</t>
  </si>
  <si>
    <t xml:space="preserve">J1101</t>
  </si>
  <si>
    <t xml:space="preserve">CONN_01X25</t>
  </si>
  <si>
    <t xml:space="preserve">Pin_Headers:Pin_Header_Straight_1x25_Pitch1.27mm</t>
  </si>
  <si>
    <t xml:space="preserve">M52-5002545</t>
  </si>
  <si>
    <t xml:space="preserve">952-1907-ND</t>
  </si>
  <si>
    <t xml:space="preserve">1099546</t>
  </si>
  <si>
    <t xml:space="preserve">855-M52-5002545</t>
  </si>
  <si>
    <t xml:space="preserve">97K6324</t>
  </si>
  <si>
    <t xml:space="preserve">681-3039</t>
  </si>
  <si>
    <t xml:space="preserve">R1114,R1117</t>
  </si>
  <si>
    <t xml:space="preserve">1K2</t>
  </si>
  <si>
    <t xml:space="preserve">RC0603FR-071K2L</t>
  </si>
  <si>
    <t xml:space="preserve">311-1.20KHRCT-ND</t>
  </si>
  <si>
    <t xml:space="preserve">9238492</t>
  </si>
  <si>
    <t xml:space="preserve">603-RC0603FR-071K2L</t>
  </si>
  <si>
    <t xml:space="preserve">68R0044</t>
  </si>
  <si>
    <t xml:space="preserve">U703,U704,U801,U802</t>
  </si>
  <si>
    <t xml:space="preserve">CD4051BM96</t>
  </si>
  <si>
    <t xml:space="preserve">Housings_SOIC:SOIC-16_3.9x9.9mm_Pitch1.27mm</t>
  </si>
  <si>
    <t xml:space="preserve">296-14271-1-ND</t>
  </si>
  <si>
    <t xml:space="preserve">2334931</t>
  </si>
  <si>
    <t xml:space="preserve">595-CD4051BM96</t>
  </si>
  <si>
    <t xml:space="preserve">05B5596</t>
  </si>
  <si>
    <t xml:space="preserve">528-393</t>
  </si>
  <si>
    <t xml:space="preserve">U501</t>
  </si>
  <si>
    <t xml:space="preserve">AS4C1M16S</t>
  </si>
  <si>
    <t xml:space="preserve">TSOP50-II:TSOP50-II</t>
  </si>
  <si>
    <t xml:space="preserve">1450-1004-ND</t>
  </si>
  <si>
    <t xml:space="preserve">913-AS4C1M16S-7TCN</t>
  </si>
  <si>
    <t xml:space="preserve">797-5790</t>
  </si>
  <si>
    <t xml:space="preserve">U701,U702</t>
  </si>
  <si>
    <t xml:space="preserve">CPC1017N</t>
  </si>
  <si>
    <t xml:space="preserve">library:2.54SOP4</t>
  </si>
  <si>
    <t xml:space="preserve">CLA153-ND</t>
  </si>
  <si>
    <t xml:space="preserve">849-CPC1017N</t>
  </si>
  <si>
    <t xml:space="preserve">70C4236</t>
  </si>
  <si>
    <t xml:space="preserve">906-1017</t>
  </si>
  <si>
    <t xml:space="preserve">R307,R308</t>
  </si>
  <si>
    <t xml:space="preserve">R703,R707</t>
  </si>
  <si>
    <t xml:space="preserve">90K9</t>
  </si>
  <si>
    <t xml:space="preserve">RR0816P-9092-D-93C</t>
  </si>
  <si>
    <t xml:space="preserve">RR08P90.9KDCT-ND</t>
  </si>
  <si>
    <t xml:space="preserve">754-RR0816P-9092D93C</t>
  </si>
  <si>
    <t xml:space="preserve">28K4847</t>
  </si>
  <si>
    <t xml:space="preserve">C602,C604,C607,C609,C611,C613,C615,C617,C622,C624,C626,C628,C630,C632,C634,C636,C903,C904,C906</t>
  </si>
  <si>
    <t xml:space="preserve">U301</t>
  </si>
  <si>
    <t xml:space="preserve">iCE40-HX4K-TQ144</t>
  </si>
  <si>
    <t xml:space="preserve">Housings_QFP:LQFP-144_20x20mm_Pitch0.5mm</t>
  </si>
  <si>
    <t xml:space="preserve">220-1572-ND</t>
  </si>
  <si>
    <t xml:space="preserve">842-ICE40HX4K-TQ144</t>
  </si>
  <si>
    <t xml:space="preserve">772-0057</t>
  </si>
  <si>
    <t xml:space="preserve">U204</t>
  </si>
  <si>
    <t xml:space="preserve">MIC5355-S4YMME</t>
  </si>
  <si>
    <t xml:space="preserve">Housings_SSOP:MSOP-8_3x3mm_Pitch0.65mm</t>
  </si>
  <si>
    <t xml:space="preserve">MIC5355-S4YMME </t>
  </si>
  <si>
    <t xml:space="preserve">576-3880-5-ND</t>
  </si>
  <si>
    <t xml:space="preserve">998-MIC5355-S4YMME</t>
  </si>
  <si>
    <t xml:space="preserve">C703,C706</t>
  </si>
  <si>
    <t xml:space="preserve">22pF</t>
  </si>
  <si>
    <t xml:space="preserve">06031U220FAT2A</t>
  </si>
  <si>
    <t xml:space="preserve">478-10233-1-ND</t>
  </si>
  <si>
    <t xml:space="preserve">2690800</t>
  </si>
  <si>
    <t xml:space="preserve">581-06031U220FAT2A</t>
  </si>
  <si>
    <t xml:space="preserve">55J3520</t>
  </si>
  <si>
    <t xml:space="preserve">J202</t>
  </si>
  <si>
    <t xml:space="preserve">USB_OTG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</si>
</sst>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yageo/RC1206JR-070RL/311-0.0ERCT-ND/732131" TargetMode="External"/><Relationship Id="rId3" Type="http://schemas.openxmlformats.org/officeDocument/2006/relationships/hyperlink" Target="http://it.farnell.com/yageo-phycomp/rc1206jr-070rl/res-film-spesso-0r-5-0-25w-1206/dp/9240276" TargetMode="External"/><Relationship Id="rId4" Type="http://schemas.openxmlformats.org/officeDocument/2006/relationships/hyperlink" Target="http://www.mouser.com/Search/Refine.aspx?Keyword=RC1206JR-070RL%20" TargetMode="External"/><Relationship Id="rId5" Type="http://schemas.openxmlformats.org/officeDocument/2006/relationships/hyperlink" Target="http://www.newark.com/yageo/rc1206jr-070rl/res-thick-film-0r-0-25w-1206/dp/68R0297" TargetMode="External"/><Relationship Id="rId6" Type="http://schemas.openxmlformats.org/officeDocument/2006/relationships/hyperlink" Target="http://www.digikey.com/product-detail/en/yageo/RC0603FR-0747KL/311-47.0KHRCT-ND/730200" TargetMode="External"/><Relationship Id="rId7" Type="http://schemas.openxmlformats.org/officeDocument/2006/relationships/hyperlink" Target="http://it.farnell.com/yageo-phycomp/rc0603fr-0747kl/res-film-spesso-47k-1-0-1w-0603/dp/9238689" TargetMode="External"/><Relationship Id="rId8" Type="http://schemas.openxmlformats.org/officeDocument/2006/relationships/hyperlink" Target="http://www.mouser.com/Search/Refine.aspx?Keyword=RC0603FR-0747KL%20" TargetMode="External"/><Relationship Id="rId9" Type="http://schemas.openxmlformats.org/officeDocument/2006/relationships/hyperlink" Target="http://www.newark.com/yageo-phycomp/rc0603fr-0747kl/res-thick-film-47k-1-0-1w-0603/dp/26M6759" TargetMode="External"/><Relationship Id="rId10" Type="http://schemas.openxmlformats.org/officeDocument/2006/relationships/hyperlink" Target="http://www.digikey.com/product-detail/en/kemet/C0603C104K3RACTU/399-1281-1-ND/416057" TargetMode="External"/><Relationship Id="rId11" Type="http://schemas.openxmlformats.org/officeDocument/2006/relationships/hyperlink" Target="http://it.farnell.com/kemet/c0603c104k3ractu/condensatore-mlcc-x7r-100nf-25v/dp/1650835" TargetMode="External"/><Relationship Id="rId12" Type="http://schemas.openxmlformats.org/officeDocument/2006/relationships/hyperlink" Target="http://www.mouser.com/ProductDetail/KEMET/C0603C104K3RACTU/?qs=sGAEpiMZZMs0AnBnWHyRQFqPnX0Olvco4w4aWMbN5gs%3D" TargetMode="External"/><Relationship Id="rId13" Type="http://schemas.openxmlformats.org/officeDocument/2006/relationships/hyperlink" Target="http://www.newark.com/kemet/c0603c104k3ractu/ceramic-capacitor-0-1uf-25v-x7r/dp/64K2837" TargetMode="External"/><Relationship Id="rId14" Type="http://schemas.openxmlformats.org/officeDocument/2006/relationships/hyperlink" Target="http://it.rs-online.com/web/c/?searchTerm=C0603C104K3RACTU%20" TargetMode="External"/><Relationship Id="rId15" Type="http://schemas.openxmlformats.org/officeDocument/2006/relationships/hyperlink" Target="http://www.digikey.com/product-detail/en/yageo/RC0603FR-07330RL/311-330HRCT-ND/730109" TargetMode="External"/><Relationship Id="rId16" Type="http://schemas.openxmlformats.org/officeDocument/2006/relationships/hyperlink" Target="http://it.farnell.com/yageo-phycomp/rc0603fr-07330rl/res-film-spesso-330r-1-0-1w-0603/dp/9238425" TargetMode="External"/><Relationship Id="rId17" Type="http://schemas.openxmlformats.org/officeDocument/2006/relationships/hyperlink" Target="http://www.mouser.com/Search/Refine.aspx?Keyword=RC0603FR-07330RL%20" TargetMode="External"/><Relationship Id="rId18" Type="http://schemas.openxmlformats.org/officeDocument/2006/relationships/hyperlink" Target="http://www.newark.com/yageo-phycomp/rc0603fr-07330rl/surface-mount-chip-resistor-thick/dp/75X0150" TargetMode="External"/><Relationship Id="rId19" Type="http://schemas.openxmlformats.org/officeDocument/2006/relationships/hyperlink" Target="http://www.digikey.com/product-detail/en/ftdi-future-technology-devices-international-ltd/FT2232HL-REEL/768-1024-1-ND/1986057" TargetMode="External"/><Relationship Id="rId20" Type="http://schemas.openxmlformats.org/officeDocument/2006/relationships/hyperlink" Target="http://it.farnell.com/ftdi/ft2232hl-r/usb-uart-fifo-2232-doppio-64lqfp/dp/1697461" TargetMode="External"/><Relationship Id="rId21" Type="http://schemas.openxmlformats.org/officeDocument/2006/relationships/hyperlink" Target="http://www.mouser.com/ProductDetail/FTDI/FT2232HL-TRAY/?qs=sGAEpiMZZMsgaWLkU6GBSK8bHXjqNrK1" TargetMode="External"/><Relationship Id="rId22" Type="http://schemas.openxmlformats.org/officeDocument/2006/relationships/hyperlink" Target="http://www.newark.com/webapp/wcs/stores/servlet/Search?catalogId=15003&amp;langId=-1&amp;storeId=10194&amp;gs=true&amp;st=FT2232HL%20" TargetMode="External"/><Relationship Id="rId23" Type="http://schemas.openxmlformats.org/officeDocument/2006/relationships/hyperlink" Target="http://it.rs-online.com/web/c/?searchTerm=FT2232HL%20" TargetMode="External"/><Relationship Id="rId24" Type="http://schemas.openxmlformats.org/officeDocument/2006/relationships/hyperlink" Target="http://www.digikey.com/product-detail/en/murata-electronics-north-america/GRM188R60J106ME47J/490-6405-1-ND/3845602" TargetMode="External"/><Relationship Id="rId25" Type="http://schemas.openxmlformats.org/officeDocument/2006/relationships/hyperlink" Target="http://it.farnell.com/murata/grm188r60j106me47j/cond-mlcc-x5r-10uf-6-3v-0603/dp/2611921" TargetMode="External"/><Relationship Id="rId26" Type="http://schemas.openxmlformats.org/officeDocument/2006/relationships/hyperlink" Target="http://www.mouser.com/Search/Refine.aspx?Keyword=GRM188R60J106ME47J%20" TargetMode="External"/><Relationship Id="rId27" Type="http://schemas.openxmlformats.org/officeDocument/2006/relationships/hyperlink" Target="http://www.newark.com/webapp/wcs/stores/servlet/Search?catalogId=15003&amp;langId=-1&amp;storeId=10194&amp;gs=true&amp;st=GRM188R60J106ME47J%20" TargetMode="External"/><Relationship Id="rId28" Type="http://schemas.openxmlformats.org/officeDocument/2006/relationships/hyperlink" Target="http://it.rs-online.com/web/c/?searchTerm=GRM188R60J106ME47J%20" TargetMode="External"/><Relationship Id="rId29" Type="http://schemas.openxmlformats.org/officeDocument/2006/relationships/hyperlink" Target="http://www.digikey.com/product-detail/en/vishay-dale/CRCW06031K50JNEA/541-1.5KGCT-ND/1179373" TargetMode="External"/><Relationship Id="rId30" Type="http://schemas.openxmlformats.org/officeDocument/2006/relationships/hyperlink" Target="http://it.farnell.com/vishay/crcw06031k50jnea/res-pell-spessa-aec-q200-1k5-0603/dp/2616745" TargetMode="External"/><Relationship Id="rId31" Type="http://schemas.openxmlformats.org/officeDocument/2006/relationships/hyperlink" Target="http://www.mouser.com/ProductDetail/Vishay/CRCW06031K50JNEA/?qs=sGAEpiMZZMu61qfTUdNhG82Z6Ry1C7AqqcTNlUx7YuQ%3D" TargetMode="External"/><Relationship Id="rId32" Type="http://schemas.openxmlformats.org/officeDocument/2006/relationships/hyperlink" Target="http://www.newark.com/vishay/crcw06031k50jnea/res-thick-film-1k5-5-0-1w-0603/dp/59M6753" TargetMode="External"/><Relationship Id="rId33" Type="http://schemas.openxmlformats.org/officeDocument/2006/relationships/hyperlink" Target="http://it.rs-online.com/web/c/?searchTerm=CRCW06031K50JNEA%20" TargetMode="External"/><Relationship Id="rId34" Type="http://schemas.openxmlformats.org/officeDocument/2006/relationships/hyperlink" Target="http://www.digikey.com/product-detail/en/microchip-technology/LM4040DYM3-2.5-TR/576-1047-1-ND/771818" TargetMode="External"/><Relationship Id="rId35" Type="http://schemas.openxmlformats.org/officeDocument/2006/relationships/hyperlink" Target="http://it.farnell.com/microchip/lm4040dym3-2-5-tr/voltage-ref-shunt-2-5v-sot-23/dp/2509865" TargetMode="External"/><Relationship Id="rId36" Type="http://schemas.openxmlformats.org/officeDocument/2006/relationships/hyperlink" Target="http://www.mouser.com/Search/Refine.aspx?Keyword=LM4040DYM3-2.5-TR%20" TargetMode="External"/><Relationship Id="rId37" Type="http://schemas.openxmlformats.org/officeDocument/2006/relationships/hyperlink" Target="http://www.newark.com/webapp/wcs/stores/servlet/Search?catalogId=15003&amp;langId=-1&amp;storeId=10194&amp;gs=true&amp;st=LM4040DYM3-2.5-TR%20" TargetMode="External"/><Relationship Id="rId38" Type="http://schemas.openxmlformats.org/officeDocument/2006/relationships/hyperlink" Target="http://www.digikey.com/product-detail/en/yageo/RC0603FR-076K8L/311-6.80KHRCT-ND/730270" TargetMode="External"/><Relationship Id="rId39" Type="http://schemas.openxmlformats.org/officeDocument/2006/relationships/hyperlink" Target="http://it.farnell.com/yageo-phycomp/rc0603fr-076k8l/res-film-spesso-6k8-1-0-1w-0603/dp/9238581" TargetMode="External"/><Relationship Id="rId40" Type="http://schemas.openxmlformats.org/officeDocument/2006/relationships/hyperlink" Target="http://www.mouser.com/Search/Refine.aspx?Keyword=RC0603FR-076K8L%20" TargetMode="External"/><Relationship Id="rId41" Type="http://schemas.openxmlformats.org/officeDocument/2006/relationships/hyperlink" Target="http://www.newark.com/yageo/rc0603fr-076k8l/res-thick-film-6k8-1-0-1w-0603/dp/68R0109" TargetMode="External"/><Relationship Id="rId42" Type="http://schemas.openxmlformats.org/officeDocument/2006/relationships/hyperlink" Target="http://www.digikey.com/product-detail/en/microchip-technology/MIC2005A-2YM5-TR/576-3464-1-ND/2062464" TargetMode="External"/><Relationship Id="rId43" Type="http://schemas.openxmlformats.org/officeDocument/2006/relationships/hyperlink" Target="http://it.farnell.com/micrel-semiconductor/mic2005a-2ym5-tr/limitaz-corrente-attiva-alta-e/dp/2431853" TargetMode="External"/><Relationship Id="rId44" Type="http://schemas.openxmlformats.org/officeDocument/2006/relationships/hyperlink" Target="http://www.mouser.com/Search/Refine.aspx?Keyword=MIC2005A-2YM5%20" TargetMode="External"/><Relationship Id="rId45" Type="http://schemas.openxmlformats.org/officeDocument/2006/relationships/hyperlink" Target="http://www.newark.com/webapp/wcs/stores/servlet/Search?catalogId=15003&amp;langId=-1&amp;storeId=10194&amp;gs=true&amp;st=MIC2005A-2YM5%20" TargetMode="External"/><Relationship Id="rId46" Type="http://schemas.openxmlformats.org/officeDocument/2006/relationships/hyperlink" Target="http://it.rs-online.com/web/c/?searchTerm=MIC2005A-2YM5%20" TargetMode="External"/><Relationship Id="rId47" Type="http://schemas.openxmlformats.org/officeDocument/2006/relationships/hyperlink" Target="http://www.digikey.com/scripts/DkSearch/dksus.dll?WT.z_header=search_go&amp;lang=en&amp;keywords=GKG3R015%20" TargetMode="External"/><Relationship Id="rId48" Type="http://schemas.openxmlformats.org/officeDocument/2006/relationships/hyperlink" Target="http://www.mouser.com/Search/Refine.aspx?Keyword=GKG3R015%20" TargetMode="External"/><Relationship Id="rId49" Type="http://schemas.openxmlformats.org/officeDocument/2006/relationships/hyperlink" Target="http://www.digikey.com/product-detail/en/murata-electronics-north-america/GRM1885C1H101GA01J/490-10703-1-ND/5251397" TargetMode="External"/><Relationship Id="rId50" Type="http://schemas.openxmlformats.org/officeDocument/2006/relationships/hyperlink" Target="http://www.mouser.com/Search/Refine.aspx?Keyword=GRM1885C1H101GA01J%20" TargetMode="External"/><Relationship Id="rId51" Type="http://schemas.openxmlformats.org/officeDocument/2006/relationships/hyperlink" Target="http://www.digikey.com/product-detail/en/murata-electronics-north-america/BLM18AG121SN1D/490-1011-1-ND/584459" TargetMode="External"/><Relationship Id="rId52" Type="http://schemas.openxmlformats.org/officeDocument/2006/relationships/hyperlink" Target="http://it.farnell.com/murata/blm18ag121sn1d/ferrite-bead-0-18ohm-500ma-0603/dp/1515672" TargetMode="External"/><Relationship Id="rId53" Type="http://schemas.openxmlformats.org/officeDocument/2006/relationships/hyperlink" Target="http://www.mouser.com/Search/Refine.aspx?Keyword=BLM18AG121SN1D%20" TargetMode="External"/><Relationship Id="rId54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55" Type="http://schemas.openxmlformats.org/officeDocument/2006/relationships/hyperlink" Target="http://it.rs-online.com/web/c/?searchTerm=BLM18AG121SN1D%20" TargetMode="External"/><Relationship Id="rId56" Type="http://schemas.openxmlformats.org/officeDocument/2006/relationships/hyperlink" Target="http://www.digikey.com/product-detail/en/avx-corporation/TAJA106K016TNJ/478-10744-1-ND/7536607" TargetMode="External"/><Relationship Id="rId57" Type="http://schemas.openxmlformats.org/officeDocument/2006/relationships/hyperlink" Target="http://www.mouser.com/Search/Refine.aspx?Keyword=TAJA106K016TNJ%20" TargetMode="External"/><Relationship Id="rId58" Type="http://schemas.openxmlformats.org/officeDocument/2006/relationships/hyperlink" Target="http://www.newark.com/avx/taja106k016rnj/tantalum-capacitor-10uf-16v-3/dp/60R5827?rpsku=rel3%3ATAJA106K016TNJ" TargetMode="External"/><Relationship Id="rId59" Type="http://schemas.openxmlformats.org/officeDocument/2006/relationships/hyperlink" Target="http://www.digikey.com/scripts/DkSearch/dksus.dll?WT.z_header=search_go&amp;lang=en&amp;keywords=1301.9309%20" TargetMode="External"/><Relationship Id="rId60" Type="http://schemas.openxmlformats.org/officeDocument/2006/relationships/hyperlink" Target="http://it.farnell.com/webapp/wcs/stores/servlet/Search?catalogId=15001&amp;langId=-4&amp;storeId=10165&amp;gs=true&amp;st=1301.9309%20" TargetMode="External"/><Relationship Id="rId61" Type="http://schemas.openxmlformats.org/officeDocument/2006/relationships/hyperlink" Target="http://www.mouser.com/Search/Refine.aspx?Keyword=1301.9309%20" TargetMode="External"/><Relationship Id="rId62" Type="http://schemas.openxmlformats.org/officeDocument/2006/relationships/hyperlink" Target="http://www.newark.com/webapp/wcs/stores/servlet/Search?catalogId=15003&amp;langId=-1&amp;storeId=10194&amp;gs=true&amp;st=1301.9309%20" TargetMode="External"/><Relationship Id="rId63" Type="http://schemas.openxmlformats.org/officeDocument/2006/relationships/hyperlink" Target="http://www.digikey.com/scripts/DkSearch/dksus.dll?WT.z_header=search_go&amp;lang=en&amp;keywords=1-1337543-0%20" TargetMode="External"/><Relationship Id="rId64" Type="http://schemas.openxmlformats.org/officeDocument/2006/relationships/hyperlink" Target="http://it.farnell.com/webapp/wcs/stores/servlet/Search?catalogId=15001&amp;langId=-4&amp;storeId=10165&amp;gs=true&amp;st=1-1337543-0%20" TargetMode="External"/><Relationship Id="rId65" Type="http://schemas.openxmlformats.org/officeDocument/2006/relationships/hyperlink" Target="http://www.mouser.com/Search/Refine.aspx?Keyword=1-1337543-0%20" TargetMode="External"/><Relationship Id="rId66" Type="http://schemas.openxmlformats.org/officeDocument/2006/relationships/hyperlink" Target="http://www.newark.com/webapp/wcs/stores/servlet/Search?catalogId=15003&amp;langId=-1&amp;storeId=10194&amp;gs=true&amp;st=1-1337543-0%20" TargetMode="External"/><Relationship Id="rId67" Type="http://schemas.openxmlformats.org/officeDocument/2006/relationships/hyperlink" Target="http://it.rs-online.com/web/c/?searchTerm=1-1337543-0%20" TargetMode="External"/><Relationship Id="rId68" Type="http://schemas.openxmlformats.org/officeDocument/2006/relationships/hyperlink" Target="http://www.digikey.com/product-detail/en/diodes-incorporated/BAT54-7-F/BAT54-FDICT-ND/717819" TargetMode="External"/><Relationship Id="rId69" Type="http://schemas.openxmlformats.org/officeDocument/2006/relationships/hyperlink" Target="http://it.farnell.com/multicomp/bat54-7-f/diode-ultrafast-recovery-200ma/dp/2306003" TargetMode="External"/><Relationship Id="rId70" Type="http://schemas.openxmlformats.org/officeDocument/2006/relationships/hyperlink" Target="http://www.mouser.com/Search/Refine.aspx?Keyword=BAT54-7-F%20" TargetMode="External"/><Relationship Id="rId71" Type="http://schemas.openxmlformats.org/officeDocument/2006/relationships/hyperlink" Target="http://www.newark.com/multicomp/bat54-7-f/diode-ultrafast-recovery-200ma/dp/65W8455" TargetMode="External"/><Relationship Id="rId72" Type="http://schemas.openxmlformats.org/officeDocument/2006/relationships/hyperlink" Target="http://it.rs-online.com/web/p/diodi-rettificatori-e-schottky/7384829/" TargetMode="External"/><Relationship Id="rId73" Type="http://schemas.openxmlformats.org/officeDocument/2006/relationships/hyperlink" Target="http://www.mouser.com/Search/Refine.aspx?Keyword=TMCMA1A475MTRF%20" TargetMode="External"/><Relationship Id="rId74" Type="http://schemas.openxmlformats.org/officeDocument/2006/relationships/hyperlink" Target="http://www.digikey.com/product-detail/en/yageo/RC0603FR-071KL/311-1.00KHRCT-ND/729790" TargetMode="External"/><Relationship Id="rId75" Type="http://schemas.openxmlformats.org/officeDocument/2006/relationships/hyperlink" Target="http://it.farnell.com/yageo-phycomp/rc0603fr-071kl/res-film-spesso-1k-1-0-1w-0603/dp/9238484" TargetMode="External"/><Relationship Id="rId76" Type="http://schemas.openxmlformats.org/officeDocument/2006/relationships/hyperlink" Target="http://www.mouser.com/Search/Refine.aspx?Keyword=RC0603FR-071KL%20" TargetMode="External"/><Relationship Id="rId77" Type="http://schemas.openxmlformats.org/officeDocument/2006/relationships/hyperlink" Target="http://www.newark.com/yageo/rc0603fr-071kl/res-thick-film-1k-1-0-1w-0603/dp/68R0042" TargetMode="External"/><Relationship Id="rId78" Type="http://schemas.openxmlformats.org/officeDocument/2006/relationships/hyperlink" Target="http://www.digikey.com/product-detail/en/yageo/RC0603FR-071K8L/311-1.80KHRCT-ND/729821" TargetMode="External"/><Relationship Id="rId79" Type="http://schemas.openxmlformats.org/officeDocument/2006/relationships/hyperlink" Target="http://it.farnell.com/yageo-phycomp/rc0603fr-071k8l/res-film-spesso-1k8-1-0-1w-0603/dp/9238514" TargetMode="External"/><Relationship Id="rId80" Type="http://schemas.openxmlformats.org/officeDocument/2006/relationships/hyperlink" Target="http://www.mouser.com/ProductDetail/Yageo/RC0603FR-071K8L/?qs=sGAEpiMZZMu61qfTUdNhG5eFuApKbqVdVKGQIhGipHw%3D" TargetMode="External"/><Relationship Id="rId81" Type="http://schemas.openxmlformats.org/officeDocument/2006/relationships/hyperlink" Target="http://www.newark.com/yageo-phycomp/rc0603fr-071k8l/res-thick-film-1k8-1-0-1w-0603/dp/12AC2123" TargetMode="External"/><Relationship Id="rId82" Type="http://schemas.openxmlformats.org/officeDocument/2006/relationships/hyperlink" Target="http://www.digikey.com/product-detail/en/yageo/RC0603FR-07470RL/311-470HRCT-ND/730203" TargetMode="External"/><Relationship Id="rId83" Type="http://schemas.openxmlformats.org/officeDocument/2006/relationships/hyperlink" Target="http://it.farnell.com/yageo/rc0603fr-07470rl/res-thick-film-470r-1-0-1w-0603/dp/2413707" TargetMode="External"/><Relationship Id="rId84" Type="http://schemas.openxmlformats.org/officeDocument/2006/relationships/hyperlink" Target="http://www.mouser.com/Search/Refine.aspx?Keyword=RC0603FR-07470RL%20" TargetMode="External"/><Relationship Id="rId85" Type="http://schemas.openxmlformats.org/officeDocument/2006/relationships/hyperlink" Target="http://www.newark.com/yageo/rc0603fr-07470rl/res-thick-film-470r-1-0-1w-0603/dp/68R0099" TargetMode="External"/><Relationship Id="rId86" Type="http://schemas.openxmlformats.org/officeDocument/2006/relationships/hyperlink" Target="http://www.digikey.com/product-detail/en/yageo/RC0603FR-0762KL/311-62.0KHRCT-ND/730283" TargetMode="External"/><Relationship Id="rId87" Type="http://schemas.openxmlformats.org/officeDocument/2006/relationships/hyperlink" Target="http://www.mouser.com/ProductDetail/Yageo/RC0603FR-0762KL/?qs=sGAEpiMZZMu61qfTUdNhG6gKAQVNBKOo1YUM907byVY%3D" TargetMode="External"/><Relationship Id="rId88" Type="http://schemas.openxmlformats.org/officeDocument/2006/relationships/hyperlink" Target="http://www.newark.com/webapp/wcs/stores/servlet/Search?catalogId=15003&amp;langId=-1&amp;storeId=10194&amp;gs=true&amp;st=RC0603FR-0762KL%20" TargetMode="External"/><Relationship Id="rId89" Type="http://schemas.openxmlformats.org/officeDocument/2006/relationships/hyperlink" Target="http://www.digikey.com/product-detail/en/microchip-technology/MCP4716A0T-E-CH/MCP4716A0T-E-CHCT-ND/2684987" TargetMode="External"/><Relationship Id="rId90" Type="http://schemas.openxmlformats.org/officeDocument/2006/relationships/hyperlink" Target="http://it.farnell.com/microchip/mcp4716a0t-e-ch/dac-10bit-nv-eep-i2c-sot-23-6/dp/1925045" TargetMode="External"/><Relationship Id="rId91" Type="http://schemas.openxmlformats.org/officeDocument/2006/relationships/hyperlink" Target="http://www.mouser.com/Search/Refine.aspx?Keyword=MCP4716A0T-E%2FCH%20" TargetMode="External"/><Relationship Id="rId92" Type="http://schemas.openxmlformats.org/officeDocument/2006/relationships/hyperlink" Target="http://www.newark.com/webapp/wcs/stores/servlet/Search?catalogId=15003&amp;langId=-1&amp;storeId=10194&amp;gs=true&amp;st=MCP4716A0T-E%2FCH%20" TargetMode="External"/><Relationship Id="rId93" Type="http://schemas.openxmlformats.org/officeDocument/2006/relationships/hyperlink" Target="http://it.rs-online.com/web/p/dac-per-impieghi-generali/7387124/" TargetMode="External"/><Relationship Id="rId94" Type="http://schemas.openxmlformats.org/officeDocument/2006/relationships/hyperlink" Target="http://www.digikey.com/product-detail/en/microchip-technology/MCP4716A1T-E-CH/MCP4716A1T-E-CHCT-ND/7065581" TargetMode="External"/><Relationship Id="rId95" Type="http://schemas.openxmlformats.org/officeDocument/2006/relationships/hyperlink" Target="http://www.mouser.com/Search/Refine.aspx?Keyword=MCP4716A1T-E%2FCH%20" TargetMode="External"/><Relationship Id="rId96" Type="http://schemas.openxmlformats.org/officeDocument/2006/relationships/hyperlink" Target="http://it.rs-online.com/web/c/?searchTerm=MCP4716A1T-E%2FCH%20" TargetMode="External"/><Relationship Id="rId97" Type="http://schemas.openxmlformats.org/officeDocument/2006/relationships/hyperlink" Target="http://www.digikey.com/product-detail/en/texas-instruments/LM2776DBVR/296-43957-1-ND/5973203" TargetMode="External"/><Relationship Id="rId98" Type="http://schemas.openxmlformats.org/officeDocument/2006/relationships/hyperlink" Target="http://it.farnell.com/webapp/wcs/stores/servlet/Search?catalogId=15001&amp;langId=-4&amp;storeId=10165&amp;gs=true&amp;st=LM2776DBVR%20" TargetMode="External"/><Relationship Id="rId99" Type="http://schemas.openxmlformats.org/officeDocument/2006/relationships/hyperlink" Target="http://www.mouser.com/ProductDetail/Texas-Instruments/LM2776DBVR/?qs=sGAEpiMZZMtitjHzVIkrqW9Sm33XTU9xaywidxamkeax3hA3goWuGA%3D%3D" TargetMode="External"/><Relationship Id="rId100" Type="http://schemas.openxmlformats.org/officeDocument/2006/relationships/hyperlink" Target="http://www.newark.com/webapp/wcs/stores/servlet/Search?catalogId=15003&amp;langId=-1&amp;storeId=10194&amp;gs=true&amp;st=LM2776DBVR%20" TargetMode="External"/><Relationship Id="rId101" Type="http://schemas.openxmlformats.org/officeDocument/2006/relationships/hyperlink" Target="http://www.digikey.com/product-detail/en/comchip-technology/CDBURT0530LL-HF/641-1520-1-ND/4835670" TargetMode="External"/><Relationship Id="rId102" Type="http://schemas.openxmlformats.org/officeDocument/2006/relationships/hyperlink" Target="http://www.mouser.com/Search/Refine.aspx?Keyword=CDBURT0530LL-HF%20" TargetMode="External"/><Relationship Id="rId103" Type="http://schemas.openxmlformats.org/officeDocument/2006/relationships/hyperlink" Target="http://www.digikey.com/product-detail/en/molex-llc/0476420001/WM1398CT-ND/2350884" TargetMode="External"/><Relationship Id="rId104" Type="http://schemas.openxmlformats.org/officeDocument/2006/relationships/hyperlink" Target="http://it.farnell.com/webapp/wcs/stores/servlet/Search?catalogId=15001&amp;langId=-4&amp;storeId=10165&amp;gs=true&amp;st=47642-0001%20" TargetMode="External"/><Relationship Id="rId105" Type="http://schemas.openxmlformats.org/officeDocument/2006/relationships/hyperlink" Target="http://www.mouser.com/Search/Refine.aspx?Keyword=47642-0001%20" TargetMode="External"/><Relationship Id="rId106" Type="http://schemas.openxmlformats.org/officeDocument/2006/relationships/hyperlink" Target="http://www.newark.com/webapp/wcs/stores/servlet/Search?catalogId=15003&amp;langId=-1&amp;storeId=10194&amp;gs=true&amp;st=47642-0001%20" TargetMode="External"/><Relationship Id="rId107" Type="http://schemas.openxmlformats.org/officeDocument/2006/relationships/hyperlink" Target="http://it.rs-online.com/web/c/?searchTerm=47642-0001%20" TargetMode="External"/><Relationship Id="rId108" Type="http://schemas.openxmlformats.org/officeDocument/2006/relationships/hyperlink" Target="http://www.digikey.com/product-detail/en/avx-corporation/TAJA106K016TNJ/478-10744-1-ND/7536607" TargetMode="External"/><Relationship Id="rId109" Type="http://schemas.openxmlformats.org/officeDocument/2006/relationships/hyperlink" Target="http://www.mouser.com/Search/Refine.aspx?Keyword=TAJA106K016TNJ%20" TargetMode="External"/><Relationship Id="rId110" Type="http://schemas.openxmlformats.org/officeDocument/2006/relationships/hyperlink" Target="http://www.newark.com/avx/taja106k016rnj/tantalum-capacitor-10uf-16v-3/dp/60R5827?rpsku=rel3%3ATAJA106K016TNJ" TargetMode="External"/><Relationship Id="rId111" Type="http://schemas.openxmlformats.org/officeDocument/2006/relationships/hyperlink" Target="http://www.digikey.com/product-detail/en/kingbright/APTD1608LSURCK/754-2038-1-ND/7043092" TargetMode="External"/><Relationship Id="rId112" Type="http://schemas.openxmlformats.org/officeDocument/2006/relationships/hyperlink" Target="http://www.mouser.com/Search/Refine.aspx?Keyword=APTD1608LSURCK%20" TargetMode="External"/><Relationship Id="rId113" Type="http://schemas.openxmlformats.org/officeDocument/2006/relationships/hyperlink" Target="http://www.mouser.com/Search/Refine.aspx?Keyword=KobiConn_161-3509-E%20" TargetMode="External"/><Relationship Id="rId114" Type="http://schemas.openxmlformats.org/officeDocument/2006/relationships/hyperlink" Target="http://www.digikey.com/product-detail/en/toshiba-semiconductor-and-storage/TCR2EF13,LM(CT/TCR2EF13LM(CTCT-ND/4503319" TargetMode="External"/><Relationship Id="rId115" Type="http://schemas.openxmlformats.org/officeDocument/2006/relationships/hyperlink" Target="http://www.mouser.com/ProductDetail/Toshiba/TCR2EF13LM/?qs=sGAEpiMZZMsGz1a6aV8DcIkKCofngvkxURpVTTNFc%252bM%3D" TargetMode="External"/><Relationship Id="rId116" Type="http://schemas.openxmlformats.org/officeDocument/2006/relationships/hyperlink" Target="http://www.digikey.com/product-detail/en/kemet/C0603C104K3RACTU/399-1281-1-ND/416057" TargetMode="External"/><Relationship Id="rId117" Type="http://schemas.openxmlformats.org/officeDocument/2006/relationships/hyperlink" Target="http://it.farnell.com/kemet/c0603c104k3ractu/condensatore-mlcc-x7r-100nf-25v/dp/1650835" TargetMode="External"/><Relationship Id="rId118" Type="http://schemas.openxmlformats.org/officeDocument/2006/relationships/hyperlink" Target="http://www.mouser.com/ProductDetail/KEMET/C0603C104K3RACTU/?qs=sGAEpiMZZMs0AnBnWHyRQFqPnX0Olvco4w4aWMbN5gs%3D" TargetMode="External"/><Relationship Id="rId119" Type="http://schemas.openxmlformats.org/officeDocument/2006/relationships/hyperlink" Target="http://www.newark.com/kemet/c0603c104k3ractu/ceramic-capacitor-0-1uf-25v-x7r/dp/64K2837" TargetMode="External"/><Relationship Id="rId120" Type="http://schemas.openxmlformats.org/officeDocument/2006/relationships/hyperlink" Target="http://it.rs-online.com/web/c/?searchTerm=C0603C104K3RACTU%20" TargetMode="External"/><Relationship Id="rId121" Type="http://schemas.openxmlformats.org/officeDocument/2006/relationships/hyperlink" Target="http://www.digikey.com/product-detail/en/murata-electronics-north-america/GRM21BR71A225KA01K/490-11596-1-ND/5333436" TargetMode="External"/><Relationship Id="rId122" Type="http://schemas.openxmlformats.org/officeDocument/2006/relationships/hyperlink" Target="http://www.mouser.com/Search/Refine.aspx?Keyword=GRM21BR71A225KA01K%20" TargetMode="External"/><Relationship Id="rId123" Type="http://schemas.openxmlformats.org/officeDocument/2006/relationships/hyperlink" Target="http://it.rs-online.com/web/c/?searchTerm=GRM21BR71A225KA01K%20" TargetMode="External"/><Relationship Id="rId124" Type="http://schemas.openxmlformats.org/officeDocument/2006/relationships/hyperlink" Target="http://www.digikey.com/scripts/DkSearch/dksus.dll?WT.z_header=search_go&amp;lang=en&amp;keywords=GRM21BR71A475KE51L%20" TargetMode="External"/><Relationship Id="rId125" Type="http://schemas.openxmlformats.org/officeDocument/2006/relationships/hyperlink" Target="http://www.mouser.com/ProductDetail/Murata-Electronics/GRM21BR71A475KE51L/?qs=sGAEpiMZZMs0AnBnWHyRQKFZIQ7b73cdoHNf8mExhYonA1KGsjwtrA%3D%3D" TargetMode="External"/><Relationship Id="rId126" Type="http://schemas.openxmlformats.org/officeDocument/2006/relationships/hyperlink" Target="http://www.digikey.com/product-detail/en/microchip-technology/93LC56BT-I-OT/93LC56BT-I-OTCT-ND/857632" TargetMode="External"/><Relationship Id="rId127" Type="http://schemas.openxmlformats.org/officeDocument/2006/relationships/hyperlink" Target="http://it.farnell.com/webapp/wcs/stores/servlet/Search?catalogId=15001&amp;langId=-4&amp;storeId=10165&amp;gs=true&amp;st=93LC56BT-I%2FOT%20" TargetMode="External"/><Relationship Id="rId128" Type="http://schemas.openxmlformats.org/officeDocument/2006/relationships/hyperlink" Target="http://www.mouser.com/Search/Refine.aspx?Keyword=93LC56BT-I%2FOT%20" TargetMode="External"/><Relationship Id="rId129" Type="http://schemas.openxmlformats.org/officeDocument/2006/relationships/hyperlink" Target="http://www.newark.com/microchip/93lc56bt-i-ot/serial-eeprom-2kbit-2mhz-sot-23/dp/30H4760" TargetMode="External"/><Relationship Id="rId130" Type="http://schemas.openxmlformats.org/officeDocument/2006/relationships/hyperlink" Target="http://it.rs-online.com/web/p/memorie-eeprom/0454343/" TargetMode="External"/><Relationship Id="rId131" Type="http://schemas.openxmlformats.org/officeDocument/2006/relationships/hyperlink" Target="http://www.digikey.com/product-detail/en/microchip-technology/MIC7300YM5-TR/576-1319-1-ND/771923" TargetMode="External"/><Relationship Id="rId132" Type="http://schemas.openxmlformats.org/officeDocument/2006/relationships/hyperlink" Target="http://it.farnell.com/microchip/mic7300ym5-tr/op-amp-rr-10v-500khz-0-5v-us-5sot23/dp/2510429" TargetMode="External"/><Relationship Id="rId133" Type="http://schemas.openxmlformats.org/officeDocument/2006/relationships/hyperlink" Target="http://www.mouser.com/Search/Refine.aspx?Keyword=MIC7300YM5-TR%20" TargetMode="External"/><Relationship Id="rId134" Type="http://schemas.openxmlformats.org/officeDocument/2006/relationships/hyperlink" Target="http://www.newark.com/webapp/wcs/stores/servlet/Search?catalogId=15003&amp;langId=-1&amp;storeId=10194&amp;gs=true&amp;st=MIC7300YM5-TR%20" TargetMode="External"/><Relationship Id="rId135" Type="http://schemas.openxmlformats.org/officeDocument/2006/relationships/hyperlink" Target="http://it.rs-online.com/web/p/amplificatori-operazionali/9101874/" TargetMode="External"/><Relationship Id="rId136" Type="http://schemas.openxmlformats.org/officeDocument/2006/relationships/hyperlink" Target="http://www.digikey.com/product-detail/en/yageo/RC0603FR-07680RL/311-680HRCT-ND/730302" TargetMode="External"/><Relationship Id="rId137" Type="http://schemas.openxmlformats.org/officeDocument/2006/relationships/hyperlink" Target="http://it.farnell.com/yageo-phycomp/rc0603fr-07680rl/res-film-spesso-680r-1-0-1w-0603/dp/9238468" TargetMode="External"/><Relationship Id="rId138" Type="http://schemas.openxmlformats.org/officeDocument/2006/relationships/hyperlink" Target="http://www.mouser.com/Search/Refine.aspx?Keyword=RC0603FR-07680RL%20" TargetMode="External"/><Relationship Id="rId139" Type="http://schemas.openxmlformats.org/officeDocument/2006/relationships/hyperlink" Target="http://www.newark.com/yageo/rc0603fr-07680rl/res-thick-film-680r-1-0-1w-0603/dp/68R0112" TargetMode="External"/><Relationship Id="rId140" Type="http://schemas.openxmlformats.org/officeDocument/2006/relationships/hyperlink" Target="http://www.digikey.com/product-detail/en/nexperia-usa-inc/BAS21,215/1727-2889-1-ND/763425" TargetMode="External"/><Relationship Id="rId141" Type="http://schemas.openxmlformats.org/officeDocument/2006/relationships/hyperlink" Target="http://it.farnell.com/nxp/bas21-215/diodo-commutaz-sot-23/dp/8734267" TargetMode="External"/><Relationship Id="rId142" Type="http://schemas.openxmlformats.org/officeDocument/2006/relationships/hyperlink" Target="http://www.mouser.com/ProductDetail/Nexperia/BAS21215/?qs=sGAEpiMZZMtoHjESLttvklAT8BXmK%2F4omVaCBsTVk9k%3D" TargetMode="External"/><Relationship Id="rId143" Type="http://schemas.openxmlformats.org/officeDocument/2006/relationships/hyperlink" Target="http://www.newark.com/nexperia/bas21-215/switching-diode-250v-sot-23/dp/75R4934" TargetMode="External"/><Relationship Id="rId144" Type="http://schemas.openxmlformats.org/officeDocument/2006/relationships/hyperlink" Target="http://it.rs-online.com/web/p/diodi-switching/7384803/" TargetMode="External"/><Relationship Id="rId145" Type="http://schemas.openxmlformats.org/officeDocument/2006/relationships/hyperlink" Target="http://www.digikey.com/scripts/DkSearch/dksus.dll?WT.z_header=search_go&amp;lang=en&amp;keywords=M50-3030242%20" TargetMode="External"/><Relationship Id="rId146" Type="http://schemas.openxmlformats.org/officeDocument/2006/relationships/hyperlink" Target="http://www.mouser.com/Search/Refine.aspx?Keyword=M50-3030242%20" TargetMode="External"/><Relationship Id="rId147" Type="http://schemas.openxmlformats.org/officeDocument/2006/relationships/hyperlink" Target="http://www.digikey.com/product-detail/en/kemet/C0603C105K8PACTU/399-3118-1-ND/551623" TargetMode="External"/><Relationship Id="rId148" Type="http://schemas.openxmlformats.org/officeDocument/2006/relationships/hyperlink" Target="http://it.farnell.com/kemet/c0603c105k8pactu/condensatore-mlcc-x5r-1uf-10v/dp/9227776" TargetMode="External"/><Relationship Id="rId149" Type="http://schemas.openxmlformats.org/officeDocument/2006/relationships/hyperlink" Target="http://www.mouser.com/ProductDetail/KEMET/C0603C105K8PACTU/?qs=sGAEpiMZZMs0AnBnWHyRQFqPnX0OlvcoH0hWHQB3lFc%3D" TargetMode="External"/><Relationship Id="rId150" Type="http://schemas.openxmlformats.org/officeDocument/2006/relationships/hyperlink" Target="http://www.newark.com/kemet/c0603c105k8pactu/ceramic-capacitor-1uf-10v-x5r/dp/70K9090" TargetMode="External"/><Relationship Id="rId151" Type="http://schemas.openxmlformats.org/officeDocument/2006/relationships/hyperlink" Target="http://it.rs-online.com/web/c/?searchTerm=C0603C105K8PACTU%20" TargetMode="External"/><Relationship Id="rId152" Type="http://schemas.openxmlformats.org/officeDocument/2006/relationships/hyperlink" Target="http://it.farnell.com/iqd-frequency-products/lfspxo019966/oscillator-12mhz-50pf-smd/dp/2449423" TargetMode="External"/><Relationship Id="rId153" Type="http://schemas.openxmlformats.org/officeDocument/2006/relationships/hyperlink" Target="http://www.mouser.com/ProductDetail/IQD/LFSPXO019966Reel/?qs=sGAEpiMZZMt8zWNA7msRCnpRHY9ZICJ2uB0zrBmW14dWgmhbdcdJ1w%3D%3D" TargetMode="External"/><Relationship Id="rId154" Type="http://schemas.openxmlformats.org/officeDocument/2006/relationships/hyperlink" Target="http://www.newark.com/webapp/wcs/stores/servlet/Search?catalogId=15003&amp;langId=-1&amp;storeId=10194&amp;gs=true&amp;st=LFSPXO019966%20" TargetMode="External"/><Relationship Id="rId155" Type="http://schemas.openxmlformats.org/officeDocument/2006/relationships/hyperlink" Target="http://it.rs-online.com/web/c/?searchTerm=LFSPXO019966%20" TargetMode="External"/><Relationship Id="rId156" Type="http://schemas.openxmlformats.org/officeDocument/2006/relationships/hyperlink" Target="http://www.digikey.com/product-detail/en/texas-instruments/LM4041EIM3X-1.2-NOPB/LM4041EIM3X-1.2-NOPBCT-ND/2350863" TargetMode="External"/><Relationship Id="rId157" Type="http://schemas.openxmlformats.org/officeDocument/2006/relationships/hyperlink" Target="http://it.farnell.com/texas-instruments/lm4041eim3-1-2-nopb/rif-tensione-shunt-1-225v-sot/dp/2436138" TargetMode="External"/><Relationship Id="rId158" Type="http://schemas.openxmlformats.org/officeDocument/2006/relationships/hyperlink" Target="http://www.mouser.com/ProductDetail/Texas-Instruments/LM4041EIM3-12-NOPB/?qs=sGAEpiMZZMuBck1X%252b7j9fFxOFMTVQaIHI6EXGdq4KA0%3D" TargetMode="External"/><Relationship Id="rId159" Type="http://schemas.openxmlformats.org/officeDocument/2006/relationships/hyperlink" Target="http://www.newark.com/texas-instruments/lm4041eim3-1-2-nopb/voltage-ref-shunt-1-225v-sot-23/dp/41K5322" TargetMode="External"/><Relationship Id="rId160" Type="http://schemas.openxmlformats.org/officeDocument/2006/relationships/hyperlink" Target="http://it.rs-online.com/web/c/?searchTerm=LM4041EIM3-1.2%2FNOPB%20" TargetMode="External"/><Relationship Id="rId161" Type="http://schemas.openxmlformats.org/officeDocument/2006/relationships/hyperlink" Target="http://www.digikey.com/product-detail/en/yageo/RC0603FR-07887KL/311-887KHRCT-ND/730364" TargetMode="External"/><Relationship Id="rId162" Type="http://schemas.openxmlformats.org/officeDocument/2006/relationships/hyperlink" Target="http://www.mouser.com/Search/Refine.aspx?Keyword=RC0603FR-07887KL%20" TargetMode="External"/><Relationship Id="rId163" Type="http://schemas.openxmlformats.org/officeDocument/2006/relationships/hyperlink" Target="http://www.newark.com/webapp/wcs/stores/servlet/Search?catalogId=15003&amp;langId=-1&amp;storeId=10194&amp;gs=true&amp;st=RC0603FR-07887KL%20" TargetMode="External"/><Relationship Id="rId164" Type="http://schemas.openxmlformats.org/officeDocument/2006/relationships/hyperlink" Target="http://www.mouser.com/ProductDetail/Exar/CLC4007ITP14MTR/?qs=sGAEpiMZZMtp5ziQ9mm%252bAti99N1V1BDqm11AMZ2SzdI%3D" TargetMode="External"/><Relationship Id="rId165" Type="http://schemas.openxmlformats.org/officeDocument/2006/relationships/hyperlink" Target="http://it.rs-online.com/web/p/amplificatori-operazionali/7917472/" TargetMode="External"/><Relationship Id="rId166" Type="http://schemas.openxmlformats.org/officeDocument/2006/relationships/hyperlink" Target="http://www.digikey.com/product-detail/en/yageo/RC0603FR-074K7L/311-4.70KHRCT-ND/730159" TargetMode="External"/><Relationship Id="rId167" Type="http://schemas.openxmlformats.org/officeDocument/2006/relationships/hyperlink" Target="http://it.farnell.com/yageo/rc0603fr-074k7l/res-thick-film-4k7-1-0-1w-0603/dp/2363478" TargetMode="External"/><Relationship Id="rId168" Type="http://schemas.openxmlformats.org/officeDocument/2006/relationships/hyperlink" Target="http://www.mouser.com/Search/Refine.aspx?Keyword=RC0603FR-074K7L%20" TargetMode="External"/><Relationship Id="rId169" Type="http://schemas.openxmlformats.org/officeDocument/2006/relationships/hyperlink" Target="http://www.newark.com/yageo/rc0603fr-074k7l/res-thick-film-4k7-1-0-1w-0603/dp/68R0092" TargetMode="External"/><Relationship Id="rId170" Type="http://schemas.openxmlformats.org/officeDocument/2006/relationships/hyperlink" Target="http://www.digikey.com/product-detail/en/microchip-technology/MIC5270YM5-TR/576-1295-1-ND/771912" TargetMode="External"/><Relationship Id="rId171" Type="http://schemas.openxmlformats.org/officeDocument/2006/relationships/hyperlink" Target="http://it.farnell.com/microchip/mic5270ym5-tr/ldo-ve-0-5vdo-0-1a-adj-3-5sot23/dp/2510309" TargetMode="External"/><Relationship Id="rId172" Type="http://schemas.openxmlformats.org/officeDocument/2006/relationships/hyperlink" Target="http://www.mouser.com/ProductDetail/Microchip-Technology-Micrel/MIC5270YM5-TR/?qs=sGAEpiMZZMsGz1a6aV8DcNranXV84HMLO2TL4TMYDx4%3D" TargetMode="External"/><Relationship Id="rId173" Type="http://schemas.openxmlformats.org/officeDocument/2006/relationships/hyperlink" Target="http://www.newark.com/microchip/mic5270ym5-tr/ldo-adj-1-24v-to-14v-0-1a-sot/dp/72Y5346" TargetMode="External"/><Relationship Id="rId174" Type="http://schemas.openxmlformats.org/officeDocument/2006/relationships/hyperlink" Target="http://it.rs-online.com/web/p/regolatori-di-tensione-low-dropout/9101698/" TargetMode="External"/><Relationship Id="rId175" Type="http://schemas.openxmlformats.org/officeDocument/2006/relationships/hyperlink" Target="http://www.digikey.com/product-detail/en/yageo/RC0603FR-071KL/311-1.00KHRCT-ND/729790" TargetMode="External"/><Relationship Id="rId176" Type="http://schemas.openxmlformats.org/officeDocument/2006/relationships/hyperlink" Target="http://it.farnell.com/yageo-phycomp/rc0603fr-071kl/res-film-spesso-1k-1-0-1w-0603/dp/9238484" TargetMode="External"/><Relationship Id="rId177" Type="http://schemas.openxmlformats.org/officeDocument/2006/relationships/hyperlink" Target="http://www.mouser.com/Search/Refine.aspx?Keyword=RC0603FR-071KL%20" TargetMode="External"/><Relationship Id="rId178" Type="http://schemas.openxmlformats.org/officeDocument/2006/relationships/hyperlink" Target="http://www.newark.com/yageo/rc0603fr-071kl/res-thick-film-1k-1-0-1w-0603/dp/68R0042" TargetMode="External"/><Relationship Id="rId179" Type="http://schemas.openxmlformats.org/officeDocument/2006/relationships/hyperlink" Target="http://www.digikey.com/scripts/DkSearch/dksus.dll?WT.z_header=search_go&amp;lang=en&amp;keywords=C0603C103K5RECTU%20" TargetMode="External"/><Relationship Id="rId180" Type="http://schemas.openxmlformats.org/officeDocument/2006/relationships/hyperlink" Target="http://www.mouser.com/Search/Refine.aspx?Keyword=C0603C103K5RECTU%20" TargetMode="External"/><Relationship Id="rId181" Type="http://schemas.openxmlformats.org/officeDocument/2006/relationships/hyperlink" Target="http://www.digikey.com/product-detail/en/kingbright/APTD1608LCGCK/754-2037-1-ND/7043091" TargetMode="External"/><Relationship Id="rId182" Type="http://schemas.openxmlformats.org/officeDocument/2006/relationships/hyperlink" Target="http://www.mouser.com/Search/Refine.aspx?Keyword=APTD1608LCGCK%20" TargetMode="External"/><Relationship Id="rId183" Type="http://schemas.openxmlformats.org/officeDocument/2006/relationships/hyperlink" Target="http://www.digikey.com/product-detail/en/yageo/RC0603FR-0713KL/311-13.0KHRCT-ND/729876" TargetMode="External"/><Relationship Id="rId184" Type="http://schemas.openxmlformats.org/officeDocument/2006/relationships/hyperlink" Target="http://it.farnell.com/yageo/rc0603fr-0713kl/res-thick-film-13k-1-0-1w-0603/dp/2413675" TargetMode="External"/><Relationship Id="rId185" Type="http://schemas.openxmlformats.org/officeDocument/2006/relationships/hyperlink" Target="http://www.mouser.com/Search/Refine.aspx?Keyword=RC0603FR-0713KL%20" TargetMode="External"/><Relationship Id="rId186" Type="http://schemas.openxmlformats.org/officeDocument/2006/relationships/hyperlink" Target="http://www.newark.com/yageo/rc0603fr-0713kl/res-thick-film-13k-1-0-1w-0603/dp/68R0057" TargetMode="External"/><Relationship Id="rId187" Type="http://schemas.openxmlformats.org/officeDocument/2006/relationships/hyperlink" Target="http://www.digikey.com/scripts/DkSearch/dksus.dll?WT.z_header=search_go&amp;lang=en&amp;keywords=GKG20015%20" TargetMode="External"/><Relationship Id="rId188" Type="http://schemas.openxmlformats.org/officeDocument/2006/relationships/hyperlink" Target="http://www.mouser.com/Search/Refine.aspx?Keyword=GKG20015%20" TargetMode="External"/><Relationship Id="rId189" Type="http://schemas.openxmlformats.org/officeDocument/2006/relationships/hyperlink" Target="http://www.digikey.com/product-detail/en/yageo/RC0603FR-072K2L/311-2.20KHRCT-ND/729963" TargetMode="External"/><Relationship Id="rId190" Type="http://schemas.openxmlformats.org/officeDocument/2006/relationships/hyperlink" Target="http://it.farnell.com/yageo/rc0603fr-072k2l/res-thick-film-2k2-1-0-1w-0603/dp/2413680" TargetMode="External"/><Relationship Id="rId191" Type="http://schemas.openxmlformats.org/officeDocument/2006/relationships/hyperlink" Target="http://www.mouser.com/Search/Refine.aspx?Keyword=RC0603FR-072K2L%20" TargetMode="External"/><Relationship Id="rId192" Type="http://schemas.openxmlformats.org/officeDocument/2006/relationships/hyperlink" Target="http://www.newark.com/yageo/rc0603fr-072k2l/res-thick-film-2k2-1-0-1w-0603/dp/68R0064" TargetMode="External"/><Relationship Id="rId193" Type="http://schemas.openxmlformats.org/officeDocument/2006/relationships/hyperlink" Target="http://www.digikey.com/product-detail/en/murata-electronics-north-america/BLM18AG121SN1D/490-1011-1-ND/584459" TargetMode="External"/><Relationship Id="rId194" Type="http://schemas.openxmlformats.org/officeDocument/2006/relationships/hyperlink" Target="http://it.farnell.com/murata/blm18ag121sn1d/ferrite-bead-0-18ohm-500ma-0603/dp/1515672" TargetMode="External"/><Relationship Id="rId195" Type="http://schemas.openxmlformats.org/officeDocument/2006/relationships/hyperlink" Target="http://www.mouser.com/Search/Refine.aspx?Keyword=BLM18AG121SN1D%20" TargetMode="External"/><Relationship Id="rId196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197" Type="http://schemas.openxmlformats.org/officeDocument/2006/relationships/hyperlink" Target="http://it.rs-online.com/web/c/?searchTerm=BLM18AG121SN1D%20" TargetMode="External"/><Relationship Id="rId198" Type="http://schemas.openxmlformats.org/officeDocument/2006/relationships/hyperlink" Target="http://www.digikey.com/product-detail/en/on-semiconductor/LE25U20AMB-AH/LE25U20AMB-AHOSCT-ND/5213250" TargetMode="External"/><Relationship Id="rId199" Type="http://schemas.openxmlformats.org/officeDocument/2006/relationships/hyperlink" Target="http://it.farnell.com/on-semiconductor/le25u20amb-ah/flash-seriale-2mbit-30mhz-soic/dp/2774638" TargetMode="External"/><Relationship Id="rId200" Type="http://schemas.openxmlformats.org/officeDocument/2006/relationships/hyperlink" Target="http://www.mouser.com/Search/Refine.aspx?Keyword=LE25U20AMB-AH%20" TargetMode="External"/><Relationship Id="rId201" Type="http://schemas.openxmlformats.org/officeDocument/2006/relationships/hyperlink" Target="http://www.newark.com/webapp/wcs/stores/servlet/Search?catalogId=15003&amp;langId=-1&amp;storeId=10194&amp;gs=true&amp;st=LE25U20AMB-AH%20" TargetMode="External"/><Relationship Id="rId202" Type="http://schemas.openxmlformats.org/officeDocument/2006/relationships/hyperlink" Target="http://it.rs-online.com/web/c/?searchTerm=LE25U20AMB-AH%20" TargetMode="External"/><Relationship Id="rId203" Type="http://schemas.openxmlformats.org/officeDocument/2006/relationships/hyperlink" Target="http://www.digikey.com/product-detail/en/yageo/RC1206JR-070RL/311-0.0ERCT-ND/732131" TargetMode="External"/><Relationship Id="rId204" Type="http://schemas.openxmlformats.org/officeDocument/2006/relationships/hyperlink" Target="http://it.farnell.com/yageo-phycomp/rc1206jr-070rl/res-film-spesso-0r-5-0-25w-1206/dp/9240276" TargetMode="External"/><Relationship Id="rId205" Type="http://schemas.openxmlformats.org/officeDocument/2006/relationships/hyperlink" Target="http://www.mouser.com/Search/Refine.aspx?Keyword=RC1206JR-070RL%20" TargetMode="External"/><Relationship Id="rId206" Type="http://schemas.openxmlformats.org/officeDocument/2006/relationships/hyperlink" Target="http://www.newark.com/yageo/rc1206jr-070rl/res-thick-film-0r-0-25w-1206/dp/68R0297" TargetMode="External"/><Relationship Id="rId207" Type="http://schemas.openxmlformats.org/officeDocument/2006/relationships/hyperlink" Target="http://www.digikey.com/product-detail/en/yageo/RC0603FR-072K2L/311-2.20KHRCT-ND/729963" TargetMode="External"/><Relationship Id="rId208" Type="http://schemas.openxmlformats.org/officeDocument/2006/relationships/hyperlink" Target="http://it.farnell.com/yageo/rc0603fr-072k2l/res-thick-film-2k2-1-0-1w-0603/dp/2413680" TargetMode="External"/><Relationship Id="rId209" Type="http://schemas.openxmlformats.org/officeDocument/2006/relationships/hyperlink" Target="http://www.mouser.com/Search/Refine.aspx?Keyword=RC0603FR-072K2L%20" TargetMode="External"/><Relationship Id="rId210" Type="http://schemas.openxmlformats.org/officeDocument/2006/relationships/hyperlink" Target="http://www.newark.com/yageo/rc0603fr-072k2l/res-thick-film-2k2-1-0-1w-0603/dp/68R0064" TargetMode="External"/><Relationship Id="rId211" Type="http://schemas.openxmlformats.org/officeDocument/2006/relationships/hyperlink" Target="http://www.digikey.com/product-detail/en/yageo/RC0603FR-07100RL/311-100HRCT-ND/729835" TargetMode="External"/><Relationship Id="rId212" Type="http://schemas.openxmlformats.org/officeDocument/2006/relationships/hyperlink" Target="http://it.farnell.com/yageo-phycomp/rc0603fr-07100rl/res-film-spesso-100r-1-0-1w-0603/dp/9238360" TargetMode="External"/><Relationship Id="rId213" Type="http://schemas.openxmlformats.org/officeDocument/2006/relationships/hyperlink" Target="http://www.mouser.com/Search/Refine.aspx?Keyword=RC0603FR-07100RL%20" TargetMode="External"/><Relationship Id="rId214" Type="http://schemas.openxmlformats.org/officeDocument/2006/relationships/hyperlink" Target="http://www.newark.com/yageo/rc0603fr-07100rl/res-thick-film-100r-1-0-1w-0603/dp/68R0052" TargetMode="External"/><Relationship Id="rId215" Type="http://schemas.openxmlformats.org/officeDocument/2006/relationships/hyperlink" Target="http://www.digikey.com/product-detail/en/texas-instruments/ADC1175CIMTCX-NOPB/296-35235-1-ND/3738943" TargetMode="External"/><Relationship Id="rId216" Type="http://schemas.openxmlformats.org/officeDocument/2006/relationships/hyperlink" Target="http://it.farnell.com/webapp/wcs/stores/servlet/Search?catalogId=15001&amp;langId=-4&amp;storeId=10165&amp;gs=true&amp;st=ADC1175CIMTCX%2FNOPB%20" TargetMode="External"/><Relationship Id="rId217" Type="http://schemas.openxmlformats.org/officeDocument/2006/relationships/hyperlink" Target="http://www.mouser.com/ProductDetail/Texas-Instruments/ADC1175CIMTCX-NOPB/?qs=sGAEpiMZZMvTvDTV69d2QmTpGOaZbimbJbS3NWokLDA%3D" TargetMode="External"/><Relationship Id="rId218" Type="http://schemas.openxmlformats.org/officeDocument/2006/relationships/hyperlink" Target="http://www.newark.com/webapp/wcs/stores/servlet/Search?catalogId=15003&amp;langId=-1&amp;storeId=10194&amp;gs=true&amp;st=ADC1175CIMTCX%2FNOPB%20" TargetMode="External"/><Relationship Id="rId219" Type="http://schemas.openxmlformats.org/officeDocument/2006/relationships/hyperlink" Target="http://www.digikey.com/product-detail/en/avx-corporation/TAJA106K016TNJ/478-10744-1-ND/7536607" TargetMode="External"/><Relationship Id="rId220" Type="http://schemas.openxmlformats.org/officeDocument/2006/relationships/hyperlink" Target="http://www.mouser.com/Search/Refine.aspx?Keyword=TAJA106K016TNJ%20" TargetMode="External"/><Relationship Id="rId221" Type="http://schemas.openxmlformats.org/officeDocument/2006/relationships/hyperlink" Target="http://www.newark.com/avx/taja106k016rnj/tantalum-capacitor-10uf-16v-3/dp/60R5827?rpsku=rel3%3ATAJA106K016TNJ" TargetMode="External"/><Relationship Id="rId222" Type="http://schemas.openxmlformats.org/officeDocument/2006/relationships/hyperlink" Target="http://www.digikey.com/product-detail/en/yageo/RC0603FR-0712KL/311-12.0KHRCT-ND/729860" TargetMode="External"/><Relationship Id="rId223" Type="http://schemas.openxmlformats.org/officeDocument/2006/relationships/hyperlink" Target="http://it.farnell.com/yageo-phycomp/rc0603fr-0712kl/res-film-spesso-12k-1-0-1w-0603/dp/9238611" TargetMode="External"/><Relationship Id="rId224" Type="http://schemas.openxmlformats.org/officeDocument/2006/relationships/hyperlink" Target="http://www.mouser.com/ProductDetail/Yageo/RC0603FR-0712KL/?qs=sGAEpiMZZMu61qfTUdNhG5eFuApKbqVdgfbTkB8L%252bsI%3D" TargetMode="External"/><Relationship Id="rId225" Type="http://schemas.openxmlformats.org/officeDocument/2006/relationships/hyperlink" Target="http://www.newark.com/yageo/rc0603fr-0712kl/res-thick-film-12k-1-0-1w-0603/dp/68R0054" TargetMode="External"/><Relationship Id="rId226" Type="http://schemas.openxmlformats.org/officeDocument/2006/relationships/hyperlink" Target="http://www.mouser.com/Search/Refine.aspx?Keyword=VJ0603A181FXXPW1BC%20" TargetMode="External"/><Relationship Id="rId227" Type="http://schemas.openxmlformats.org/officeDocument/2006/relationships/hyperlink" Target="http://www.digikey.com/product-detail/en/yageo/RT0603DRE0710KL/YAG2318CT-ND/5252432" TargetMode="External"/><Relationship Id="rId228" Type="http://schemas.openxmlformats.org/officeDocument/2006/relationships/hyperlink" Target="http://www.mouser.com/Search/Refine.aspx?Keyword=RT0603DRE0710KL%20" TargetMode="External"/><Relationship Id="rId229" Type="http://schemas.openxmlformats.org/officeDocument/2006/relationships/hyperlink" Target="http://www.newark.com/webapp/wcs/stores/servlet/Search?catalogId=15003&amp;langId=-1&amp;storeId=10194&amp;gs=true&amp;st=RT0603DRE0710KL%20" TargetMode="External"/><Relationship Id="rId230" Type="http://schemas.openxmlformats.org/officeDocument/2006/relationships/hyperlink" Target="http://www.mouser.com/Search/Refine.aspx?Keyword=CRCW080550R0FKTA%20" TargetMode="External"/><Relationship Id="rId231" Type="http://schemas.openxmlformats.org/officeDocument/2006/relationships/hyperlink" Target="http://it.farnell.com/fairchild-semiconductor/bat54s/diodo-schottky-100ma-30v-sot-23/dp/2323106" TargetMode="External"/><Relationship Id="rId232" Type="http://schemas.openxmlformats.org/officeDocument/2006/relationships/hyperlink" Target="http://www.mouser.com/ProductDetail/ON-Semiconductor-Fairchild/BAT54S/?qs=sGAEpiMZZMtQ8nqTKtFS%2FIwmNNVNDRcYUrXGPe5oOTQ%3D" TargetMode="External"/><Relationship Id="rId233" Type="http://schemas.openxmlformats.org/officeDocument/2006/relationships/hyperlink" Target="http://www.newark.com/fairchild-semiconductor/bat54s/dual-schottky-rectifier-series/dp/35C0399" TargetMode="External"/><Relationship Id="rId234" Type="http://schemas.openxmlformats.org/officeDocument/2006/relationships/hyperlink" Target="http://it.rs-online.com/web/p/diodi-rettificatori-e-schottky/5444584/" TargetMode="External"/><Relationship Id="rId235" Type="http://schemas.openxmlformats.org/officeDocument/2006/relationships/hyperlink" Target="http://www.digikey.com/product-detail/en/murata-electronics-north-america/GRM1885C1H182FA01D/490-12714-1-ND/5797683" TargetMode="External"/><Relationship Id="rId236" Type="http://schemas.openxmlformats.org/officeDocument/2006/relationships/hyperlink" Target="http://www.mouser.com/Search/Refine.aspx?Keyword=GRM1885C1H182FA01D%20" TargetMode="External"/><Relationship Id="rId237" Type="http://schemas.openxmlformats.org/officeDocument/2006/relationships/hyperlink" Target="http://www.digikey.com/product-detail/en/yageo/RC0603JR-07220RL/311-220GRCT-ND/729688" TargetMode="External"/><Relationship Id="rId238" Type="http://schemas.openxmlformats.org/officeDocument/2006/relationships/hyperlink" Target="http://it.farnell.com/yageo-phycomp/rc0603jr-07220rl/res-film-spesso-220r-5-0-1w-0603/dp/9233296" TargetMode="External"/><Relationship Id="rId239" Type="http://schemas.openxmlformats.org/officeDocument/2006/relationships/hyperlink" Target="http://www.mouser.com/ProductDetail/Yageo/RC0603JR-07220RL/?qs=sGAEpiMZZMu61qfTUdNhG7061%252buhCRVw%2FNvkE8I4DWs%3D" TargetMode="External"/><Relationship Id="rId240" Type="http://schemas.openxmlformats.org/officeDocument/2006/relationships/hyperlink" Target="http://www.newark.com/yageo/rc0603jr-07220rl/res-thick-film-220r-5-0-1w-0603/dp/68R0170" TargetMode="External"/><Relationship Id="rId241" Type="http://schemas.openxmlformats.org/officeDocument/2006/relationships/hyperlink" Target="http://www.digikey.com/scripts/DkSearch/dksus.dll?WT.z_header=search_go&amp;lang=en&amp;keywords=M52-5002545%20" TargetMode="External"/><Relationship Id="rId242" Type="http://schemas.openxmlformats.org/officeDocument/2006/relationships/hyperlink" Target="http://it.farnell.com/webapp/wcs/stores/servlet/Search?catalogId=15001&amp;langId=-4&amp;storeId=10165&amp;gs=true&amp;st=M52-5002545%20" TargetMode="External"/><Relationship Id="rId243" Type="http://schemas.openxmlformats.org/officeDocument/2006/relationships/hyperlink" Target="http://www.mouser.com/Search/Refine.aspx?Keyword=M52-5002545%20" TargetMode="External"/><Relationship Id="rId244" Type="http://schemas.openxmlformats.org/officeDocument/2006/relationships/hyperlink" Target="http://www.newark.com/webapp/wcs/stores/servlet/Search?catalogId=15003&amp;langId=-1&amp;storeId=10194&amp;gs=true&amp;st=M52-5002545%20" TargetMode="External"/><Relationship Id="rId245" Type="http://schemas.openxmlformats.org/officeDocument/2006/relationships/hyperlink" Target="http://it.rs-online.com/web/p/prese-da-pcb/6813039/" TargetMode="External"/><Relationship Id="rId246" Type="http://schemas.openxmlformats.org/officeDocument/2006/relationships/hyperlink" Target="http://www.digikey.com/product-detail/en/yageo/RC0603FR-071K2L/311-1.20KHRCT-ND/729799" TargetMode="External"/><Relationship Id="rId247" Type="http://schemas.openxmlformats.org/officeDocument/2006/relationships/hyperlink" Target="http://it.farnell.com/yageo-phycomp/rc0603fr-071k2l/res-film-spesso-1k2-1-0-1w-0603/dp/9238492" TargetMode="External"/><Relationship Id="rId248" Type="http://schemas.openxmlformats.org/officeDocument/2006/relationships/hyperlink" Target="http://www.mouser.com/ProductDetail/Yageo/RC0603FR-071K2L/?qs=sGAEpiMZZMu61qfTUdNhG5eFuApKbqVdGHoRw3xWRI8%3D" TargetMode="External"/><Relationship Id="rId249" Type="http://schemas.openxmlformats.org/officeDocument/2006/relationships/hyperlink" Target="http://www.newark.com/yageo/rc0603fr-071k2l/res-thick-film-1k2-1-0-1w-0603/dp/68R0044" TargetMode="External"/><Relationship Id="rId250" Type="http://schemas.openxmlformats.org/officeDocument/2006/relationships/hyperlink" Target="http://www.digikey.com/product-detail/en/texas-instruments/CD4051BM96/296-14271-1-ND/528348" TargetMode="External"/><Relationship Id="rId251" Type="http://schemas.openxmlformats.org/officeDocument/2006/relationships/hyperlink" Target="http://it.farnell.com/texas-instruments/cd4051bm96/mux-single-8ch-soic-16/dp/2334931" TargetMode="External"/><Relationship Id="rId252" Type="http://schemas.openxmlformats.org/officeDocument/2006/relationships/hyperlink" Target="http://www.mouser.com/ProductDetail/Texas-Instruments/CD4051BM96/?qs=sGAEpiMZZMtxrAS98ir%252bsyyzhQKXP6Bbl4qwrOlBtBQ%3D" TargetMode="External"/><Relationship Id="rId253" Type="http://schemas.openxmlformats.org/officeDocument/2006/relationships/hyperlink" Target="http://www.newark.com/texas-instruments/cd4051bm96/analog-mux-dmux-8-x-1-soic-16/dp/05B5596" TargetMode="External"/><Relationship Id="rId254" Type="http://schemas.openxmlformats.org/officeDocument/2006/relationships/hyperlink" Target="http://it.rs-online.com/web/c/?searchTerm=CD4051BM96%20" TargetMode="External"/><Relationship Id="rId255" Type="http://schemas.openxmlformats.org/officeDocument/2006/relationships/hyperlink" Target="http://www.digikey.com/product-detail/en/alliance-memory-inc/AS4C1M16S-7TCN/1450-1004-ND/4234563" TargetMode="External"/><Relationship Id="rId256" Type="http://schemas.openxmlformats.org/officeDocument/2006/relationships/hyperlink" Target="http://www.mouser.com/ProductDetail/Alliance-Memory/AS4C1M16S-7TCN/?qs=sGAEpiMZZMti5BT4iPSEnVeWD45jS%2FiP9v5oax8%252blEY%3D" TargetMode="External"/><Relationship Id="rId257" Type="http://schemas.openxmlformats.org/officeDocument/2006/relationships/hyperlink" Target="http://it.rs-online.com/web/c/?searchTerm=AS4C1M16S%20" TargetMode="External"/><Relationship Id="rId258" Type="http://schemas.openxmlformats.org/officeDocument/2006/relationships/hyperlink" Target="http://www.digikey.com/product-detail/en/ixys-integrated-circuits-division/CPC1017N/CLA153-ND/555063" TargetMode="External"/><Relationship Id="rId259" Type="http://schemas.openxmlformats.org/officeDocument/2006/relationships/hyperlink" Target="http://www.mouser.com/ProductDetail/IXYS-Integrated-Circuits/CPC1017N/?qs=sGAEpiMZZMsUriz2CNI3E0bxyj4gwKaX1hdREZC6paQ%3D" TargetMode="External"/><Relationship Id="rId260" Type="http://schemas.openxmlformats.org/officeDocument/2006/relationships/hyperlink" Target="http://www.newark.com/clare/cpc1017n/ic-normally-open-pc-mount-solid/dp/70C4236" TargetMode="External"/><Relationship Id="rId261" Type="http://schemas.openxmlformats.org/officeDocument/2006/relationships/hyperlink" Target="http://it.rs-online.com/web/c/?searchTerm=CPC1017N%20" TargetMode="External"/><Relationship Id="rId262" Type="http://schemas.openxmlformats.org/officeDocument/2006/relationships/hyperlink" Target="http://www.digikey.com/product-detail/en/yageo/RC0603FR-07100RL/311-100HRCT-ND/729835" TargetMode="External"/><Relationship Id="rId263" Type="http://schemas.openxmlformats.org/officeDocument/2006/relationships/hyperlink" Target="http://it.farnell.com/yageo-phycomp/rc0603fr-07100rl/res-film-spesso-100r-1-0-1w-0603/dp/9238360" TargetMode="External"/><Relationship Id="rId264" Type="http://schemas.openxmlformats.org/officeDocument/2006/relationships/hyperlink" Target="http://www.mouser.com/Search/Refine.aspx?Keyword=RC0603FR-07100RL%20" TargetMode="External"/><Relationship Id="rId265" Type="http://schemas.openxmlformats.org/officeDocument/2006/relationships/hyperlink" Target="http://www.newark.com/yageo/rc0603fr-07100rl/res-thick-film-100r-1-0-1w-0603/dp/68R0052" TargetMode="External"/><Relationship Id="rId266" Type="http://schemas.openxmlformats.org/officeDocument/2006/relationships/hyperlink" Target="http://www.digikey.com/product-detail/en/susumu/RR0816P-9092-D-93C/RR08P90.9KDCT-ND/433086" TargetMode="External"/><Relationship Id="rId267" Type="http://schemas.openxmlformats.org/officeDocument/2006/relationships/hyperlink" Target="http://www.mouser.com/Search/Refine.aspx?Keyword=RR0816P-9092-D-93C%20" TargetMode="External"/><Relationship Id="rId268" Type="http://schemas.openxmlformats.org/officeDocument/2006/relationships/hyperlink" Target="http://www.newark.com/webapp/wcs/stores/servlet/Search?catalogId=15003&amp;langId=-1&amp;storeId=10194&amp;gs=true&amp;st=RR0816P-9092-D-93C%20" TargetMode="External"/><Relationship Id="rId269" Type="http://schemas.openxmlformats.org/officeDocument/2006/relationships/hyperlink" Target="http://www.digikey.com/product-detail/en/kemet/C0603C105K8PACTU/399-3118-1-ND/551623" TargetMode="External"/><Relationship Id="rId270" Type="http://schemas.openxmlformats.org/officeDocument/2006/relationships/hyperlink" Target="http://it.farnell.com/kemet/c0603c105k8pactu/condensatore-mlcc-x5r-1uf-10v/dp/9227776" TargetMode="External"/><Relationship Id="rId271" Type="http://schemas.openxmlformats.org/officeDocument/2006/relationships/hyperlink" Target="http://www.mouser.com/ProductDetail/KEMET/C0603C105K8PACTU/?qs=sGAEpiMZZMs0AnBnWHyRQFqPnX0OlvcoH0hWHQB3lFc%3D" TargetMode="External"/><Relationship Id="rId272" Type="http://schemas.openxmlformats.org/officeDocument/2006/relationships/hyperlink" Target="http://www.newark.com/kemet/c0603c105k8pactu/ceramic-capacitor-1uf-10v-x5r/dp/70K9090" TargetMode="External"/><Relationship Id="rId273" Type="http://schemas.openxmlformats.org/officeDocument/2006/relationships/hyperlink" Target="http://it.rs-online.com/web/c/?searchTerm=C0603C105K8PACTU%20" TargetMode="External"/><Relationship Id="rId274" Type="http://schemas.openxmlformats.org/officeDocument/2006/relationships/hyperlink" Target="http://www.digikey.com/scripts/DkSearch/dksus.dll?WT.z_header=search_go&amp;lang=en&amp;keywords=iCE40-HX4K-TQ144%20" TargetMode="External"/><Relationship Id="rId275" Type="http://schemas.openxmlformats.org/officeDocument/2006/relationships/hyperlink" Target="http://www.mouser.com/Search/Refine.aspx?Keyword=iCE40-HX4K-TQ144%20" TargetMode="External"/><Relationship Id="rId276" Type="http://schemas.openxmlformats.org/officeDocument/2006/relationships/hyperlink" Target="http://it.rs-online.com/web/p/fpga/7720057/" TargetMode="External"/><Relationship Id="rId277" Type="http://schemas.openxmlformats.org/officeDocument/2006/relationships/hyperlink" Target="http://www.digikey.com/product-detail/en/microchip-technology/MIC5355-S4YMME/576-3880-5-ND/2650442" TargetMode="External"/><Relationship Id="rId278" Type="http://schemas.openxmlformats.org/officeDocument/2006/relationships/hyperlink" Target="http://www.mouser.com/ProductDetail/Microchip-Technology-Micrel/MIC5355-S4YMME/?qs=sGAEpiMZZMsGz1a6aV8DcP%252b6ey5cUOYklbyck%2FhHfxg%3D" TargetMode="External"/><Relationship Id="rId279" Type="http://schemas.openxmlformats.org/officeDocument/2006/relationships/hyperlink" Target="http://www.digikey.com/product-detail/en/avx-corporation/06031U220FAT2A/478-10233-1-ND/6797453" TargetMode="External"/><Relationship Id="rId280" Type="http://schemas.openxmlformats.org/officeDocument/2006/relationships/hyperlink" Target="http://it.farnell.com/webapp/wcs/stores/servlet/Search?catalogId=15001&amp;langId=-4&amp;storeId=10165&amp;gs=true&amp;st=06031U220FAT2A%20" TargetMode="External"/><Relationship Id="rId281" Type="http://schemas.openxmlformats.org/officeDocument/2006/relationships/hyperlink" Target="http://www.mouser.com/Search/Refine.aspx?Keyword=06031U220FAT2A%20" TargetMode="External"/><Relationship Id="rId282" Type="http://schemas.openxmlformats.org/officeDocument/2006/relationships/hyperlink" Target="http://www.newark.com/webapp/wcs/stores/servlet/Search?catalogId=15003&amp;langId=-1&amp;storeId=10194&amp;gs=true&amp;st=06031U220FAT2A%20" TargetMode="External"/><Relationship Id="rId283" Type="http://schemas.openxmlformats.org/officeDocument/2006/relationships/hyperlink" Target="http://www.digikey.com/product-detail/en/molex-llc/0476420001/WM1398CT-ND/2350884" TargetMode="External"/><Relationship Id="rId284" Type="http://schemas.openxmlformats.org/officeDocument/2006/relationships/hyperlink" Target="http://it.farnell.com/webapp/wcs/stores/servlet/Search?catalogId=15001&amp;langId=-4&amp;storeId=10165&amp;gs=true&amp;st=47642-0001%20" TargetMode="External"/><Relationship Id="rId285" Type="http://schemas.openxmlformats.org/officeDocument/2006/relationships/hyperlink" Target="http://www.mouser.com/Search/Refine.aspx?Keyword=47642-0001%20" TargetMode="External"/><Relationship Id="rId286" Type="http://schemas.openxmlformats.org/officeDocument/2006/relationships/hyperlink" Target="http://www.newark.com/webapp/wcs/stores/servlet/Search?catalogId=15003&amp;langId=-1&amp;storeId=10194&amp;gs=true&amp;st=47642-0001%20" TargetMode="External"/><Relationship Id="rId287" Type="http://schemas.openxmlformats.org/officeDocument/2006/relationships/hyperlink" Target="http://it.rs-online.com/web/c/?searchTerm=47642-0001%20" TargetMode="External"/><Relationship Id="rId28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T7" activePane="bottomRight" state="frozen"/>
      <selection pane="topLeft" activeCell="A1" activeCellId="0" sqref="A1"/>
      <selection pane="topRight" activeCell="T1" activeCellId="0" sqref="T1"/>
      <selection pane="bottomLeft" activeCell="A7" activeCellId="0" sqref="A7"/>
      <selection pane="bottomRight" activeCell="X1" activeCellId="0" sqref="X1"/>
    </sheetView>
  </sheetViews>
  <sheetFormatPr defaultRowHeight="15"/>
  <cols>
    <col collapsed="false" hidden="false" max="8" min="1" style="0" width="9.04591836734694"/>
    <col collapsed="false" hidden="false" max="9" min="9" style="0" width="15.5255102040816"/>
    <col collapsed="false" hidden="false" max="10" min="10" style="0" width="9.04591836734694"/>
    <col collapsed="false" hidden="false" max="12" min="11" style="0" width="9.04591836734694"/>
    <col collapsed="false" hidden="false" max="13" min="13" style="0" width="15.5255102040816"/>
    <col collapsed="false" hidden="false" max="15" min="14" style="0" width="9.04591836734694"/>
    <col collapsed="false" hidden="false" max="16" min="16" style="0" width="9.04591836734694"/>
    <col collapsed="false" hidden="false" max="18" min="17" style="0" width="9.04591836734694"/>
    <col collapsed="false" hidden="false" max="19" min="19" style="0" width="15.5255102040816"/>
    <col collapsed="false" hidden="false" max="21" min="20" style="0" width="9.04591836734694"/>
    <col collapsed="false" hidden="false" max="22" min="22" style="0" width="9.04591836734694"/>
    <col collapsed="false" hidden="false" max="24" min="23" style="0" width="9.04591836734694"/>
    <col collapsed="false" hidden="false" max="25" min="25" style="0" width="15.5255102040816"/>
    <col collapsed="false" hidden="false" max="27" min="26" style="0" width="9.04591836734694"/>
    <col collapsed="false" hidden="false" max="28" min="28" style="0" width="9.04591836734694"/>
    <col collapsed="false" hidden="false" max="30" min="29" style="0" width="9.04591836734694"/>
    <col collapsed="false" hidden="false" max="31" min="31" style="0" width="15.5255102040816"/>
    <col collapsed="false" hidden="false" max="33" min="32" style="0" width="9.04591836734694"/>
    <col collapsed="false" hidden="false" max="34" min="34" style="0" width="9.04591836734694"/>
    <col collapsed="false" hidden="false" max="36" min="35" style="0" width="9.04591836734694"/>
    <col collapsed="false" hidden="false" max="37" min="37" style="0" width="15.5255102040816"/>
    <col collapsed="false" hidden="false" max="39" min="38" style="0" width="9.04591836734694"/>
    <col collapsed="false" hidden="false" max="1025" min="40" style="0" width="8.50510204081633"/>
  </cols>
  <sheetData>
    <row r="1" customFormat="false" ht="15" hidden="false" customHeight="false" outlineLevel="0" collapsed="false">
      <c r="H1" s="1" t="s">
        <v>0</v>
      </c>
      <c r="I1" s="1" t="n">
        <v>5</v>
      </c>
    </row>
    <row r="2" customFormat="false" ht="15" hidden="false" customHeight="false" outlineLevel="0" collapsed="false">
      <c r="H2" s="2" t="s">
        <v>1</v>
      </c>
      <c r="I2" s="3" t="n">
        <f aca="false">SUM(I7:I85)</f>
        <v>265.4424345</v>
      </c>
      <c r="M2" s="3" t="n">
        <f aca="false">SUM(M7:M85)</f>
        <v>333.1932</v>
      </c>
      <c r="S2" s="3" t="n">
        <f aca="false">SUM(S7:S85)</f>
        <v>164.8867135</v>
      </c>
      <c r="Y2" s="3" t="n">
        <f aca="false">SUM(Y7:Y85)</f>
        <v>337.895</v>
      </c>
      <c r="AE2" s="3" t="n">
        <f aca="false">SUM(AE7:AE85)</f>
        <v>194.545</v>
      </c>
      <c r="AK2" s="3" t="n">
        <f aca="false">SUM(AK7:AK85)</f>
        <v>727.60224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53.0884869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BoardQty*19</f>
        <v>95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0.0132</v>
      </c>
      <c r="I7" s="12" t="n">
        <f aca="false">IFERROR(G7*H7,"")</f>
        <v>1.254</v>
      </c>
      <c r="J7" s="0" t="n">
        <v>8491390</v>
      </c>
      <c r="L7" s="12" t="n">
        <f aca="false">IFERROR(LOOKUP(IF(K7="",G7,K7),{0,1,10,25,50,100,250,500,1000,5000,10000,25000,50000,125000},{0,0.1,0.024,0.0172,0.0132,0.0097,0.0074,0.0059,0.00435,0.00283,0.00246,0.00216,0.00198,0.00194}),"")</f>
        <v>0.0132</v>
      </c>
      <c r="M7" s="12" t="n">
        <f aca="false">IFERROR(IF(K7="",G7,K7)*L7,"")</f>
        <v>1.254</v>
      </c>
      <c r="N7" s="0" t="s">
        <v>26</v>
      </c>
      <c r="O7" s="13" t="s">
        <v>27</v>
      </c>
      <c r="R7" s="12" t="n">
        <f aca="false">IFERROR(LOOKUP(IF(Q7="",G7,Q7),{0,1,100,500,1000,2500},{0,0.0145631,0.0145631,0.0102048,0.008504,0.006378}),"")</f>
        <v>0.0145631</v>
      </c>
      <c r="S7" s="12" t="n">
        <f aca="false">IFERROR(IF(Q7="",G7,Q7)*R7,"")</f>
        <v>1.3834945</v>
      </c>
      <c r="T7" s="0" t="s">
        <v>28</v>
      </c>
      <c r="U7" s="13" t="s">
        <v>27</v>
      </c>
      <c r="V7" s="0" t="n">
        <v>1140411</v>
      </c>
      <c r="X7" s="12" t="n">
        <f aca="false">IFERROR(LOOKUP(IF(W7="",G7,W7),{0,1,10,100,1000,5000},{0,0.1,0.018,0.006,0.004,0.004}),"")</f>
        <v>0.018</v>
      </c>
      <c r="Y7" s="12" t="n">
        <f aca="false">IFERROR(IF(W7="",G7,W7)*X7,"")</f>
        <v>1.71</v>
      </c>
      <c r="Z7" s="0" t="s">
        <v>29</v>
      </c>
      <c r="AA7" s="13" t="s">
        <v>27</v>
      </c>
      <c r="AD7" s="12" t="n">
        <f aca="false">IFERROR(LOOKUP(IF(AC7="",G7,AC7),{0,1,10,25,100,250,500,1000},{0,0.094,0.023,0.016,0.009,0.007,0.006,0.004}),"")</f>
        <v>0.016</v>
      </c>
      <c r="AE7" s="12" t="n">
        <f aca="false">IFERROR(IF(AC7="",G7,AC7)*AD7,"")</f>
        <v>1.52</v>
      </c>
      <c r="AF7" s="0" t="s">
        <v>30</v>
      </c>
      <c r="AG7" s="13" t="s">
        <v>27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24</v>
      </c>
      <c r="F8" s="0" t="s">
        <v>33</v>
      </c>
      <c r="G8" s="0" t="n">
        <f aca="false">BoardQty*2</f>
        <v>10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0.008504</v>
      </c>
      <c r="I8" s="12" t="n">
        <f aca="false">IFERROR(G8*H8,"")</f>
        <v>0.08504</v>
      </c>
      <c r="J8" s="0" t="n">
        <v>3662752</v>
      </c>
      <c r="L8" s="12" t="n">
        <f aca="false">IFERROR(LOOKUP(IF(K8="",G8,K8),{0,1,10,100,1000,2500,5000,10000,25000,50000,125000},{0,0.1,0.015,0.006,0.00268,0.00233,0.00192,0.00167,0.00147,0.00135,0.00132}),"")</f>
        <v>0.015</v>
      </c>
      <c r="M8" s="12" t="n">
        <f aca="false">IFERROR(IF(K8="",G8,K8)*L8,"")</f>
        <v>0.15</v>
      </c>
      <c r="N8" s="0" t="s">
        <v>34</v>
      </c>
      <c r="O8" s="13" t="s">
        <v>27</v>
      </c>
      <c r="R8" s="12" t="n">
        <f aca="false">IFERROR(LOOKUP(IF(Q8="",G8,Q8),{0,1,100,500,1000,2500},{0,0.008504,0.008504,0.006378,0.0051024,0.004252}),"")</f>
        <v>0.008504</v>
      </c>
      <c r="S8" s="12" t="n">
        <f aca="false">IFERROR(IF(Q8="",G8,Q8)*R8,"")</f>
        <v>0.08504</v>
      </c>
      <c r="T8" s="0" t="s">
        <v>35</v>
      </c>
      <c r="U8" s="13" t="s">
        <v>27</v>
      </c>
      <c r="V8" s="0" t="n">
        <v>379387</v>
      </c>
      <c r="X8" s="12" t="n">
        <f aca="false">IFERROR(LOOKUP(IF(W8="",G8,W8),{0,1,10,100,1000,5000},{0,0.1,0.011,0.004,0.002,0.001}),"")</f>
        <v>0.011</v>
      </c>
      <c r="Y8" s="12" t="n">
        <f aca="false">IFERROR(IF(W8="",G8,W8)*X8,"")</f>
        <v>0.11</v>
      </c>
      <c r="Z8" s="0" t="s">
        <v>36</v>
      </c>
      <c r="AA8" s="13" t="s">
        <v>27</v>
      </c>
      <c r="AD8" s="12" t="n">
        <f aca="false">IFERROR(LOOKUP(IF(AC8="",G8,AC8),{0,1,10,25,100,250,1000},{0,0.011,0.011,0.011,0.007,0.005,0.004}),"")</f>
        <v>0.011</v>
      </c>
      <c r="AE8" s="12" t="n">
        <f aca="false">IFERROR(IF(AC8="",G8,AC8)*AD8,"")</f>
        <v>0.11</v>
      </c>
      <c r="AF8" s="0" t="s">
        <v>37</v>
      </c>
      <c r="AG8" s="13" t="s">
        <v>27</v>
      </c>
    </row>
    <row r="9" customFormat="false" ht="15" hidden="false" customHeight="false" outlineLevel="0" collapsed="false">
      <c r="A9" s="0" t="s">
        <v>38</v>
      </c>
      <c r="B9" s="0" t="s">
        <v>39</v>
      </c>
      <c r="D9" s="0" t="s">
        <v>40</v>
      </c>
      <c r="F9" s="0" t="s">
        <v>41</v>
      </c>
      <c r="G9" s="0" t="n">
        <f aca="false">BoardQty*28</f>
        <v>140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9" s="12" t="n">
        <f aca="false">IFERROR(G9*H9,"")</f>
        <v>1.82</v>
      </c>
      <c r="J9" s="0" t="n">
        <v>4778400</v>
      </c>
      <c r="L9" s="12" t="n">
        <f aca="false">IFERROR(LOOKUP(IF(K9="",G9,K9),{0,1,10,100,500,1000,4000,8000,12000},{0,0.1,0.031,0.0136,0.00974,0.00765,0.00557,0.00508,0.00484}),"")</f>
        <v>0.0136</v>
      </c>
      <c r="M9" s="12" t="n">
        <f aca="false">IFERROR(IF(K9="",G9,K9)*L9,"")</f>
        <v>1.904</v>
      </c>
      <c r="N9" s="0" t="s">
        <v>42</v>
      </c>
      <c r="O9" s="13" t="s">
        <v>27</v>
      </c>
      <c r="R9" s="12" t="n">
        <f aca="false">IFERROR(LOOKUP(IF(Q9="",G9,Q9),{0,1,100,500,1000,2000},{0,0.0174332,0.0174332,0.0137127,0.0083977,0.0075473}),"")</f>
        <v>0.0174332</v>
      </c>
      <c r="S9" s="12" t="n">
        <f aca="false">IFERROR(IF(Q9="",G9,Q9)*R9,"")</f>
        <v>2.440648</v>
      </c>
      <c r="T9" s="0" t="s">
        <v>43</v>
      </c>
      <c r="U9" s="13" t="s">
        <v>27</v>
      </c>
      <c r="V9" s="0" t="n">
        <v>492157</v>
      </c>
      <c r="X9" s="12" t="n">
        <f aca="false">IFERROR(LOOKUP(IF(W9="",G9,W9),{0,1,10,100,500,1000,4000,8000,48000},{0,0.1,0.03,0.013,0.007,0.006,0.006,0.005,0.004}),"")</f>
        <v>0.013</v>
      </c>
      <c r="Y9" s="12" t="n">
        <f aca="false">IFERROR(IF(W9="",G9,W9)*X9,"")</f>
        <v>1.82</v>
      </c>
      <c r="Z9" s="0" t="s">
        <v>44</v>
      </c>
      <c r="AA9" s="13" t="s">
        <v>27</v>
      </c>
      <c r="AD9" s="12" t="n">
        <f aca="false">IFERROR(LOOKUP(IF(AC9="",G9,AC9),{0,1,25,50,100,250,500,1000},{0,0.1,0.029,0.021,0.013,0.01,0.007,0.006}),"")</f>
        <v>0.013</v>
      </c>
      <c r="AE9" s="12" t="n">
        <f aca="false">IFERROR(IF(AC9="",G9,AC9)*AD9,"")</f>
        <v>1.82</v>
      </c>
      <c r="AF9" s="0" t="s">
        <v>45</v>
      </c>
      <c r="AG9" s="13" t="s">
        <v>27</v>
      </c>
      <c r="AH9" s="0" t="n">
        <v>2500</v>
      </c>
      <c r="AJ9" s="12" t="n">
        <f aca="false">IFERROR(LOOKUP(IF(AI9="",G9,AI9),{0,1,50,500},{0,0.018071,0.018071,0.007441}),"")</f>
        <v>0.018071</v>
      </c>
      <c r="AK9" s="12" t="n">
        <f aca="false">IFERROR(IF(AI9="",G9,AI9)*AJ9,"")</f>
        <v>2.52994</v>
      </c>
      <c r="AL9" s="0" t="s">
        <v>46</v>
      </c>
      <c r="AM9" s="13" t="s">
        <v>27</v>
      </c>
    </row>
    <row r="10" customFormat="false" ht="15" hidden="false" customHeight="false" outlineLevel="0" collapsed="false">
      <c r="A10" s="0" t="s">
        <v>47</v>
      </c>
      <c r="B10" s="0" t="s">
        <v>48</v>
      </c>
      <c r="D10" s="0" t="s">
        <v>24</v>
      </c>
      <c r="F10" s="0" t="s">
        <v>49</v>
      </c>
      <c r="G10" s="0" t="n">
        <f aca="false">BoardQty*2</f>
        <v>10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10" s="12" t="n">
        <f aca="false">IFERROR(G10*H10,"")</f>
        <v>0.02</v>
      </c>
      <c r="J10" s="0" t="n">
        <v>1578144</v>
      </c>
      <c r="L10" s="12" t="n">
        <f aca="false">IFERROR(LOOKUP(IF(K10="",G10,K10),{0,1,10,100,1000,2500,5000,10000,25000,50000,125000},{0,0.1,0.015,0.006,0.00268,0.00233,0.00192,0.00167,0.00147,0.00135,0.00132}),"")</f>
        <v>0.015</v>
      </c>
      <c r="M10" s="12" t="n">
        <f aca="false">IFERROR(IF(K10="",G10,K10)*L10,"")</f>
        <v>0.15</v>
      </c>
      <c r="N10" s="0" t="s">
        <v>50</v>
      </c>
      <c r="O10" s="13" t="s">
        <v>27</v>
      </c>
      <c r="R10" s="12" t="n">
        <f aca="false">IFERROR(LOOKUP(IF(Q10="",G10,Q10),{0,1,100,500,1000,2500},{0,0.0083977,0.0083977,0.0062717,0.0049961,0.004252}),"")</f>
        <v>0.0083977</v>
      </c>
      <c r="S10" s="12" t="n">
        <f aca="false">IFERROR(IF(Q10="",G10,Q10)*R10,"")</f>
        <v>0.083977</v>
      </c>
      <c r="T10" s="0" t="s">
        <v>51</v>
      </c>
      <c r="U10" s="13" t="s">
        <v>27</v>
      </c>
      <c r="V10" s="0" t="n">
        <v>187203</v>
      </c>
      <c r="X10" s="12" t="n">
        <f aca="false">IFERROR(LOOKUP(IF(W10="",G10,W10),{0,1,10,100,1000,5000},{0,0.1,0.011,0.004,0.002,0.001}),"")</f>
        <v>0.011</v>
      </c>
      <c r="Y10" s="12" t="n">
        <f aca="false">IFERROR(IF(W10="",G10,W10)*X10,"")</f>
        <v>0.11</v>
      </c>
      <c r="Z10" s="0" t="s">
        <v>52</v>
      </c>
      <c r="AA10" s="13" t="s">
        <v>27</v>
      </c>
      <c r="AD10" s="12" t="n">
        <f aca="false">IFERROR(LOOKUP(IF(AC10="",G10,AC10),{0,1,5000,10000,25000},{0,0.002,0.002,0.001,0.001}),"")</f>
        <v>0.002</v>
      </c>
      <c r="AE10" s="12" t="n">
        <f aca="false">IFERROR(IF(AC10="",G10,AC10)*AD10,"")</f>
        <v>0.02</v>
      </c>
      <c r="AF10" s="0" t="s">
        <v>53</v>
      </c>
      <c r="AG10" s="13" t="s">
        <v>27</v>
      </c>
    </row>
    <row r="11" customFormat="false" ht="15" hidden="false" customHeight="false" outlineLevel="0" collapsed="false">
      <c r="A11" s="0" t="s">
        <v>54</v>
      </c>
      <c r="B11" s="0" t="s">
        <v>55</v>
      </c>
      <c r="D11" s="0" t="s">
        <v>56</v>
      </c>
      <c r="F11" s="0" t="s">
        <v>57</v>
      </c>
      <c r="G11" s="0" t="n">
        <f aca="false">BoardQty*1</f>
        <v>5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6.23981</v>
      </c>
      <c r="I11" s="12" t="n">
        <f aca="false">IFERROR(G11*H11,"")</f>
        <v>31.19905</v>
      </c>
      <c r="J11" s="0" t="n">
        <v>35362</v>
      </c>
      <c r="L11" s="12" t="n">
        <f aca="false">IFERROR(LOOKUP(IF(K11="",G11,K11),{0,1,10,100,160,250,500,1000},{0,6.71,6.2,5.4,5.4,4.56,4.06002,3.70002}),"")</f>
        <v>6.71</v>
      </c>
      <c r="M11" s="12" t="n">
        <f aca="false">IFERROR(IF(K11="",G11,K11)*L11,"")</f>
        <v>33.55</v>
      </c>
      <c r="N11" s="0" t="s">
        <v>58</v>
      </c>
      <c r="O11" s="13" t="s">
        <v>27</v>
      </c>
      <c r="R11" s="12" t="n">
        <f aca="false">IFERROR(LOOKUP(IF(Q11="",G11,Q11),{0,1,25,100,500},{0,7.31344,6.15477,4.85791,3.98625}),"")</f>
        <v>7.31344</v>
      </c>
      <c r="S11" s="12" t="n">
        <f aca="false">IFERROR(IF(Q11="",G11,Q11)*R11,"")</f>
        <v>36.5672</v>
      </c>
      <c r="T11" s="0" t="s">
        <v>59</v>
      </c>
      <c r="U11" s="13" t="s">
        <v>27</v>
      </c>
      <c r="V11" s="0" t="n">
        <v>1526</v>
      </c>
      <c r="X11" s="12" t="n">
        <f aca="false">IFERROR(LOOKUP(IF(W11="",G11,W11),{0,1,10,50,100,250,500},{0,6.73,6.22,5.78,5.42,4.58,4.52}),"")</f>
        <v>6.73</v>
      </c>
      <c r="Y11" s="12" t="n">
        <f aca="false">IFERROR(IF(W11="",G11,W11)*X11,"")</f>
        <v>33.65</v>
      </c>
      <c r="Z11" s="0" t="s">
        <v>60</v>
      </c>
      <c r="AA11" s="13" t="s">
        <v>27</v>
      </c>
      <c r="AD11" s="12" t="n">
        <f aca="false">IFERROR(LOOKUP(IF(AC11="",G11,AC11),{0,1,25,100,500},{0,7.74,6.54,5.16,4.24}),"")</f>
        <v>7.74</v>
      </c>
      <c r="AE11" s="12" t="n">
        <f aca="false">IFERROR(IF(AC11="",G11,AC11)*AD11,"")</f>
        <v>38.7</v>
      </c>
      <c r="AF11" s="0" t="s">
        <v>61</v>
      </c>
      <c r="AG11" s="13" t="s">
        <v>27</v>
      </c>
      <c r="AH11" s="0" t="n">
        <v>25</v>
      </c>
      <c r="AJ11" s="12" t="n">
        <f aca="false">IFERROR(LOOKUP(IF(AI11="",G11,AI11),{0,1,5},{0,6.54808,6.23981}),"")</f>
        <v>6.23981</v>
      </c>
      <c r="AK11" s="12" t="n">
        <f aca="false">IFERROR(IF(AI11="",G11,AI11)*AJ11,"")</f>
        <v>31.19905</v>
      </c>
      <c r="AL11" s="0" t="s">
        <v>62</v>
      </c>
      <c r="AM11" s="13" t="s">
        <v>27</v>
      </c>
    </row>
    <row r="12" customFormat="false" ht="15" hidden="false" customHeight="false" outlineLevel="0" collapsed="false">
      <c r="A12" s="0" t="s">
        <v>63</v>
      </c>
      <c r="B12" s="0" t="s">
        <v>64</v>
      </c>
      <c r="D12" s="0" t="s">
        <v>40</v>
      </c>
      <c r="F12" s="0" t="s">
        <v>65</v>
      </c>
      <c r="G12" s="0" t="n">
        <f aca="false">BoardQty*4</f>
        <v>20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0.054213</v>
      </c>
      <c r="I12" s="12" t="n">
        <f aca="false">IFERROR(G12*H12,"")</f>
        <v>1.08426</v>
      </c>
      <c r="L12" s="12" t="n">
        <f aca="false">IFERROR(LOOKUP(IF(K12="",G12,K12),{0,1,10,100,500,1000,2500,5000,10000,20000,30000},{0,0.17,0.123,0.0578,0.04052,0.03355,0.03123,0.02857,0.0231,0.02195,0.02079}),"")</f>
        <v>0.123</v>
      </c>
      <c r="M12" s="12" t="n">
        <f aca="false">IFERROR(IF(K12="",G12,K12)*L12,"")</f>
        <v>2.46</v>
      </c>
      <c r="N12" s="0" t="s">
        <v>66</v>
      </c>
      <c r="O12" s="13" t="s">
        <v>27</v>
      </c>
      <c r="R12" s="12" t="n">
        <f aca="false">IFERROR(LOOKUP(IF(Q12="",G12,Q12),{0,1,100,500,2500,5000,10000,50000,100000},{0,0.0672879,0.0672879,0.0302955,0.0249805,0.0246616,0.019134,0.0161576,0.0140316}),"")</f>
        <v>0.0672879</v>
      </c>
      <c r="S12" s="12" t="n">
        <f aca="false">IFERROR(IF(Q12="",G12,Q12)*R12,"")</f>
        <v>1.345758</v>
      </c>
      <c r="T12" s="0" t="s">
        <v>67</v>
      </c>
      <c r="U12" s="13" t="s">
        <v>27</v>
      </c>
      <c r="V12" s="0" t="n">
        <v>36345</v>
      </c>
      <c r="X12" s="12" t="n">
        <f aca="false">IFERROR(LOOKUP(IF(W12="",G12,W12),{0,1,10,100,500,1000,2500,10000},{0,0.151,0.105,0.05,0.035,0.028,0.024,0.024}),"")</f>
        <v>0.105</v>
      </c>
      <c r="Y12" s="12" t="n">
        <f aca="false">IFERROR(IF(W12="",G12,W12)*X12,"")</f>
        <v>2.1</v>
      </c>
      <c r="Z12" s="0" t="s">
        <v>68</v>
      </c>
      <c r="AA12" s="13" t="s">
        <v>27</v>
      </c>
      <c r="AD12" s="12" t="n">
        <f aca="false">IFERROR(LOOKUP(IF(AC12="",G12,AC12),{0,1,10,25,50,100,250,500,1000},{0,0.105,0.105,0.086,0.068,0.049,0.042,0.035,0.028}),"")</f>
        <v>0.105</v>
      </c>
      <c r="AE12" s="12" t="n">
        <f aca="false">IFERROR(IF(AC12="",G12,AC12)*AD12,"")</f>
        <v>2.1</v>
      </c>
      <c r="AF12" s="0" t="s">
        <v>69</v>
      </c>
      <c r="AG12" s="13" t="s">
        <v>27</v>
      </c>
      <c r="AH12" s="0" t="n">
        <v>1000</v>
      </c>
      <c r="AJ12" s="12" t="n">
        <f aca="false">IFERROR(LOOKUP(IF(AI12="",G12,AI12),{0,1,100,1000},{0,0.054213,0.054213,0.030827}),"")</f>
        <v>0.054213</v>
      </c>
      <c r="AK12" s="12" t="n">
        <f aca="false">IFERROR(IF(AI12="",G12,AI12)*AJ12,"")</f>
        <v>1.08426</v>
      </c>
      <c r="AL12" s="0" t="s">
        <v>70</v>
      </c>
      <c r="AM12" s="13" t="s">
        <v>27</v>
      </c>
    </row>
    <row r="13" customFormat="false" ht="15" hidden="false" customHeight="false" outlineLevel="0" collapsed="false">
      <c r="A13" s="0" t="s">
        <v>71</v>
      </c>
      <c r="B13" s="0" t="s">
        <v>72</v>
      </c>
      <c r="D13" s="0" t="s">
        <v>24</v>
      </c>
      <c r="F13" s="0" t="s">
        <v>73</v>
      </c>
      <c r="G13" s="0" t="n">
        <f aca="false">BoardQty*3</f>
        <v>15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0.0204096</v>
      </c>
      <c r="I13" s="12" t="n">
        <f aca="false">IFERROR(G13*H13,"")</f>
        <v>0.306144</v>
      </c>
      <c r="L13" s="12" t="n">
        <f aca="false">IFERROR(LOOKUP(IF(K13="",G13,K13),{0,1,10,100,1000,2500,5000,10000,20000,25000,30000,40000,50000,60000,100000,125000},{0,0.1,0.026,0.0104,0.00469,0.00407,0.00306,0.00266,0.00266,0.00233,0.00233,0.00233,0.00214,0.00214,0.0021,0.0021}),"")</f>
        <v>0.026</v>
      </c>
      <c r="M13" s="12" t="n">
        <f aca="false">IFERROR(IF(K13="",G13,K13)*L13,"")</f>
        <v>0.39</v>
      </c>
      <c r="N13" s="0" t="s">
        <v>74</v>
      </c>
      <c r="O13" s="13" t="s">
        <v>27</v>
      </c>
      <c r="R13" s="12" t="n">
        <f aca="false">IFERROR(LOOKUP(IF(Q13="",G13,Q13),{0,1,10,100,500,1000,2500,5000,25000,50000},{0,0.0204096,0.0204096,0.0162639,0.01063,0.0093544,0.0081851,0.0070158,0.0051024,0.0044646}),"")</f>
        <v>0.0204096</v>
      </c>
      <c r="S13" s="12" t="n">
        <f aca="false">IFERROR(IF(Q13="",G13,Q13)*R13,"")</f>
        <v>0.306144</v>
      </c>
      <c r="T13" s="0" t="s">
        <v>75</v>
      </c>
      <c r="U13" s="13" t="s">
        <v>27</v>
      </c>
      <c r="V13" s="0" t="n">
        <v>213515</v>
      </c>
      <c r="X13" s="12" t="n">
        <f aca="false">IFERROR(LOOKUP(IF(W13="",G13,W13),{0,1,10,100,500,1000,5000,10000},{0,0.1,0.04,0.024,0.019,0.017,0.005,0.004}),"")</f>
        <v>0.04</v>
      </c>
      <c r="Y13" s="12" t="n">
        <f aca="false">IFERROR(IF(W13="",G13,W13)*X13,"")</f>
        <v>0.6</v>
      </c>
      <c r="Z13" s="0" t="s">
        <v>76</v>
      </c>
      <c r="AA13" s="13" t="s">
        <v>27</v>
      </c>
      <c r="AD13" s="12" t="n">
        <f aca="false">IFERROR(LOOKUP(IF(AC13="",G13,AC13),{0,1,25,50,100,250,500,1000},{0,0.1,0.04,0.032,0.023,0.021,0.019,0.016}),"")</f>
        <v>0.1</v>
      </c>
      <c r="AE13" s="12" t="n">
        <f aca="false">IFERROR(IF(AC13="",G13,AC13)*AD13,"")</f>
        <v>1.5</v>
      </c>
      <c r="AF13" s="0" t="s">
        <v>77</v>
      </c>
      <c r="AG13" s="13" t="s">
        <v>27</v>
      </c>
      <c r="AL13" s="0" t="s">
        <v>78</v>
      </c>
      <c r="AM13" s="13" t="s">
        <v>27</v>
      </c>
    </row>
    <row r="14" customFormat="false" ht="15" hidden="false" customHeight="false" outlineLevel="0" collapsed="false">
      <c r="A14" s="0" t="s">
        <v>79</v>
      </c>
      <c r="B14" s="0" t="s">
        <v>80</v>
      </c>
      <c r="D14" s="0" t="s">
        <v>81</v>
      </c>
      <c r="F14" s="0" t="s">
        <v>80</v>
      </c>
      <c r="G14" s="0" t="n">
        <f aca="false">BoardQty*2</f>
        <v>10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0.209411</v>
      </c>
      <c r="I14" s="12" t="n">
        <f aca="false">IFERROR(G14*H14,"")</f>
        <v>2.09411</v>
      </c>
      <c r="J14" s="0" t="n">
        <v>14820</v>
      </c>
      <c r="L14" s="12" t="n">
        <f aca="false">IFERROR(LOOKUP(IF(K14="",G14,K14),{0,1,25,100,3000},{0,0.3,0.252,0.231,0.231}),"")</f>
        <v>0.3</v>
      </c>
      <c r="M14" s="12" t="n">
        <f aca="false">IFERROR(IF(K14="",G14,K14)*L14,"")</f>
        <v>3</v>
      </c>
      <c r="N14" s="0" t="s">
        <v>82</v>
      </c>
      <c r="O14" s="13" t="s">
        <v>27</v>
      </c>
      <c r="R14" s="12" t="n">
        <f aca="false">IFERROR(LOOKUP(IF(Q14="",G14,Q14),{0,1,100},{0,0.209411,0.209411}),"")</f>
        <v>0.209411</v>
      </c>
      <c r="S14" s="12" t="n">
        <f aca="false">IFERROR(IF(Q14="",G14,Q14)*R14,"")</f>
        <v>2.09411</v>
      </c>
      <c r="T14" s="0" t="s">
        <v>83</v>
      </c>
      <c r="U14" s="13" t="s">
        <v>27</v>
      </c>
      <c r="V14" s="0" t="n">
        <v>5263</v>
      </c>
      <c r="X14" s="12" t="n">
        <f aca="false">IFERROR(LOOKUP(IF(W14="",G14,W14),{0,1,10,25,100,3000},{0,0.352,0.291,0.241,0.221,0.221}),"")</f>
        <v>0.291</v>
      </c>
      <c r="Y14" s="12" t="n">
        <f aca="false">IFERROR(IF(W14="",G14,W14)*X14,"")</f>
        <v>2.91</v>
      </c>
      <c r="Z14" s="0" t="s">
        <v>84</v>
      </c>
      <c r="AA14" s="13" t="s">
        <v>27</v>
      </c>
      <c r="AD14" s="12" t="n">
        <f aca="false">IFERROR(LOOKUP(IF(AC14="",G14,AC14),{0,1,25,100},{0,0.303,0.25,0.23}),"")</f>
        <v>0.303</v>
      </c>
      <c r="AE14" s="12" t="n">
        <f aca="false">IFERROR(IF(AC14="",G14,AC14)*AD14,"")</f>
        <v>3.03</v>
      </c>
      <c r="AF14" s="0" t="s">
        <v>85</v>
      </c>
      <c r="AG14" s="13" t="s">
        <v>27</v>
      </c>
    </row>
    <row r="15" customFormat="false" ht="15" hidden="false" customHeight="false" outlineLevel="0" collapsed="false">
      <c r="A15" s="0" t="s">
        <v>86</v>
      </c>
      <c r="B15" s="0" t="s">
        <v>87</v>
      </c>
      <c r="D15" s="0" t="s">
        <v>24</v>
      </c>
      <c r="F15" s="0" t="s">
        <v>88</v>
      </c>
      <c r="G15" s="0" t="n">
        <f aca="false">BoardQty*2</f>
        <v>10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0.008504</v>
      </c>
      <c r="I15" s="12" t="n">
        <f aca="false">IFERROR(G15*H15,"")</f>
        <v>0.08504</v>
      </c>
      <c r="J15" s="0" t="n">
        <v>1237938</v>
      </c>
      <c r="L15" s="12" t="n">
        <f aca="false">IFERROR(LOOKUP(IF(K15="",G15,K15),{0,1,10,100,1000,2500,5000,10000,25000,50000,125000},{0,0.1,0.015,0.006,0.00268,0.00233,0.00192,0.00167,0.00147,0.00135,0.00132}),"")</f>
        <v>0.015</v>
      </c>
      <c r="M15" s="12" t="n">
        <f aca="false">IFERROR(IF(K15="",G15,K15)*L15,"")</f>
        <v>0.15</v>
      </c>
      <c r="N15" s="0" t="s">
        <v>89</v>
      </c>
      <c r="O15" s="13" t="s">
        <v>27</v>
      </c>
      <c r="R15" s="12" t="n">
        <f aca="false">IFERROR(LOOKUP(IF(Q15="",G15,Q15),{0,1,100,500,1000,2500},{0,0.008504,0.008504,0.006378,0.0051024,0.004252}),"")</f>
        <v>0.008504</v>
      </c>
      <c r="S15" s="12" t="n">
        <f aca="false">IFERROR(IF(Q15="",G15,Q15)*R15,"")</f>
        <v>0.08504</v>
      </c>
      <c r="T15" s="0" t="s">
        <v>90</v>
      </c>
      <c r="U15" s="13" t="s">
        <v>27</v>
      </c>
      <c r="V15" s="0" t="n">
        <v>207781</v>
      </c>
      <c r="X15" s="12" t="n">
        <f aca="false">IFERROR(LOOKUP(IF(W15="",G15,W15),{0,1,10,100,1000,5000},{0,0.1,0.011,0.004,0.002,0.001}),"")</f>
        <v>0.011</v>
      </c>
      <c r="Y15" s="12" t="n">
        <f aca="false">IFERROR(IF(W15="",G15,W15)*X15,"")</f>
        <v>0.11</v>
      </c>
      <c r="Z15" s="0" t="s">
        <v>91</v>
      </c>
      <c r="AA15" s="13" t="s">
        <v>27</v>
      </c>
      <c r="AD15" s="12" t="n">
        <f aca="false">IFERROR(LOOKUP(IF(AC15="",G15,AC15),{0,1,10,25,100,250,1000},{0,0.08,0.014,0.01,0.006,0.004,0.003}),"")</f>
        <v>0.014</v>
      </c>
      <c r="AE15" s="12" t="n">
        <f aca="false">IFERROR(IF(AC15="",G15,AC15)*AD15,"")</f>
        <v>0.14</v>
      </c>
      <c r="AF15" s="0" t="s">
        <v>92</v>
      </c>
      <c r="AG15" s="13" t="s">
        <v>27</v>
      </c>
    </row>
    <row r="16" customFormat="false" ht="15" hidden="false" customHeight="false" outlineLevel="0" collapsed="false">
      <c r="A16" s="0" t="s">
        <v>93</v>
      </c>
      <c r="B16" s="0" t="s">
        <v>94</v>
      </c>
      <c r="D16" s="0" t="s">
        <v>95</v>
      </c>
      <c r="F16" s="0" t="s">
        <v>94</v>
      </c>
      <c r="G16" s="0" t="n">
        <f aca="false">BoardQty*1</f>
        <v>5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0.210474</v>
      </c>
      <c r="I16" s="12" t="n">
        <f aca="false">IFERROR(G16*H16,"")</f>
        <v>1.05237</v>
      </c>
      <c r="J16" s="0" t="n">
        <v>4176</v>
      </c>
      <c r="L16" s="12" t="n">
        <f aca="false">IFERROR(LOOKUP(IF(K16="",G16,K16),{0,1,25,100,3000},{0,0.29,0.2416,0.2205,0.2205}),"")</f>
        <v>0.29</v>
      </c>
      <c r="M16" s="12" t="n">
        <f aca="false">IFERROR(IF(K16="",G16,K16)*L16,"")</f>
        <v>1.45</v>
      </c>
      <c r="N16" s="0" t="s">
        <v>96</v>
      </c>
      <c r="O16" s="13" t="s">
        <v>27</v>
      </c>
      <c r="R16" s="12" t="n">
        <f aca="false">IFERROR(LOOKUP(IF(Q16="",G16,Q16),{0,1,100,250,500},{0,0.210474,0.210474,0.206222,0.205159}),"")</f>
        <v>0.210474</v>
      </c>
      <c r="S16" s="12" t="n">
        <f aca="false">IFERROR(IF(Q16="",G16,Q16)*R16,"")</f>
        <v>1.05237</v>
      </c>
      <c r="T16" s="0" t="s">
        <v>97</v>
      </c>
      <c r="U16" s="13" t="s">
        <v>27</v>
      </c>
      <c r="V16" s="0" t="n">
        <v>3448</v>
      </c>
      <c r="X16" s="12" t="n">
        <f aca="false">IFERROR(LOOKUP(IF(W16="",G16,W16),{0,1,10,25,100,3000},{0,0.301,0.281,0.231,0.211,0.211}),"")</f>
        <v>0.301</v>
      </c>
      <c r="Y16" s="12" t="n">
        <f aca="false">IFERROR(IF(W16="",G16,W16)*X16,"")</f>
        <v>1.505</v>
      </c>
      <c r="Z16" s="0" t="s">
        <v>98</v>
      </c>
      <c r="AA16" s="13" t="s">
        <v>27</v>
      </c>
      <c r="AD16" s="12" t="n">
        <f aca="false">IFERROR(LOOKUP(IF(AC16="",G16,AC16),{0,1,3000},{0,0.217,0.217}),"")</f>
        <v>0.217</v>
      </c>
      <c r="AE16" s="12" t="n">
        <f aca="false">IFERROR(IF(AC16="",G16,AC16)*AD16,"")</f>
        <v>1.085</v>
      </c>
      <c r="AF16" s="0" t="s">
        <v>99</v>
      </c>
      <c r="AG16" s="13" t="s">
        <v>27</v>
      </c>
      <c r="AH16" s="0" t="n">
        <v>640</v>
      </c>
      <c r="AJ16" s="12" t="n">
        <f aca="false">IFERROR(LOOKUP(IF(AI16="",G16,AI16),{0,1,5,25},{0,0.29764,0.29764,0.291262}),"")</f>
        <v>0.29764</v>
      </c>
      <c r="AK16" s="12" t="n">
        <f aca="false">IFERROR(IF(AI16="",G16,AI16)*AJ16,"")</f>
        <v>1.4882</v>
      </c>
      <c r="AL16" s="0" t="s">
        <v>100</v>
      </c>
      <c r="AM16" s="13" t="s">
        <v>27</v>
      </c>
    </row>
    <row r="17" customFormat="false" ht="15" hidden="false" customHeight="false" outlineLevel="0" collapsed="false">
      <c r="A17" s="0" t="s">
        <v>101</v>
      </c>
      <c r="B17" s="0" t="s">
        <v>102</v>
      </c>
      <c r="D17" s="0" t="s">
        <v>103</v>
      </c>
      <c r="F17" s="0" t="s">
        <v>104</v>
      </c>
      <c r="G17" s="0" t="n">
        <f aca="false">BoardQty*2</f>
        <v>10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0.655</v>
      </c>
      <c r="I17" s="12" t="n">
        <f aca="false">IFERROR(G17*H17,"")</f>
        <v>6.55</v>
      </c>
      <c r="J17" s="0" t="n">
        <v>1423</v>
      </c>
      <c r="L17" s="12" t="n">
        <f aca="false">IFERROR(LOOKUP(IF(K17="",G17,K17),{0,1,10,100,500,1000,2500,5000},{0,0.89,0.655,0.4488,0.3553,0.2992,0.2805,0.2618}),"")</f>
        <v>0.655</v>
      </c>
      <c r="M17" s="12" t="n">
        <f aca="false">IFERROR(IF(K17="",G17,K17)*L17,"")</f>
        <v>6.55</v>
      </c>
      <c r="N17" s="0" t="s">
        <v>105</v>
      </c>
      <c r="O17" s="13" t="s">
        <v>27</v>
      </c>
      <c r="V17" s="0" t="n">
        <v>113</v>
      </c>
      <c r="X17" s="12" t="n">
        <f aca="false">IFERROR(LOOKUP(IF(W17="",G17,W17),{0,1,10,25,50,100,500,1000},{0,0.893,0.765,0.653,0.559,0.492,0.465,0.455}),"")</f>
        <v>0.765</v>
      </c>
      <c r="Y17" s="12" t="n">
        <f aca="false">IFERROR(IF(W17="",G17,W17)*X17,"")</f>
        <v>7.65</v>
      </c>
      <c r="Z17" s="0" t="s">
        <v>106</v>
      </c>
      <c r="AA17" s="13" t="s">
        <v>27</v>
      </c>
    </row>
    <row r="18" customFormat="false" ht="15" hidden="false" customHeight="false" outlineLevel="0" collapsed="false">
      <c r="A18" s="0" t="s">
        <v>107</v>
      </c>
      <c r="B18" s="0" t="s">
        <v>108</v>
      </c>
      <c r="D18" s="0" t="s">
        <v>40</v>
      </c>
      <c r="F18" s="0" t="s">
        <v>109</v>
      </c>
      <c r="G18" s="0" t="n">
        <f aca="false">BoardQty*2</f>
        <v>10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0.052</v>
      </c>
      <c r="I18" s="12" t="n">
        <f aca="false">IFERROR(G18*H18,"")</f>
        <v>0.52</v>
      </c>
      <c r="J18" s="0" t="n">
        <v>24146</v>
      </c>
      <c r="L18" s="12" t="n">
        <f aca="false">IFERROR(LOOKUP(IF(K18="",G18,K18),{0,1,10,100,500,1000,2500,5000,10000,20000,30000},{0,0.15,0.105,0.0495,0.03472,0.02875,0.02676,0.02448,0.0198,0.01881,0.01782}),"")</f>
        <v>0.105</v>
      </c>
      <c r="M18" s="12" t="n">
        <f aca="false">IFERROR(IF(K18="",G18,K18)*L18,"")</f>
        <v>1.05</v>
      </c>
      <c r="N18" s="0" t="s">
        <v>110</v>
      </c>
      <c r="O18" s="13" t="s">
        <v>27</v>
      </c>
      <c r="V18" s="0" t="n">
        <v>14678</v>
      </c>
      <c r="X18" s="12" t="n">
        <f aca="false">IFERROR(LOOKUP(IF(W18="",G18,W18),{0,1,10,100,500,1000,2500,10000,50000},{0,0.12,0.052,0.037,0.031,0.025,0.018,0.017,0.013}),"")</f>
        <v>0.052</v>
      </c>
      <c r="Y18" s="12" t="n">
        <f aca="false">IFERROR(IF(W18="",G18,W18)*X18,"")</f>
        <v>0.52</v>
      </c>
      <c r="Z18" s="0" t="s">
        <v>111</v>
      </c>
      <c r="AA18" s="13" t="s">
        <v>27</v>
      </c>
    </row>
    <row r="19" customFormat="false" ht="15" hidden="false" customHeight="false" outlineLevel="0" collapsed="false">
      <c r="A19" s="0" t="s">
        <v>112</v>
      </c>
      <c r="B19" s="0" t="s">
        <v>113</v>
      </c>
      <c r="D19" s="0" t="s">
        <v>114</v>
      </c>
      <c r="F19" s="0" t="s">
        <v>115</v>
      </c>
      <c r="G19" s="0" t="n">
        <f aca="false">BoardQty*7</f>
        <v>35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0.03189</v>
      </c>
      <c r="I19" s="12" t="n">
        <f aca="false">IFERROR(G19*H19,"")</f>
        <v>1.11615</v>
      </c>
      <c r="J19" s="0" t="n">
        <v>595822</v>
      </c>
      <c r="L19" s="12" t="n">
        <f aca="false">IFERROR(LOOKUP(IF(K19="",G19,K19),{0,1,10,25,50,100,250,500,1000,4000,8000,12000,28000,100000},{0,0.1,0.079,0.072,0.0648,0.0476,0.0346,0.0317,0.02738,0.02096,0.019,0.01834,0.01703,0.01683}),"")</f>
        <v>0.072</v>
      </c>
      <c r="M19" s="12" t="n">
        <f aca="false">IFERROR(IF(K19="",G19,K19)*L19,"")</f>
        <v>2.52</v>
      </c>
      <c r="N19" s="0" t="s">
        <v>116</v>
      </c>
      <c r="O19" s="13" t="s">
        <v>27</v>
      </c>
      <c r="R19" s="12" t="n">
        <f aca="false">IFERROR(LOOKUP(IF(Q19="",G19,Q19),{0,1,100,500,1000,2000,4000,20000,40000},{0,0.03189,0.03189,0.0230671,0.0209411,0.0172206,0.0152009,0.0120119,0.0117993}),"")</f>
        <v>0.03189</v>
      </c>
      <c r="S19" s="12" t="n">
        <f aca="false">IFERROR(IF(Q19="",G19,Q19)*R19,"")</f>
        <v>1.11615</v>
      </c>
      <c r="T19" s="0" t="s">
        <v>117</v>
      </c>
      <c r="U19" s="13" t="s">
        <v>27</v>
      </c>
      <c r="V19" s="0" t="n">
        <v>111537</v>
      </c>
      <c r="X19" s="12" t="n">
        <f aca="false">IFERROR(LOOKUP(IF(W19="",G19,W19),{0,1,10,100,500,1000,4000,8000,24000},{0,0.1,0.064,0.034,0.031,0.027,0.02,0.018,0.017}),"")</f>
        <v>0.064</v>
      </c>
      <c r="Y19" s="12" t="n">
        <f aca="false">IFERROR(IF(W19="",G19,W19)*X19,"")</f>
        <v>2.24</v>
      </c>
      <c r="Z19" s="0" t="s">
        <v>118</v>
      </c>
      <c r="AA19" s="13" t="s">
        <v>27</v>
      </c>
      <c r="AD19" s="12" t="n">
        <f aca="false">IFERROR(LOOKUP(IF(AC19="",G19,AC19),{0,1,10,25,50,100,250,500,1000},{0,0.1,0.064,0.054,0.044,0.034,0.033,0.031,0.027}),"")</f>
        <v>0.054</v>
      </c>
      <c r="AE19" s="12" t="n">
        <f aca="false">IFERROR(IF(AC19="",G19,AC19)*AD19,"")</f>
        <v>1.89</v>
      </c>
      <c r="AF19" s="0" t="s">
        <v>119</v>
      </c>
      <c r="AG19" s="13" t="s">
        <v>27</v>
      </c>
      <c r="AH19" s="0" t="n">
        <v>720</v>
      </c>
      <c r="AJ19" s="12" t="n">
        <f aca="false">IFERROR(LOOKUP(IF(AI19="",G19,AI19),{0,1,20,100},{0,0.076536,0.076536,0.039331}),"")</f>
        <v>0.076536</v>
      </c>
      <c r="AK19" s="12" t="n">
        <f aca="false">IFERROR(IF(AI19="",G19,AI19)*AJ19,"")</f>
        <v>2.67876</v>
      </c>
      <c r="AL19" s="0" t="s">
        <v>120</v>
      </c>
      <c r="AM19" s="13" t="s">
        <v>27</v>
      </c>
    </row>
    <row r="20" customFormat="false" ht="15" hidden="false" customHeight="false" outlineLevel="0" collapsed="false">
      <c r="A20" s="0" t="s">
        <v>121</v>
      </c>
      <c r="B20" s="0" t="s">
        <v>64</v>
      </c>
      <c r="D20" s="0" t="s">
        <v>122</v>
      </c>
      <c r="F20" s="0" t="s">
        <v>123</v>
      </c>
      <c r="G20" s="0" t="n">
        <f aca="false">BoardQty*11</f>
        <v>55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0.103</v>
      </c>
      <c r="I20" s="12" t="n">
        <f aca="false">IFERROR(G20*H20,"")</f>
        <v>5.665</v>
      </c>
      <c r="L20" s="12" t="n">
        <f aca="false">IFERROR(LOOKUP(IF(K20="",G20,K20),{0,1,10,100,500,1000,2000,4000,10000,14000,50000,100000},{0,0.46,0.322,0.2119,0.15698,0.13343,0.12285,0.11603,0.1092,0.10579,0.09555,0.08873}),"")</f>
        <v>0.322</v>
      </c>
      <c r="M20" s="12" t="n">
        <f aca="false">IFERROR(IF(K20="",G20,K20)*L20,"")</f>
        <v>17.71</v>
      </c>
      <c r="N20" s="0" t="s">
        <v>124</v>
      </c>
      <c r="O20" s="13" t="s">
        <v>27</v>
      </c>
      <c r="V20" s="0" t="n">
        <v>1756</v>
      </c>
      <c r="X20" s="12" t="n">
        <f aca="false">IFERROR(LOOKUP(IF(W20="",G20,W20),{0,1,25,50,100,500,1000,2000,4000},{0,0.12,0.107,0.103,0.093,0.084,0.067,0.061,0.059}),"")</f>
        <v>0.103</v>
      </c>
      <c r="Y20" s="12" t="n">
        <f aca="false">IFERROR(IF(W20="",G20,W20)*X20,"")</f>
        <v>5.665</v>
      </c>
      <c r="Z20" s="0" t="s">
        <v>125</v>
      </c>
      <c r="AA20" s="13" t="s">
        <v>27</v>
      </c>
      <c r="AD20" s="12" t="n">
        <f aca="false">IFERROR(LOOKUP(IF(AC20="",G20,AC20),{0,1,10,25,50,100,250,500,1000},{0,0.42,0.254,0.225,0.196,0.167,0.156,0.145,0.123}),"")</f>
        <v>0.196</v>
      </c>
      <c r="AE20" s="12" t="n">
        <f aca="false">IFERROR(IF(AC20="",G20,AC20)*AD20,"")</f>
        <v>10.78</v>
      </c>
      <c r="AF20" s="0" t="s">
        <v>126</v>
      </c>
      <c r="AG20" s="13" t="s">
        <v>27</v>
      </c>
    </row>
    <row r="21" customFormat="false" ht="15" hidden="false" customHeight="false" outlineLevel="0" collapsed="false">
      <c r="A21" s="0" t="s">
        <v>127</v>
      </c>
      <c r="B21" s="0" t="s">
        <v>128</v>
      </c>
      <c r="D21" s="0" t="s">
        <v>129</v>
      </c>
      <c r="F21" s="0" t="s">
        <v>130</v>
      </c>
      <c r="G21" s="0" t="n">
        <f aca="false">BoardQty*1</f>
        <v>5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0.247</v>
      </c>
      <c r="I21" s="12" t="n">
        <f aca="false">IFERROR(G21*H21,"")</f>
        <v>1.235</v>
      </c>
      <c r="L21" s="12" t="n">
        <f aca="false">IFERROR(LOOKUP(IF(K21="",G21,K21),{0,1,10,20,50,100,200,500,1000,5000},{0,0.35,0.327,0.304,0.2736,0.2584,0.2432,0.228,0.2128,0.20216}),"")</f>
        <v>0.35</v>
      </c>
      <c r="M21" s="12" t="n">
        <f aca="false">IFERROR(IF(K21="",G21,K21)*L21,"")</f>
        <v>1.75</v>
      </c>
      <c r="N21" s="0" t="s">
        <v>131</v>
      </c>
      <c r="O21" s="13" t="s">
        <v>27</v>
      </c>
      <c r="T21" s="0" t="s">
        <v>132</v>
      </c>
      <c r="U21" s="13" t="s">
        <v>27</v>
      </c>
      <c r="V21" s="0" t="n">
        <v>1478</v>
      </c>
      <c r="X21" s="12" t="n">
        <f aca="false">IFERROR(LOOKUP(IF(W21="",G21,W21),{0,1,2,5,10,25,50,100,250,500,2000},{0,0.281,0.263,0.247,0.238,0.224,0.217,0.21,0.202,0.198,0.198}),"")</f>
        <v>0.247</v>
      </c>
      <c r="Y21" s="12" t="n">
        <f aca="false">IFERROR(IF(W21="",G21,W21)*X21,"")</f>
        <v>1.235</v>
      </c>
      <c r="Z21" s="0" t="s">
        <v>133</v>
      </c>
      <c r="AA21" s="13" t="s">
        <v>27</v>
      </c>
      <c r="AD21" s="12" t="n">
        <f aca="false">IFERROR(LOOKUP(IF(AC21="",G21,AC21),{0,1,2000,5000},{0,0.361,0.361,0.327}),"")</f>
        <v>0.361</v>
      </c>
      <c r="AE21" s="12" t="n">
        <f aca="false">IFERROR(IF(AC21="",G21,AC21)*AD21,"")</f>
        <v>1.805</v>
      </c>
      <c r="AF21" s="0" t="s">
        <v>134</v>
      </c>
      <c r="AG21" s="13" t="s">
        <v>27</v>
      </c>
    </row>
    <row r="22" customFormat="false" ht="15" hidden="false" customHeight="false" outlineLevel="0" collapsed="false">
      <c r="A22" s="0" t="s">
        <v>135</v>
      </c>
      <c r="B22" s="0" t="s">
        <v>136</v>
      </c>
      <c r="D22" s="0" t="s">
        <v>137</v>
      </c>
      <c r="F22" s="0" t="s">
        <v>138</v>
      </c>
      <c r="G22" s="0" t="n">
        <f aca="false">BoardQty*2</f>
        <v>10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1.32</v>
      </c>
      <c r="I22" s="12" t="n">
        <f aca="false">IFERROR(G22*H22,"")</f>
        <v>13.2</v>
      </c>
      <c r="J22" s="0" t="n">
        <v>3053</v>
      </c>
      <c r="L22" s="12" t="n">
        <f aca="false">IFERROR(LOOKUP(IF(K22="",G22,K22),{0,1,10,50,100,250,500,1000,2500},{0,1.82,1.654,1.485,1.4175,1.28252,1.18126,1.0125,0.975}),"")</f>
        <v>1.654</v>
      </c>
      <c r="M22" s="12" t="n">
        <f aca="false">IFERROR(IF(K22="",G22,K22)*L22,"")</f>
        <v>16.54</v>
      </c>
      <c r="N22" s="0" t="s">
        <v>139</v>
      </c>
      <c r="O22" s="13" t="s">
        <v>27</v>
      </c>
      <c r="R22" s="12" t="n">
        <f aca="false">IFERROR(LOOKUP(IF(Q22="",G22,Q22),{0,1,5,10,40,100,300,1000},{0,1.63702,1.56261,1.49883,1.42442,1.19056,1.10552,1.017291}),"")</f>
        <v>1.49883</v>
      </c>
      <c r="S22" s="12" t="n">
        <f aca="false">IFERROR(IF(Q22="",G22,Q22)*R22,"")</f>
        <v>14.9883</v>
      </c>
      <c r="T22" s="0" t="s">
        <v>140</v>
      </c>
      <c r="U22" s="13" t="s">
        <v>27</v>
      </c>
      <c r="V22" s="0" t="n">
        <v>3595</v>
      </c>
      <c r="X22" s="12" t="n">
        <f aca="false">IFERROR(LOOKUP(IF(W22="",G22,W22),{0,1,50,100,500,1000,2500},{0,1.73,1.51,1.44,1.39,1.35,1.27}),"")</f>
        <v>1.73</v>
      </c>
      <c r="Y22" s="12" t="n">
        <f aca="false">IFERROR(IF(W22="",G22,W22)*X22,"")</f>
        <v>17.3</v>
      </c>
      <c r="Z22" s="0" t="s">
        <v>141</v>
      </c>
      <c r="AA22" s="13" t="s">
        <v>27</v>
      </c>
      <c r="AD22" s="12" t="n">
        <f aca="false">IFERROR(LOOKUP(IF(AC22="",G22,AC22),{0,1,50,100,500,1000,2500},{0,1.32,1.17,1.14,1.12,1.09,1.06}),"")</f>
        <v>1.32</v>
      </c>
      <c r="AE22" s="12" t="n">
        <f aca="false">IFERROR(IF(AC22="",G22,AC22)*AD22,"")</f>
        <v>13.2</v>
      </c>
      <c r="AF22" s="0" t="s">
        <v>142</v>
      </c>
      <c r="AG22" s="13" t="s">
        <v>27</v>
      </c>
      <c r="AJ22" s="12" t="n">
        <f aca="false">IFERROR(LOOKUP(IF(AI22="",G22,AI22),{0,1,15},{0,1.99844,1.77521}),"")</f>
        <v>1.99844</v>
      </c>
      <c r="AK22" s="12" t="n">
        <f aca="false">IFERROR(IF(AI22="",G22,AI22)*AJ22,"")</f>
        <v>19.9844</v>
      </c>
      <c r="AL22" s="0" t="s">
        <v>143</v>
      </c>
      <c r="AM22" s="13" t="s">
        <v>27</v>
      </c>
    </row>
    <row r="23" customFormat="false" ht="15" hidden="false" customHeight="false" outlineLevel="0" collapsed="false">
      <c r="A23" s="0" t="s">
        <v>144</v>
      </c>
      <c r="B23" s="0" t="s">
        <v>145</v>
      </c>
      <c r="D23" s="0" t="s">
        <v>146</v>
      </c>
      <c r="F23" s="0" t="s">
        <v>147</v>
      </c>
      <c r="G23" s="0" t="n">
        <f aca="false">BoardQty*2</f>
        <v>10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0.0266813</v>
      </c>
      <c r="I23" s="12" t="n">
        <f aca="false">IFERROR(G23*H23,"")</f>
        <v>0.266813</v>
      </c>
      <c r="J23" s="0" t="n">
        <v>222415</v>
      </c>
      <c r="L23" s="12" t="n">
        <f aca="false">IFERROR(LOOKUP(IF(K23="",G23,K23),{0,1,10,100,500,1000,3000,6000,15000,30000,75000,150000},{0,0.16,0.149,0.081,0.04986,0.03399,0.02805,0.0253,0.022,0.0198,0.0176,0.01463}),"")</f>
        <v>0.149</v>
      </c>
      <c r="M23" s="12" t="n">
        <f aca="false">IFERROR(IF(K23="",G23,K23)*L23,"")</f>
        <v>1.49</v>
      </c>
      <c r="N23" s="0" t="s">
        <v>148</v>
      </c>
      <c r="O23" s="13" t="s">
        <v>27</v>
      </c>
      <c r="R23" s="12" t="n">
        <f aca="false">IFERROR(LOOKUP(IF(Q23="",G23,Q23),{0,1,3000,6000,9000,15000,30000},{0,0.0266813,0.0266813,0.0237049,0.0207285,0.0167954,0.013819}),"")</f>
        <v>0.0266813</v>
      </c>
      <c r="S23" s="12" t="n">
        <f aca="false">IFERROR(IF(Q23="",G23,Q23)*R23,"")</f>
        <v>0.266813</v>
      </c>
      <c r="T23" s="0" t="s">
        <v>149</v>
      </c>
      <c r="U23" s="13" t="s">
        <v>27</v>
      </c>
      <c r="V23" s="0" t="n">
        <v>67684</v>
      </c>
      <c r="X23" s="12" t="n">
        <f aca="false">IFERROR(LOOKUP(IF(W23="",G23,W23),{0,1,10,100,1000,3000,9000,24000,45000,99000},{0,0.16,0.143,0.051,0.034,0.026,0.022,0.02,0.018,0.015}),"")</f>
        <v>0.143</v>
      </c>
      <c r="Y23" s="12" t="n">
        <f aca="false">IFERROR(IF(W23="",G23,W23)*X23,"")</f>
        <v>1.43</v>
      </c>
      <c r="Z23" s="0" t="s">
        <v>150</v>
      </c>
      <c r="AA23" s="13" t="s">
        <v>27</v>
      </c>
      <c r="AD23" s="12" t="n">
        <f aca="false">IFERROR(LOOKUP(IF(AC23="",G23,AC23),{0,1,10,100,1000},{0,0.145,0.119,0.043,0.029}),"")</f>
        <v>0.119</v>
      </c>
      <c r="AE23" s="12" t="n">
        <f aca="false">IFERROR(IF(AC23="",G23,AC23)*AD23,"")</f>
        <v>1.19</v>
      </c>
      <c r="AF23" s="0" t="s">
        <v>151</v>
      </c>
      <c r="AG23" s="13" t="s">
        <v>27</v>
      </c>
      <c r="AJ23" s="12" t="n">
        <f aca="false">IFERROR(LOOKUP(IF(AI23="",G23,AI23),{0,1,200,1000},{0,0.065906,0.065906,0.062717}),"")</f>
        <v>0.065906</v>
      </c>
      <c r="AK23" s="12" t="n">
        <f aca="false">IFERROR(IF(AI23="",G23,AI23)*AJ23,"")</f>
        <v>0.65906</v>
      </c>
      <c r="AL23" s="0" t="s">
        <v>152</v>
      </c>
      <c r="AM23" s="13" t="s">
        <v>27</v>
      </c>
    </row>
    <row r="24" customFormat="false" ht="15" hidden="false" customHeight="false" outlineLevel="0" collapsed="false">
      <c r="A24" s="0" t="s">
        <v>153</v>
      </c>
      <c r="B24" s="0" t="s">
        <v>154</v>
      </c>
      <c r="D24" s="0" t="s">
        <v>122</v>
      </c>
      <c r="F24" s="0" t="s">
        <v>155</v>
      </c>
      <c r="G24" s="0" t="n">
        <f aca="false">BoardQty*4</f>
        <v>20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0.201</v>
      </c>
      <c r="I24" s="12" t="n">
        <f aca="false">IFERROR(G24*H24,"")</f>
        <v>4.02</v>
      </c>
      <c r="V24" s="0" t="n">
        <v>1949</v>
      </c>
      <c r="X24" s="12" t="n">
        <f aca="false">IFERROR(LOOKUP(IF(W24="",G24,W24),{0,1,50,100,500,1000,2000,8000},{0,0.201,0.171,0.14,0.12,0.111,0.1,0.091}),"")</f>
        <v>0.201</v>
      </c>
      <c r="Y24" s="12" t="n">
        <f aca="false">IFERROR(IF(W24="",G24,W24)*X24,"")</f>
        <v>4.02</v>
      </c>
      <c r="Z24" s="0" t="s">
        <v>156</v>
      </c>
      <c r="AA24" s="13" t="s">
        <v>27</v>
      </c>
    </row>
    <row r="25" customFormat="false" ht="15" hidden="false" customHeight="false" outlineLevel="0" collapsed="false">
      <c r="A25" s="0" t="s">
        <v>157</v>
      </c>
      <c r="B25" s="0" t="s">
        <v>158</v>
      </c>
      <c r="D25" s="0" t="s">
        <v>24</v>
      </c>
      <c r="F25" s="0" t="s">
        <v>159</v>
      </c>
      <c r="G25" s="0" t="n">
        <f aca="false">BoardQty*4</f>
        <v>20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0.0082914</v>
      </c>
      <c r="I25" s="12" t="n">
        <f aca="false">IFERROR(G25*H25,"")</f>
        <v>0.165828</v>
      </c>
      <c r="J25" s="0" t="n">
        <v>8252962</v>
      </c>
      <c r="L25" s="12" t="n">
        <f aca="false">IFERROR(LOOKUP(IF(K25="",G25,K25),{0,1,10,100,1000,2500,5000,10000,25000,50000,125000},{0,0.1,0.015,0.006,0.00268,0.00233,0.00192,0.00167,0.00147,0.00135,0.00132}),"")</f>
        <v>0.015</v>
      </c>
      <c r="M25" s="12" t="n">
        <f aca="false">IFERROR(IF(K25="",G25,K25)*L25,"")</f>
        <v>0.3</v>
      </c>
      <c r="N25" s="0" t="s">
        <v>160</v>
      </c>
      <c r="O25" s="13" t="s">
        <v>27</v>
      </c>
      <c r="R25" s="12" t="n">
        <f aca="false">IFERROR(LOOKUP(IF(Q25="",G25,Q25),{0,1,100,500,1000,2500},{0,0.0082914,0.0082914,0.0062717,0.0049961,0.0041457}),"")</f>
        <v>0.0082914</v>
      </c>
      <c r="S25" s="12" t="n">
        <f aca="false">IFERROR(IF(Q25="",G25,Q25)*R25,"")</f>
        <v>0.165828</v>
      </c>
      <c r="T25" s="0" t="s">
        <v>161</v>
      </c>
      <c r="U25" s="13" t="s">
        <v>27</v>
      </c>
      <c r="V25" s="0" t="n">
        <v>1827498</v>
      </c>
      <c r="X25" s="12" t="n">
        <f aca="false">IFERROR(LOOKUP(IF(W25="",G25,W25),{0,1,10,100,1000,5000},{0,0.1,0.011,0.004,0.002,0.001}),"")</f>
        <v>0.011</v>
      </c>
      <c r="Y25" s="12" t="n">
        <f aca="false">IFERROR(IF(W25="",G25,W25)*X25,"")</f>
        <v>0.22</v>
      </c>
      <c r="Z25" s="0" t="s">
        <v>162</v>
      </c>
      <c r="AA25" s="13" t="s">
        <v>27</v>
      </c>
      <c r="AD25" s="12" t="n">
        <f aca="false">IFERROR(LOOKUP(IF(AC25="",G25,AC25),{0,1,10,25,100,250,1000},{0,0.08,0.014,0.01,0.006,0.004,0.003}),"")</f>
        <v>0.014</v>
      </c>
      <c r="AE25" s="12" t="n">
        <f aca="false">IFERROR(IF(AC25="",G25,AC25)*AD25,"")</f>
        <v>0.28</v>
      </c>
      <c r="AF25" s="0" t="s">
        <v>163</v>
      </c>
      <c r="AG25" s="13" t="s">
        <v>27</v>
      </c>
    </row>
    <row r="26" customFormat="false" ht="15" hidden="false" customHeight="false" outlineLevel="0" collapsed="false">
      <c r="A26" s="0" t="s">
        <v>164</v>
      </c>
      <c r="B26" s="0" t="s">
        <v>165</v>
      </c>
      <c r="D26" s="0" t="s">
        <v>24</v>
      </c>
      <c r="F26" s="0" t="s">
        <v>166</v>
      </c>
      <c r="G26" s="0" t="n">
        <f aca="false">BoardQty*8</f>
        <v>40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26" s="12" t="n">
        <f aca="false">IFERROR(G26*H26,"")</f>
        <v>0.08</v>
      </c>
      <c r="J26" s="0" t="n">
        <v>592750</v>
      </c>
      <c r="L26" s="12" t="n">
        <f aca="false">IFERROR(LOOKUP(IF(K26="",G26,K26),{0,1,10,100,1000,2500,5000,10000,25000,50000,125000},{0,0.1,0.015,0.006,0.00268,0.00233,0.00192,0.00167,0.00147,0.00135,0.00132}),"")</f>
        <v>0.015</v>
      </c>
      <c r="M26" s="12" t="n">
        <f aca="false">IFERROR(IF(K26="",G26,K26)*L26,"")</f>
        <v>0.6</v>
      </c>
      <c r="N26" s="0" t="s">
        <v>167</v>
      </c>
      <c r="O26" s="13" t="s">
        <v>27</v>
      </c>
      <c r="R26" s="12" t="n">
        <f aca="false">IFERROR(LOOKUP(IF(Q26="",G26,Q26),{0,1,100,500,1000,2500},{0,0.0069095,0.0069095,0.0059528,0.0052087,0.0035079}),"")</f>
        <v>0.0069095</v>
      </c>
      <c r="S26" s="12" t="n">
        <f aca="false">IFERROR(IF(Q26="",G26,Q26)*R26,"")</f>
        <v>0.27638</v>
      </c>
      <c r="T26" s="0" t="s">
        <v>168</v>
      </c>
      <c r="U26" s="13" t="s">
        <v>27</v>
      </c>
      <c r="V26" s="0" t="n">
        <v>4594</v>
      </c>
      <c r="X26" s="12" t="n">
        <f aca="false">IFERROR(LOOKUP(IF(W26="",G26,W26),{0,1,10,100,1000,5000},{0,0.1,0.011,0.004,0.002,0.001}),"")</f>
        <v>0.011</v>
      </c>
      <c r="Y26" s="12" t="n">
        <f aca="false">IFERROR(IF(W26="",G26,W26)*X26,"")</f>
        <v>0.44</v>
      </c>
      <c r="Z26" s="0" t="s">
        <v>169</v>
      </c>
      <c r="AA26" s="13" t="s">
        <v>27</v>
      </c>
      <c r="AD26" s="12" t="n">
        <f aca="false">IFERROR(LOOKUP(IF(AC26="",G26,AC26),{0,1,5000},{0,0.002,0.002}),"")</f>
        <v>0.002</v>
      </c>
      <c r="AE26" s="12" t="n">
        <f aca="false">IFERROR(IF(AC26="",G26,AC26)*AD26,"")</f>
        <v>0.08</v>
      </c>
      <c r="AF26" s="0" t="s">
        <v>170</v>
      </c>
      <c r="AG26" s="13" t="s">
        <v>27</v>
      </c>
    </row>
    <row r="27" customFormat="false" ht="15" hidden="false" customHeight="false" outlineLevel="0" collapsed="false">
      <c r="A27" s="0" t="s">
        <v>171</v>
      </c>
      <c r="B27" s="0" t="s">
        <v>172</v>
      </c>
      <c r="D27" s="0" t="s">
        <v>24</v>
      </c>
      <c r="F27" s="0" t="s">
        <v>173</v>
      </c>
      <c r="G27" s="0" t="n">
        <f aca="false">BoardQty*6</f>
        <v>30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0.0044646</v>
      </c>
      <c r="I27" s="12" t="n">
        <f aca="false">IFERROR(G27*H27,"")</f>
        <v>0.133938</v>
      </c>
      <c r="J27" s="0" t="n">
        <v>1227827</v>
      </c>
      <c r="L27" s="12" t="n">
        <f aca="false">IFERROR(LOOKUP(IF(K27="",G27,K27),{0,1,10,100,1000,2500,5000,10000,25000,50000,125000},{0,0.1,0.015,0.006,0.00268,0.00233,0.00192,0.00167,0.00147,0.00135,0.00132}),"")</f>
        <v>0.015</v>
      </c>
      <c r="M27" s="12" t="n">
        <f aca="false">IFERROR(IF(K27="",G27,K27)*L27,"")</f>
        <v>0.45</v>
      </c>
      <c r="N27" s="0" t="s">
        <v>174</v>
      </c>
      <c r="O27" s="13" t="s">
        <v>27</v>
      </c>
      <c r="R27" s="12" t="n">
        <f aca="false">IFERROR(LOOKUP(IF(Q27="",G27,Q27),{0,1,5000},{0,0.0044646,0.0044646}),"")</f>
        <v>0.0044646</v>
      </c>
      <c r="S27" s="12" t="n">
        <f aca="false">IFERROR(IF(Q27="",G27,Q27)*R27,"")</f>
        <v>0.133938</v>
      </c>
      <c r="T27" s="0" t="s">
        <v>175</v>
      </c>
      <c r="U27" s="13" t="s">
        <v>27</v>
      </c>
      <c r="V27" s="0" t="n">
        <v>394001</v>
      </c>
      <c r="X27" s="12" t="n">
        <f aca="false">IFERROR(LOOKUP(IF(W27="",G27,W27),{0,1,10,100,1000,5000},{0,0.1,0.011,0.004,0.002,0.001}),"")</f>
        <v>0.011</v>
      </c>
      <c r="Y27" s="12" t="n">
        <f aca="false">IFERROR(IF(W27="",G27,W27)*X27,"")</f>
        <v>0.33</v>
      </c>
      <c r="Z27" s="0" t="s">
        <v>176</v>
      </c>
      <c r="AA27" s="13" t="s">
        <v>27</v>
      </c>
      <c r="AD27" s="12" t="n">
        <f aca="false">IFERROR(LOOKUP(IF(AC27="",G27,AC27),{0,1,10,25,100,250,1000},{0,0.08,0.014,0.01,0.006,0.004,0.003}),"")</f>
        <v>0.01</v>
      </c>
      <c r="AE27" s="12" t="n">
        <f aca="false">IFERROR(IF(AC27="",G27,AC27)*AD27,"")</f>
        <v>0.3</v>
      </c>
      <c r="AF27" s="0" t="s">
        <v>177</v>
      </c>
      <c r="AG27" s="13" t="s">
        <v>27</v>
      </c>
    </row>
    <row r="28" customFormat="false" ht="15" hidden="false" customHeight="false" outlineLevel="0" collapsed="false">
      <c r="A28" s="0" t="s">
        <v>178</v>
      </c>
      <c r="B28" s="0" t="s">
        <v>179</v>
      </c>
      <c r="D28" s="0" t="s">
        <v>24</v>
      </c>
      <c r="F28" s="0" t="s">
        <v>180</v>
      </c>
      <c r="G28" s="0" t="n">
        <f aca="false">BoardQty*2</f>
        <v>10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8" s="12" t="n">
        <f aca="false">IFERROR(G28*H28,"")</f>
        <v>0.05</v>
      </c>
      <c r="J28" s="0" t="n">
        <v>95679</v>
      </c>
      <c r="L28" s="12" t="n">
        <f aca="false">IFERROR(LOOKUP(IF(K28="",G28,K28),{0,1,10,100,1000,2500,5000,10000,25000,50000,125000},{0,0.1,0.015,0.006,0.00268,0.00233,0.00192,0.00167,0.00147,0.00135,0.00132}),"")</f>
        <v>0.015</v>
      </c>
      <c r="M28" s="12" t="n">
        <f aca="false">IFERROR(IF(K28="",G28,K28)*L28,"")</f>
        <v>0.15</v>
      </c>
      <c r="N28" s="0" t="s">
        <v>181</v>
      </c>
      <c r="O28" s="13" t="s">
        <v>27</v>
      </c>
      <c r="V28" s="0" t="n">
        <v>7853</v>
      </c>
      <c r="X28" s="12" t="n">
        <f aca="false">IFERROR(LOOKUP(IF(W28="",G28,W28),{0,1,10,100,1000,5000},{0,0.1,0.011,0.004,0.002,0.001}),"")</f>
        <v>0.011</v>
      </c>
      <c r="Y28" s="12" t="n">
        <f aca="false">IFERROR(IF(W28="",G28,W28)*X28,"")</f>
        <v>0.11</v>
      </c>
      <c r="Z28" s="0" t="s">
        <v>182</v>
      </c>
      <c r="AA28" s="13" t="s">
        <v>27</v>
      </c>
      <c r="AD28" s="12" t="n">
        <f aca="false">IFERROR(LOOKUP(IF(AC28="",G28,AC28),{0,1,5000,10000,15000},{0,0.005,0.005,0.003,0.002}),"")</f>
        <v>0.005</v>
      </c>
      <c r="AE28" s="12" t="n">
        <f aca="false">IFERROR(IF(AC28="",G28,AC28)*AD28,"")</f>
        <v>0.05</v>
      </c>
      <c r="AF28" s="0" t="s">
        <v>183</v>
      </c>
      <c r="AG28" s="13" t="s">
        <v>27</v>
      </c>
    </row>
    <row r="29" customFormat="false" ht="15" hidden="false" customHeight="false" outlineLevel="0" collapsed="false">
      <c r="A29" s="0" t="s">
        <v>184</v>
      </c>
      <c r="B29" s="0" t="s">
        <v>185</v>
      </c>
      <c r="D29" s="0" t="s">
        <v>186</v>
      </c>
      <c r="F29" s="0" t="s">
        <v>187</v>
      </c>
      <c r="G29" s="0" t="n">
        <f aca="false">BoardQty*1</f>
        <v>5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0.75473</v>
      </c>
      <c r="I29" s="12" t="n">
        <f aca="false">IFERROR(G29*H29,"")</f>
        <v>3.77365</v>
      </c>
      <c r="J29" s="0" t="n">
        <v>1656</v>
      </c>
      <c r="L29" s="12" t="n">
        <f aca="false">IFERROR(LOOKUP(IF(K29="",G29,K29),{0,1,25,100,3000},{0,0.86,0.7244,0.651,0.651}),"")</f>
        <v>0.86</v>
      </c>
      <c r="M29" s="12" t="n">
        <f aca="false">IFERROR(IF(K29="",G29,K29)*L29,"")</f>
        <v>4.3</v>
      </c>
      <c r="N29" s="0" t="s">
        <v>188</v>
      </c>
      <c r="O29" s="13" t="s">
        <v>27</v>
      </c>
      <c r="R29" s="12" t="n">
        <f aca="false">IFERROR(LOOKUP(IF(Q29="",G29,Q29),{0,1,10,25,50,100},{0,0.811069,0.811069,0.748352,0.682446,0.617603}),"")</f>
        <v>0.811069</v>
      </c>
      <c r="S29" s="12" t="n">
        <f aca="false">IFERROR(IF(Q29="",G29,Q29)*R29,"")</f>
        <v>4.055345</v>
      </c>
      <c r="T29" s="0" t="s">
        <v>189</v>
      </c>
      <c r="U29" s="13" t="s">
        <v>27</v>
      </c>
      <c r="V29" s="0" t="n">
        <v>5423</v>
      </c>
      <c r="X29" s="12" t="n">
        <f aca="false">IFERROR(LOOKUP(IF(W29="",G29,W29),{0,1,10,25,100,3000},{0,0.903,0.822,0.693,0.622,0.622}),"")</f>
        <v>0.903</v>
      </c>
      <c r="Y29" s="12" t="n">
        <f aca="false">IFERROR(IF(W29="",G29,W29)*X29,"")</f>
        <v>4.515</v>
      </c>
      <c r="Z29" s="0" t="s">
        <v>190</v>
      </c>
      <c r="AA29" s="13" t="s">
        <v>27</v>
      </c>
      <c r="AD29" s="12" t="n">
        <f aca="false">IFERROR(LOOKUP(IF(AC29="",G29,AC29),{0,1,25,100},{0,0.858,0.709,0.65}),"")</f>
        <v>0.858</v>
      </c>
      <c r="AE29" s="12" t="n">
        <f aca="false">IFERROR(IF(AC29="",G29,AC29)*AD29,"")</f>
        <v>4.29</v>
      </c>
      <c r="AF29" s="0" t="s">
        <v>191</v>
      </c>
      <c r="AG29" s="13" t="s">
        <v>27</v>
      </c>
      <c r="AJ29" s="12" t="n">
        <f aca="false">IFERROR(LOOKUP(IF(AI29="",G29,AI29),{0,1,5,25},{0,0.75473,0.75473,0.631422}),"")</f>
        <v>0.75473</v>
      </c>
      <c r="AK29" s="12" t="n">
        <f aca="false">IFERROR(IF(AI29="",G29,AI29)*AJ29,"")</f>
        <v>3.77365</v>
      </c>
      <c r="AL29" s="0" t="s">
        <v>192</v>
      </c>
      <c r="AM29" s="13" t="s">
        <v>27</v>
      </c>
    </row>
    <row r="30" customFormat="false" ht="15" hidden="false" customHeight="false" outlineLevel="0" collapsed="false">
      <c r="A30" s="0" t="s">
        <v>193</v>
      </c>
      <c r="B30" s="0" t="s">
        <v>185</v>
      </c>
      <c r="D30" s="0" t="s">
        <v>186</v>
      </c>
      <c r="F30" s="0" t="s">
        <v>194</v>
      </c>
      <c r="G30" s="0" t="n">
        <f aca="false">BoardQty*1</f>
        <v>5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0.749415</v>
      </c>
      <c r="I30" s="12" t="n">
        <f aca="false">IFERROR(G30*H30,"")</f>
        <v>3.747075</v>
      </c>
      <c r="J30" s="0" t="n">
        <v>2978</v>
      </c>
      <c r="L30" s="12" t="n">
        <f aca="false">IFERROR(LOOKUP(IF(K30="",G30,K30),{0,1,25,100,3000},{0,0.86,0.7244,0.651,0.651}),"")</f>
        <v>0.86</v>
      </c>
      <c r="M30" s="12" t="n">
        <f aca="false">IFERROR(IF(K30="",G30,K30)*L30,"")</f>
        <v>4.3</v>
      </c>
      <c r="N30" s="0" t="s">
        <v>195</v>
      </c>
      <c r="O30" s="13" t="s">
        <v>27</v>
      </c>
      <c r="V30" s="0" t="n">
        <v>3091</v>
      </c>
      <c r="X30" s="12" t="n">
        <f aca="false">IFERROR(LOOKUP(IF(W30="",G30,W30),{0,1,10,25,100,3000},{0,0.903,0.822,0.693,0.622,0.622}),"")</f>
        <v>0.903</v>
      </c>
      <c r="Y30" s="12" t="n">
        <f aca="false">IFERROR(IF(W30="",G30,W30)*X30,"")</f>
        <v>4.515</v>
      </c>
      <c r="Z30" s="0" t="s">
        <v>196</v>
      </c>
      <c r="AA30" s="13" t="s">
        <v>27</v>
      </c>
      <c r="AJ30" s="12" t="n">
        <f aca="false">IFERROR(LOOKUP(IF(AI30="",G30,AI30),{0,1,10,100},{0,0.749415,0.749415,0.571894}),"")</f>
        <v>0.749415</v>
      </c>
      <c r="AK30" s="12" t="n">
        <f aca="false">IFERROR(IF(AI30="",G30,AI30)*AJ30,"")</f>
        <v>3.747075</v>
      </c>
      <c r="AL30" s="0" t="s">
        <v>197</v>
      </c>
      <c r="AM30" s="13" t="s">
        <v>27</v>
      </c>
    </row>
    <row r="31" customFormat="false" ht="15" hidden="false" customHeight="false" outlineLevel="0" collapsed="false">
      <c r="A31" s="0" t="s">
        <v>198</v>
      </c>
      <c r="B31" s="0" t="s">
        <v>199</v>
      </c>
      <c r="D31" s="0" t="s">
        <v>186</v>
      </c>
      <c r="F31" s="0" t="s">
        <v>199</v>
      </c>
      <c r="G31" s="0" t="n">
        <f aca="false">BoardQty*1</f>
        <v>5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0.428</v>
      </c>
      <c r="I31" s="12" t="n">
        <f aca="false">IFERROR(G31*H31,"")</f>
        <v>2.14</v>
      </c>
      <c r="J31" s="0" t="n">
        <v>6577</v>
      </c>
      <c r="L31" s="12" t="n">
        <f aca="false">IFERROR(LOOKUP(IF(K31="",G31,K31),{0,1,10,100,250,500,1000,1250,3000},{0,1.1,0.984,0.7676,0.80196,0.63406,0.50058,0.46625,0.405}),"")</f>
        <v>1.1</v>
      </c>
      <c r="M31" s="12" t="n">
        <f aca="false">IFERROR(IF(K31="",G31,K31)*L31,"")</f>
        <v>5.5</v>
      </c>
      <c r="N31" s="0" t="s">
        <v>200</v>
      </c>
      <c r="O31" s="13" t="s">
        <v>27</v>
      </c>
      <c r="R31" s="12" t="n">
        <f aca="false">IFERROR(LOOKUP(IF(Q31="",G31,Q31),{0,1,10,100,250,500,1000},{0,1.33938,1.09489,0.825951,0.767486,0.677131,0.464531}),"")</f>
        <v>1.33938</v>
      </c>
      <c r="S31" s="12" t="n">
        <f aca="false">IFERROR(IF(Q31="",G31,Q31)*R31,"")</f>
        <v>6.6969</v>
      </c>
      <c r="T31" s="0" t="s">
        <v>201</v>
      </c>
      <c r="U31" s="13" t="s">
        <v>27</v>
      </c>
      <c r="V31" s="0" t="n">
        <v>9818</v>
      </c>
      <c r="X31" s="12" t="n">
        <f aca="false">IFERROR(LOOKUP(IF(W31="",G31,W31),{0,1,10,25,100,250,500,1000,3000},{0,1.06,0.959,0.926,0.747,0.699,0.618,0.441,0.441}),"")</f>
        <v>1.06</v>
      </c>
      <c r="Y31" s="12" t="n">
        <f aca="false">IFERROR(IF(W31="",G31,W31)*X31,"")</f>
        <v>5.3</v>
      </c>
      <c r="Z31" s="0" t="s">
        <v>202</v>
      </c>
      <c r="AA31" s="13" t="s">
        <v>27</v>
      </c>
      <c r="AD31" s="12" t="n">
        <f aca="false">IFERROR(LOOKUP(IF(AC31="",G31,AC31),{0,1,3000,9000,24000},{0,0.428,0.428,0.415,0.405}),"")</f>
        <v>0.428</v>
      </c>
      <c r="AE31" s="12" t="n">
        <f aca="false">IFERROR(IF(AC31="",G31,AC31)*AD31,"")</f>
        <v>2.14</v>
      </c>
      <c r="AF31" s="0" t="s">
        <v>203</v>
      </c>
      <c r="AG31" s="13" t="s">
        <v>27</v>
      </c>
    </row>
    <row r="32" customFormat="false" ht="15" hidden="false" customHeight="false" outlineLevel="0" collapsed="false">
      <c r="A32" s="0" t="s">
        <v>204</v>
      </c>
      <c r="B32" s="0" t="s">
        <v>205</v>
      </c>
      <c r="D32" s="0" t="s">
        <v>206</v>
      </c>
      <c r="F32" s="0" t="s">
        <v>207</v>
      </c>
      <c r="G32" s="0" t="n">
        <f aca="false">BoardQty*2</f>
        <v>10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0.267</v>
      </c>
      <c r="I32" s="12" t="n">
        <f aca="false">IFERROR(G32*H32,"")</f>
        <v>2.67</v>
      </c>
      <c r="J32" s="0" t="n">
        <v>6290</v>
      </c>
      <c r="L32" s="12" t="n">
        <f aca="false">IFERROR(LOOKUP(IF(K32="",G32,K32),{0,1,10,25,100,250,500,1000,4000,8000,12000,28000},{0,0.42,0.331,0.2792,0.2271,0.1882,0.15574,0.1168,0.10395,0.09765,0.09135,0.084}),"")</f>
        <v>0.331</v>
      </c>
      <c r="M32" s="12" t="n">
        <f aca="false">IFERROR(IF(K32="",G32,K32)*L32,"")</f>
        <v>3.31</v>
      </c>
      <c r="N32" s="0" t="s">
        <v>208</v>
      </c>
      <c r="O32" s="13" t="s">
        <v>27</v>
      </c>
      <c r="V32" s="0" t="n">
        <v>2607</v>
      </c>
      <c r="X32" s="12" t="n">
        <f aca="false">IFERROR(LOOKUP(IF(W32="",G32,W32),{0,1,10,100,1000,4000,8000,24000,48000},{0,0.401,0.267,0.164,0.109,0.093,0.087,0.08,0.078}),"")</f>
        <v>0.267</v>
      </c>
      <c r="Y32" s="12" t="n">
        <f aca="false">IFERROR(IF(W32="",G32,W32)*X32,"")</f>
        <v>2.67</v>
      </c>
      <c r="Z32" s="0" t="s">
        <v>209</v>
      </c>
      <c r="AA32" s="13" t="s">
        <v>27</v>
      </c>
    </row>
    <row r="33" customFormat="false" ht="15" hidden="false" customHeight="false" outlineLevel="0" collapsed="false">
      <c r="A33" s="0" t="s">
        <v>210</v>
      </c>
      <c r="B33" s="0" t="s">
        <v>211</v>
      </c>
      <c r="D33" s="0" t="s">
        <v>212</v>
      </c>
      <c r="F33" s="0" t="s">
        <v>213</v>
      </c>
      <c r="G33" s="0" t="n">
        <f aca="false">BoardQty*1</f>
        <v>5</v>
      </c>
      <c r="H3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0.559138</v>
      </c>
      <c r="I33" s="12" t="n">
        <f aca="false">IFERROR(G33*H33,"")</f>
        <v>2.79569</v>
      </c>
      <c r="J33" s="0" t="n">
        <v>13836</v>
      </c>
      <c r="L33" s="12" t="n">
        <f aca="false">IFERROR(LOOKUP(IF(K33="",G33,K33),{0,1,10,25,50,100,250,500,1500,3000,7500,10500,15000},{0,0.81,0.712,0.6704,0.6426,0.6147,0.5588,0.50292,0.381,0.3683,0.3556,0.33782,0.3302}),"")</f>
        <v>0.81</v>
      </c>
      <c r="M33" s="12" t="n">
        <f aca="false">IFERROR(IF(K33="",G33,K33)*L33,"")</f>
        <v>4.05</v>
      </c>
      <c r="N33" s="0" t="s">
        <v>214</v>
      </c>
      <c r="O33" s="13" t="s">
        <v>27</v>
      </c>
      <c r="R33" s="12" t="n">
        <f aca="false">IFERROR(LOOKUP(IF(Q33="",G33,Q33),{0,1,25,50,150,250,500,1500,2500},{0,0.559138,0.52087,0.501736,0.452838,0.395436,0.386932,0.385869,0.384806}),"")</f>
        <v>0.559138</v>
      </c>
      <c r="S33" s="12" t="n">
        <f aca="false">IFERROR(IF(Q33="",G33,Q33)*R33,"")</f>
        <v>2.79569</v>
      </c>
      <c r="T33" s="0" t="s">
        <v>215</v>
      </c>
      <c r="U33" s="13" t="s">
        <v>27</v>
      </c>
      <c r="V33" s="0" t="n">
        <v>8115</v>
      </c>
      <c r="X33" s="12" t="n">
        <f aca="false">IFERROR(LOOKUP(IF(W33="",G33,W33),{0,1,10,100,250,500,1000,1500},{0,0.682,0.624,0.535,0.485,0.446,0.386,0.386}),"")</f>
        <v>0.682</v>
      </c>
      <c r="Y33" s="12" t="n">
        <f aca="false">IFERROR(IF(W33="",G33,W33)*X33,"")</f>
        <v>3.41</v>
      </c>
      <c r="Z33" s="0" t="s">
        <v>216</v>
      </c>
      <c r="AA33" s="13" t="s">
        <v>27</v>
      </c>
      <c r="AD33" s="12" t="n">
        <f aca="false">IFERROR(LOOKUP(IF(AC33="",G33,AC33),{0,1,10,100,250,500,1000},{0,0.68,0.622,0.533,0.483,0.445,0.381}),"")</f>
        <v>0.68</v>
      </c>
      <c r="AE33" s="12" t="n">
        <f aca="false">IFERROR(IF(AC33="",G33,AC33)*AD33,"")</f>
        <v>3.4</v>
      </c>
      <c r="AF33" s="0" t="s">
        <v>217</v>
      </c>
      <c r="AG33" s="13" t="s">
        <v>27</v>
      </c>
      <c r="AJ33" s="12" t="n">
        <f aca="false">IFERROR(LOOKUP(IF(AI33="",G33,AI33),{0,1,5,50,150,250,500},{0,0.610162,0.610162,0.54213,0.48898,0.452838,0.416696}),"")</f>
        <v>0.610162</v>
      </c>
      <c r="AK33" s="12" t="n">
        <f aca="false">IFERROR(IF(AI33="",G33,AI33)*AJ33,"")</f>
        <v>3.05081</v>
      </c>
      <c r="AL33" s="0" t="s">
        <v>218</v>
      </c>
      <c r="AM33" s="13" t="s">
        <v>27</v>
      </c>
    </row>
    <row r="34" customFormat="false" ht="15" hidden="false" customHeight="false" outlineLevel="0" collapsed="false">
      <c r="A34" s="0" t="s">
        <v>219</v>
      </c>
      <c r="B34" s="0" t="s">
        <v>64</v>
      </c>
      <c r="D34" s="0" t="s">
        <v>122</v>
      </c>
      <c r="F34" s="0" t="s">
        <v>123</v>
      </c>
      <c r="G34" s="0" t="n">
        <f aca="false">BoardQty*4</f>
        <v>20</v>
      </c>
      <c r="H3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4" s="12" t="n">
        <f aca="false">IFERROR(G34*H34,"")</f>
        <v>2.4</v>
      </c>
      <c r="L34" s="12" t="n">
        <f aca="false">IFERROR(LOOKUP(IF(K34="",G34,K34),{0,1,10,100,500,1000,2000,4000,10000,14000,50000,100000},{0,0.46,0.322,0.2119,0.15698,0.13343,0.12285,0.11603,0.1092,0.10579,0.09555,0.08873}),"")</f>
        <v>0.322</v>
      </c>
      <c r="M34" s="12" t="n">
        <f aca="false">IFERROR(IF(K34="",G34,K34)*L34,"")</f>
        <v>6.44</v>
      </c>
      <c r="N34" s="0" t="s">
        <v>124</v>
      </c>
      <c r="O34" s="13" t="s">
        <v>27</v>
      </c>
      <c r="V34" s="0" t="n">
        <v>1756</v>
      </c>
      <c r="X34" s="12" t="n">
        <f aca="false">IFERROR(LOOKUP(IF(W34="",G34,W34),{0,1,25,50,100,500,1000,2000,4000},{0,0.12,0.107,0.103,0.093,0.084,0.067,0.061,0.059}),"")</f>
        <v>0.12</v>
      </c>
      <c r="Y34" s="12" t="n">
        <f aca="false">IFERROR(IF(W34="",G34,W34)*X34,"")</f>
        <v>2.4</v>
      </c>
      <c r="Z34" s="0" t="s">
        <v>125</v>
      </c>
      <c r="AA34" s="13" t="s">
        <v>27</v>
      </c>
      <c r="AD34" s="12" t="n">
        <f aca="false">IFERROR(LOOKUP(IF(AC34="",G34,AC34),{0,1,10,25,50,100,250,500,1000},{0,0.42,0.254,0.225,0.196,0.167,0.156,0.145,0.123}),"")</f>
        <v>0.254</v>
      </c>
      <c r="AE34" s="12" t="n">
        <f aca="false">IFERROR(IF(AC34="",G34,AC34)*AD34,"")</f>
        <v>5.08</v>
      </c>
      <c r="AF34" s="0" t="s">
        <v>126</v>
      </c>
      <c r="AG34" s="13" t="s">
        <v>27</v>
      </c>
    </row>
    <row r="35" customFormat="false" ht="15" hidden="false" customHeight="false" outlineLevel="0" collapsed="false">
      <c r="A35" s="0" t="s">
        <v>220</v>
      </c>
      <c r="B35" s="0" t="s">
        <v>221</v>
      </c>
      <c r="D35" s="0" t="s">
        <v>222</v>
      </c>
      <c r="F35" s="0" t="s">
        <v>223</v>
      </c>
      <c r="G35" s="0" t="n">
        <f aca="false">BoardQty*1</f>
        <v>5</v>
      </c>
      <c r="H3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0.321</v>
      </c>
      <c r="I35" s="12" t="n">
        <f aca="false">IFERROR(G35*H35,"")</f>
        <v>1.605</v>
      </c>
      <c r="J35" s="0" t="n">
        <v>1780</v>
      </c>
      <c r="L35" s="12" t="n">
        <f aca="false">IFERROR(LOOKUP(IF(K35="",G35,K35),{0,1,10,25,100,250,500,1000,2000,6000,10000,50000,100000},{0,0.41,0.296,0.242,0.1936,0.16336,0.13916,0.1089,0.099,0.0935,0.08525,0.07315,0.07013}),"")</f>
        <v>0.41</v>
      </c>
      <c r="M35" s="12" t="n">
        <f aca="false">IFERROR(IF(K35="",G35,K35)*L35,"")</f>
        <v>2.05</v>
      </c>
      <c r="N35" s="0" t="s">
        <v>224</v>
      </c>
      <c r="O35" s="13" t="s">
        <v>27</v>
      </c>
      <c r="V35" s="0" t="n">
        <v>3770</v>
      </c>
      <c r="X35" s="12" t="n">
        <f aca="false">IFERROR(LOOKUP(IF(W35="",G35,W35),{0,1,10,100,1000,2000,10000,24000,50000,100000},{0,0.321,0.203,0.15,0.117,0.097,0.091,0.085,0.084,0.081}),"")</f>
        <v>0.321</v>
      </c>
      <c r="Y35" s="12" t="n">
        <f aca="false">IFERROR(IF(W35="",G35,W35)*X35,"")</f>
        <v>1.605</v>
      </c>
      <c r="Z35" s="0" t="s">
        <v>225</v>
      </c>
      <c r="AA35" s="13" t="s">
        <v>27</v>
      </c>
    </row>
    <row r="36" customFormat="false" ht="15" hidden="false" customHeight="false" outlineLevel="0" collapsed="false">
      <c r="A36" s="0" t="s">
        <v>226</v>
      </c>
      <c r="B36" s="0" t="s">
        <v>227</v>
      </c>
      <c r="D36" s="0" t="s">
        <v>228</v>
      </c>
      <c r="F36" s="0" t="s">
        <v>229</v>
      </c>
      <c r="G36" s="0" t="n">
        <f aca="false">BoardQty*1</f>
        <v>5</v>
      </c>
      <c r="H3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1.05</v>
      </c>
      <c r="I36" s="12" t="n">
        <f aca="false">IFERROR(G36*H36,"")</f>
        <v>5.25</v>
      </c>
      <c r="V36" s="0" t="n">
        <v>357</v>
      </c>
      <c r="X36" s="12" t="n">
        <f aca="false">IFERROR(LOOKUP(IF(W36="",G36,W36),{0,1,10,100,500,1000,2000,5000,10000,25000},{0,1.05,0.752,0.688,0.624,0.572,0.526,0.484,0.445,0.409}),"")</f>
        <v>1.05</v>
      </c>
      <c r="Y36" s="12" t="n">
        <f aca="false">IFERROR(IF(W36="",G36,W36)*X36,"")</f>
        <v>5.25</v>
      </c>
      <c r="Z36" s="0" t="s">
        <v>230</v>
      </c>
      <c r="AA36" s="13" t="s">
        <v>27</v>
      </c>
    </row>
    <row r="37" customFormat="false" ht="15" hidden="false" customHeight="false" outlineLevel="0" collapsed="false">
      <c r="A37" s="0" t="s">
        <v>231</v>
      </c>
      <c r="B37" s="0" t="s">
        <v>232</v>
      </c>
      <c r="D37" s="0" t="s">
        <v>233</v>
      </c>
      <c r="F37" s="0" t="s">
        <v>232</v>
      </c>
      <c r="G37" s="0" t="n">
        <f aca="false">BoardQty*1</f>
        <v>5</v>
      </c>
      <c r="H3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0.39</v>
      </c>
      <c r="I37" s="12" t="n">
        <f aca="false">IFERROR(G37*H37,"")</f>
        <v>1.95</v>
      </c>
      <c r="J37" s="0" t="n">
        <v>8309</v>
      </c>
      <c r="L37" s="12" t="n">
        <f aca="false">IFERROR(LOOKUP(IF(K37="",G37,K37),{0,1,10,25,100,250,500,1000,3000,6000,15000,30000,75000,150000},{0,0.39,0.278,0.2164,0.1638,0.11588,0.0927,0.07107,0.0846,0.0799,0.07285,0.06815,0.0611,0.05875}),"")</f>
        <v>0.39</v>
      </c>
      <c r="M37" s="12" t="n">
        <f aca="false">IFERROR(IF(K37="",G37,K37)*L37,"")</f>
        <v>1.95</v>
      </c>
      <c r="N37" s="0" t="s">
        <v>234</v>
      </c>
      <c r="O37" s="13" t="s">
        <v>27</v>
      </c>
      <c r="V37" s="0" t="n">
        <v>4440</v>
      </c>
      <c r="X37" s="12" t="n">
        <f aca="false">IFERROR(LOOKUP(IF(W37="",G37,W37),{0,1,10,100,1000,3000,24000,45000},{0,0.452,0.267,0.126,0.097,0.08,0.068,0.061}),"")</f>
        <v>0.452</v>
      </c>
      <c r="Y37" s="12" t="n">
        <f aca="false">IFERROR(IF(W37="",G37,W37)*X37,"")</f>
        <v>2.26</v>
      </c>
      <c r="Z37" s="0" t="s">
        <v>235</v>
      </c>
      <c r="AA37" s="13" t="s">
        <v>27</v>
      </c>
    </row>
    <row r="38" customFormat="false" ht="15" hidden="false" customHeight="false" outlineLevel="0" collapsed="false">
      <c r="A38" s="0" t="s">
        <v>236</v>
      </c>
      <c r="B38" s="0" t="s">
        <v>39</v>
      </c>
      <c r="D38" s="0" t="s">
        <v>40</v>
      </c>
      <c r="F38" s="0" t="s">
        <v>41</v>
      </c>
      <c r="G38" s="0" t="n">
        <f aca="false">BoardQty*39</f>
        <v>195</v>
      </c>
      <c r="H3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38" s="12" t="n">
        <f aca="false">IFERROR(G38*H38,"")</f>
        <v>2.535</v>
      </c>
      <c r="J38" s="0" t="n">
        <v>4778400</v>
      </c>
      <c r="L38" s="12" t="n">
        <f aca="false">IFERROR(LOOKUP(IF(K38="",G38,K38),{0,1,10,100,500,1000,4000,8000,12000},{0,0.1,0.031,0.0136,0.00974,0.00765,0.00557,0.00508,0.00484}),"")</f>
        <v>0.0136</v>
      </c>
      <c r="M38" s="12" t="n">
        <f aca="false">IFERROR(IF(K38="",G38,K38)*L38,"")</f>
        <v>2.652</v>
      </c>
      <c r="N38" s="0" t="s">
        <v>42</v>
      </c>
      <c r="O38" s="13" t="s">
        <v>27</v>
      </c>
      <c r="R38" s="12" t="n">
        <f aca="false">IFERROR(LOOKUP(IF(Q38="",G38,Q38),{0,1,100,500,1000,2000},{0,0.0174332,0.0174332,0.0137127,0.0083977,0.0075473}),"")</f>
        <v>0.0174332</v>
      </c>
      <c r="S38" s="12" t="n">
        <f aca="false">IFERROR(IF(Q38="",G38,Q38)*R38,"")</f>
        <v>3.399474</v>
      </c>
      <c r="T38" s="0" t="s">
        <v>43</v>
      </c>
      <c r="U38" s="13" t="s">
        <v>27</v>
      </c>
      <c r="V38" s="0" t="n">
        <v>492157</v>
      </c>
      <c r="X38" s="12" t="n">
        <f aca="false">IFERROR(LOOKUP(IF(W38="",G38,W38),{0,1,10,100,500,1000,4000,8000,48000},{0,0.1,0.03,0.013,0.007,0.006,0.006,0.005,0.004}),"")</f>
        <v>0.013</v>
      </c>
      <c r="Y38" s="12" t="n">
        <f aca="false">IFERROR(IF(W38="",G38,W38)*X38,"")</f>
        <v>2.535</v>
      </c>
      <c r="Z38" s="0" t="s">
        <v>44</v>
      </c>
      <c r="AA38" s="13" t="s">
        <v>27</v>
      </c>
      <c r="AD38" s="12" t="n">
        <f aca="false">IFERROR(LOOKUP(IF(AC38="",G38,AC38),{0,1,25,50,100,250,500,1000},{0,0.1,0.029,0.021,0.013,0.01,0.007,0.006}),"")</f>
        <v>0.013</v>
      </c>
      <c r="AE38" s="12" t="n">
        <f aca="false">IFERROR(IF(AC38="",G38,AC38)*AD38,"")</f>
        <v>2.535</v>
      </c>
      <c r="AF38" s="0" t="s">
        <v>45</v>
      </c>
      <c r="AG38" s="13" t="s">
        <v>27</v>
      </c>
      <c r="AJ38" s="12" t="n">
        <f aca="false">IFERROR(LOOKUP(IF(AI38="",G38,AI38),{0,1,50,500},{0,0.018071,0.018071,0.007441}),"")</f>
        <v>0.018071</v>
      </c>
      <c r="AK38" s="12" t="n">
        <f aca="false">IFERROR(IF(AI38="",G38,AI38)*AJ38,"")</f>
        <v>3.523845</v>
      </c>
      <c r="AL38" s="0" t="s">
        <v>46</v>
      </c>
      <c r="AM38" s="13" t="s">
        <v>27</v>
      </c>
    </row>
    <row r="39" customFormat="false" ht="15" hidden="false" customHeight="false" outlineLevel="0" collapsed="false">
      <c r="A39" s="0" t="s">
        <v>237</v>
      </c>
      <c r="B39" s="0" t="s">
        <v>238</v>
      </c>
      <c r="D39" s="0" t="s">
        <v>239</v>
      </c>
      <c r="F39" s="0" t="s">
        <v>240</v>
      </c>
      <c r="G39" s="0" t="n">
        <f aca="false">BoardQty*3</f>
        <v>15</v>
      </c>
      <c r="H3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39" s="12" t="n">
        <f aca="false">IFERROR(G39*H39,"")</f>
        <v>1.665</v>
      </c>
      <c r="J39" s="0" t="n">
        <v>5443</v>
      </c>
      <c r="L39" s="12" t="n">
        <f aca="false">IFERROR(LOOKUP(IF(K39="",G39,K39),{0,1,10,100,500,1000,2500,5000,10000,20000,30000},{0,0.18,0.129,0.0606,0.04248,0.03516,0.03273,0.02994,0.0242,0.02299,0.02178}),"")</f>
        <v>0.129</v>
      </c>
      <c r="M39" s="12" t="n">
        <f aca="false">IFERROR(IF(K39="",G39,K39)*L39,"")</f>
        <v>1.935</v>
      </c>
      <c r="N39" s="0" t="s">
        <v>241</v>
      </c>
      <c r="O39" s="13" t="s">
        <v>27</v>
      </c>
      <c r="V39" s="0" t="n">
        <v>11032</v>
      </c>
      <c r="X39" s="12" t="n">
        <f aca="false">IFERROR(LOOKUP(IF(W39="",G39,W39),{0,1,10,100,500,1000,2500,10000},{0,0.16,0.111,0.052,0.037,0.031,0.025,0.024}),"")</f>
        <v>0.111</v>
      </c>
      <c r="Y39" s="12" t="n">
        <f aca="false">IFERROR(IF(W39="",G39,W39)*X39,"")</f>
        <v>1.665</v>
      </c>
      <c r="Z39" s="0" t="s">
        <v>242</v>
      </c>
      <c r="AA39" s="13" t="s">
        <v>27</v>
      </c>
      <c r="AH39" s="0" t="n">
        <v>2</v>
      </c>
      <c r="AJ39" s="12" t="n">
        <f aca="false">IFERROR(LOOKUP(IF(AI39="",G39,AI39),{0,1,5,25,50,100},{0,3.31656,3.15711,2.98703,2.82758,2.6575}),"")</f>
        <v>3.15711</v>
      </c>
      <c r="AK39" s="12" t="n">
        <f aca="false">IFERROR(IF(AI39="",G39,AI39)*AJ39,"")</f>
        <v>47.35665</v>
      </c>
      <c r="AL39" s="0" t="s">
        <v>243</v>
      </c>
      <c r="AM39" s="13" t="s">
        <v>27</v>
      </c>
    </row>
    <row r="40" customFormat="false" ht="15" hidden="false" customHeight="false" outlineLevel="0" collapsed="false">
      <c r="A40" s="0" t="s">
        <v>244</v>
      </c>
      <c r="B40" s="0" t="s">
        <v>154</v>
      </c>
      <c r="D40" s="0" t="s">
        <v>239</v>
      </c>
      <c r="F40" s="0" t="s">
        <v>245</v>
      </c>
      <c r="G40" s="0" t="n">
        <f aca="false">BoardQty*1</f>
        <v>5</v>
      </c>
      <c r="H4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0.03464</v>
      </c>
      <c r="I40" s="12" t="n">
        <f aca="false">IFERROR(G40*H40,"")</f>
        <v>0.1732</v>
      </c>
      <c r="L40" s="12" t="n">
        <f aca="false">IFERROR(LOOKUP(IF(K40="",G40,K40),{0,1,3000},{0,0.03464,0.03464}),"")</f>
        <v>0.03464</v>
      </c>
      <c r="M40" s="12" t="n">
        <f aca="false">IFERROR(IF(K40="",G40,K40)*L40,"")</f>
        <v>0.1732</v>
      </c>
      <c r="N40" s="0" t="s">
        <v>246</v>
      </c>
      <c r="O40" s="13" t="s">
        <v>27</v>
      </c>
      <c r="V40" s="0" t="n">
        <v>18198</v>
      </c>
      <c r="X40" s="12" t="n">
        <f aca="false">IFERROR(LOOKUP(IF(W40="",G40,W40),{0,1,10,100,500,1000,3000,9000,24000,45000},{0,0.191,0.077,0.054,0.045,0.037,0.027,0.025,0.024,0.02}),"")</f>
        <v>0.191</v>
      </c>
      <c r="Y40" s="12" t="n">
        <f aca="false">IFERROR(IF(W40="",G40,W40)*X40,"")</f>
        <v>0.955</v>
      </c>
      <c r="Z40" s="0" t="s">
        <v>247</v>
      </c>
      <c r="AA40" s="13" t="s">
        <v>27</v>
      </c>
    </row>
    <row r="41" customFormat="false" ht="15" hidden="false" customHeight="false" outlineLevel="0" collapsed="false">
      <c r="A41" s="0" t="s">
        <v>248</v>
      </c>
      <c r="B41" s="0" t="s">
        <v>249</v>
      </c>
      <c r="D41" s="0" t="s">
        <v>250</v>
      </c>
      <c r="F41" s="0" t="s">
        <v>249</v>
      </c>
      <c r="G41" s="0" t="n">
        <f aca="false">BoardQty*1</f>
        <v>5</v>
      </c>
      <c r="H4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0.226419</v>
      </c>
      <c r="I41" s="12" t="n">
        <f aca="false">IFERROR(G41*H41,"")</f>
        <v>1.132095</v>
      </c>
      <c r="J41" s="0" t="n">
        <v>26261</v>
      </c>
      <c r="L41" s="12" t="n">
        <f aca="false">IFERROR(LOOKUP(IF(K41="",G41,K41),{0,1,25,100,3000},{0,0.28,0.2704,0.26,0.26}),"")</f>
        <v>0.28</v>
      </c>
      <c r="M41" s="12" t="n">
        <f aca="false">IFERROR(IF(K41="",G41,K41)*L41,"")</f>
        <v>1.4</v>
      </c>
      <c r="N41" s="0" t="s">
        <v>251</v>
      </c>
      <c r="O41" s="13" t="s">
        <v>27</v>
      </c>
      <c r="R41" s="12" t="n">
        <f aca="false">IFERROR(LOOKUP(IF(Q41="",G41,Q41),{0,1,25,100},{0,0.226419,0.2126,0.211537}),"")</f>
        <v>0.226419</v>
      </c>
      <c r="S41" s="12" t="n">
        <f aca="false">IFERROR(IF(Q41="",G41,Q41)*R41,"")</f>
        <v>1.132095</v>
      </c>
      <c r="T41" s="0" t="s">
        <v>252</v>
      </c>
      <c r="U41" s="13" t="s">
        <v>27</v>
      </c>
      <c r="V41" s="0" t="n">
        <v>24213</v>
      </c>
      <c r="X41" s="12" t="n">
        <f aca="false">IFERROR(LOOKUP(IF(W41="",G41,W41),{0,1,10,25,100,3000},{0,0.271,0.221,0.211,0.201,0.201}),"")</f>
        <v>0.271</v>
      </c>
      <c r="Y41" s="12" t="n">
        <f aca="false">IFERROR(IF(W41="",G41,W41)*X41,"")</f>
        <v>1.355</v>
      </c>
      <c r="Z41" s="0" t="s">
        <v>253</v>
      </c>
      <c r="AA41" s="13" t="s">
        <v>27</v>
      </c>
      <c r="AD41" s="12" t="n">
        <f aca="false">IFERROR(LOOKUP(IF(AC41="",G41,AC41),{0,1,25,100},{0,0.23,0.216,0.212}),"")</f>
        <v>0.23</v>
      </c>
      <c r="AE41" s="12" t="n">
        <f aca="false">IFERROR(IF(AC41="",G41,AC41)*AD41,"")</f>
        <v>1.15</v>
      </c>
      <c r="AF41" s="0" t="s">
        <v>254</v>
      </c>
      <c r="AG41" s="13" t="s">
        <v>27</v>
      </c>
      <c r="AJ41" s="12" t="n">
        <f aca="false">IFERROR(LOOKUP(IF(AI41="",G41,AI41),{0,1,2,5},{0,97.2645,96.733,96.2015}),"")</f>
        <v>96.2015</v>
      </c>
      <c r="AK41" s="12" t="n">
        <f aca="false">IFERROR(IF(AI41="",G41,AI41)*AJ41,"")</f>
        <v>481.0075</v>
      </c>
      <c r="AL41" s="0" t="s">
        <v>255</v>
      </c>
      <c r="AM41" s="13" t="s">
        <v>27</v>
      </c>
    </row>
    <row r="42" customFormat="false" ht="15" hidden="false" customHeight="false" outlineLevel="0" collapsed="false">
      <c r="A42" s="0" t="s">
        <v>256</v>
      </c>
      <c r="B42" s="0" t="s">
        <v>257</v>
      </c>
      <c r="D42" s="0" t="s">
        <v>258</v>
      </c>
      <c r="F42" s="0" t="s">
        <v>259</v>
      </c>
      <c r="G42" s="0" t="n">
        <f aca="false">BoardQty*4</f>
        <v>20</v>
      </c>
      <c r="H4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0.209411</v>
      </c>
      <c r="I42" s="12" t="n">
        <f aca="false">IFERROR(G42*H42,"")</f>
        <v>4.18822</v>
      </c>
      <c r="J42" s="0" t="n">
        <v>4643</v>
      </c>
      <c r="L42" s="12" t="n">
        <f aca="false">IFERROR(LOOKUP(IF(K42="",G42,K42),{0,1,25,100,3000},{0,0.29,0.2416,0.2205,0.2205}),"")</f>
        <v>0.29</v>
      </c>
      <c r="M42" s="12" t="n">
        <f aca="false">IFERROR(IF(K42="",G42,K42)*L42,"")</f>
        <v>5.8</v>
      </c>
      <c r="N42" s="0" t="s">
        <v>260</v>
      </c>
      <c r="O42" s="13" t="s">
        <v>27</v>
      </c>
      <c r="R42" s="12" t="n">
        <f aca="false">IFERROR(LOOKUP(IF(Q42="",G42,Q42),{0,1,100},{0,0.209411,0.209411}),"")</f>
        <v>0.209411</v>
      </c>
      <c r="S42" s="12" t="n">
        <f aca="false">IFERROR(IF(Q42="",G42,Q42)*R42,"")</f>
        <v>4.18822</v>
      </c>
      <c r="T42" s="0" t="s">
        <v>261</v>
      </c>
      <c r="U42" s="13" t="s">
        <v>27</v>
      </c>
      <c r="V42" s="0" t="n">
        <v>27901</v>
      </c>
      <c r="X42" s="12" t="n">
        <f aca="false">IFERROR(LOOKUP(IF(W42="",G42,W42),{0,1,10,25,100,3000},{0,0.301,0.281,0.231,0.211,0.211}),"")</f>
        <v>0.281</v>
      </c>
      <c r="Y42" s="12" t="n">
        <f aca="false">IFERROR(IF(W42="",G42,W42)*X42,"")</f>
        <v>5.62</v>
      </c>
      <c r="Z42" s="0" t="s">
        <v>262</v>
      </c>
      <c r="AA42" s="13" t="s">
        <v>27</v>
      </c>
      <c r="AD42" s="12" t="n">
        <f aca="false">IFERROR(LOOKUP(IF(AC42="",G42,AC42),{0,1,25,100},{0,0.291,0.24,0.22}),"")</f>
        <v>0.291</v>
      </c>
      <c r="AE42" s="12" t="n">
        <f aca="false">IFERROR(IF(AC42="",G42,AC42)*AD42,"")</f>
        <v>5.82</v>
      </c>
      <c r="AF42" s="0" t="s">
        <v>263</v>
      </c>
      <c r="AG42" s="13" t="s">
        <v>27</v>
      </c>
      <c r="AJ42" s="12" t="n">
        <f aca="false">IFERROR(LOOKUP(IF(AI42="",G42,AI42),{0,1,25,50},{0,0.426263,0.426263,0.272128}),"")</f>
        <v>0.426263</v>
      </c>
      <c r="AK42" s="12" t="n">
        <f aca="false">IFERROR(IF(AI42="",G42,AI42)*AJ42,"")</f>
        <v>8.52526</v>
      </c>
      <c r="AL42" s="0" t="s">
        <v>264</v>
      </c>
      <c r="AM42" s="13" t="s">
        <v>27</v>
      </c>
    </row>
    <row r="43" customFormat="false" ht="15" hidden="false" customHeight="false" outlineLevel="0" collapsed="false">
      <c r="A43" s="0" t="s">
        <v>265</v>
      </c>
      <c r="B43" s="0" t="s">
        <v>266</v>
      </c>
      <c r="D43" s="0" t="s">
        <v>24</v>
      </c>
      <c r="F43" s="0" t="s">
        <v>267</v>
      </c>
      <c r="G43" s="0" t="n">
        <f aca="false">BoardQty*8</f>
        <v>40</v>
      </c>
      <c r="H4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0.008504</v>
      </c>
      <c r="I43" s="12" t="n">
        <f aca="false">IFERROR(G43*H43,"")</f>
        <v>0.34016</v>
      </c>
      <c r="J43" s="0" t="n">
        <v>1483212</v>
      </c>
      <c r="L43" s="12" t="n">
        <f aca="false">IFERROR(LOOKUP(IF(K43="",G43,K43),{0,1,10,100,1000,2500,5000,10000,25000,50000,125000},{0,0.1,0.015,0.006,0.00268,0.00233,0.00192,0.00167,0.00147,0.00135,0.00132}),"")</f>
        <v>0.015</v>
      </c>
      <c r="M43" s="12" t="n">
        <f aca="false">IFERROR(IF(K43="",G43,K43)*L43,"")</f>
        <v>0.6</v>
      </c>
      <c r="N43" s="0" t="s">
        <v>268</v>
      </c>
      <c r="O43" s="13" t="s">
        <v>27</v>
      </c>
      <c r="R43" s="12" t="n">
        <f aca="false">IFERROR(LOOKUP(IF(Q43="",G43,Q43),{0,1,100,500,1000,2500},{0,0.008504,0.008504,0.006378,0.0051024,0.004252}),"")</f>
        <v>0.008504</v>
      </c>
      <c r="S43" s="12" t="n">
        <f aca="false">IFERROR(IF(Q43="",G43,Q43)*R43,"")</f>
        <v>0.34016</v>
      </c>
      <c r="T43" s="0" t="s">
        <v>269</v>
      </c>
      <c r="U43" s="13" t="s">
        <v>27</v>
      </c>
      <c r="V43" s="0" t="n">
        <v>378766</v>
      </c>
      <c r="X43" s="12" t="n">
        <f aca="false">IFERROR(LOOKUP(IF(W43="",G43,W43),{0,1,10,100,1000,5000},{0,0.1,0.011,0.004,0.002,0.001}),"")</f>
        <v>0.011</v>
      </c>
      <c r="Y43" s="12" t="n">
        <f aca="false">IFERROR(IF(W43="",G43,W43)*X43,"")</f>
        <v>0.44</v>
      </c>
      <c r="Z43" s="0" t="s">
        <v>270</v>
      </c>
      <c r="AA43" s="13" t="s">
        <v>27</v>
      </c>
      <c r="AD43" s="12" t="n">
        <f aca="false">IFERROR(LOOKUP(IF(AC43="",G43,AC43),{0,1,10,25,100,250,1000},{0,0.08,0.014,0.01,0.006,0.004,0.003}),"")</f>
        <v>0.01</v>
      </c>
      <c r="AE43" s="12" t="n">
        <f aca="false">IFERROR(IF(AC43="",G43,AC43)*AD43,"")</f>
        <v>0.4</v>
      </c>
      <c r="AF43" s="0" t="s">
        <v>271</v>
      </c>
      <c r="AG43" s="13" t="s">
        <v>27</v>
      </c>
    </row>
    <row r="44" customFormat="false" ht="15" hidden="false" customHeight="false" outlineLevel="0" collapsed="false">
      <c r="A44" s="0" t="s">
        <v>272</v>
      </c>
      <c r="B44" s="0" t="s">
        <v>273</v>
      </c>
      <c r="D44" s="0" t="s">
        <v>146</v>
      </c>
      <c r="F44" s="0" t="s">
        <v>274</v>
      </c>
      <c r="G44" s="0" t="n">
        <f aca="false">BoardQty*1</f>
        <v>5</v>
      </c>
      <c r="H4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0.0544256</v>
      </c>
      <c r="I44" s="12" t="n">
        <f aca="false">IFERROR(G44*H44,"")</f>
        <v>0.272128</v>
      </c>
      <c r="J44" s="0" t="n">
        <v>17057</v>
      </c>
      <c r="L44" s="12" t="n">
        <f aca="false">IFERROR(LOOKUP(IF(K44="",G44,K44),{0,1,10,100,500,1000,3000,6000,10000,15000,30000,50000,75000,100000,150000,250000},{0,0.14,0.131,0.0712,0.0438,0.02986,0.02463,0.02222,0.01932,0.01932,0.01739,0.01546,0.01546,0.01449,0.01288,0.01288}),"")</f>
        <v>0.14</v>
      </c>
      <c r="M44" s="12" t="n">
        <f aca="false">IFERROR(IF(K44="",G44,K44)*L44,"")</f>
        <v>0.7</v>
      </c>
      <c r="N44" s="0" t="s">
        <v>275</v>
      </c>
      <c r="O44" s="13" t="s">
        <v>27</v>
      </c>
      <c r="R44" s="12" t="n">
        <f aca="false">IFERROR(LOOKUP(IF(Q44="",G44,Q44),{0,1,50,250,500,1500},{0,0.0544256,0.0544256,0.051024,0.0334845,0.0322089}),"")</f>
        <v>0.0544256</v>
      </c>
      <c r="S44" s="12" t="n">
        <f aca="false">IFERROR(IF(Q44="",G44,Q44)*R44,"")</f>
        <v>0.272128</v>
      </c>
      <c r="T44" s="0" t="s">
        <v>276</v>
      </c>
      <c r="U44" s="13" t="s">
        <v>27</v>
      </c>
      <c r="V44" s="0" t="n">
        <v>72032</v>
      </c>
      <c r="X44" s="12" t="n">
        <f aca="false">IFERROR(LOOKUP(IF(W44="",G44,W44),{0,1,10,100,1000,3000,9000,24000,45000,99000},{0,0.14,0.119,0.042,0.028,0.022,0.019,0.017,0.015,0.013}),"")</f>
        <v>0.14</v>
      </c>
      <c r="Y44" s="12" t="n">
        <f aca="false">IFERROR(IF(W44="",G44,W44)*X44,"")</f>
        <v>0.7</v>
      </c>
      <c r="Z44" s="0" t="s">
        <v>277</v>
      </c>
      <c r="AA44" s="13" t="s">
        <v>27</v>
      </c>
      <c r="AD44" s="12" t="n">
        <f aca="false">IFERROR(LOOKUP(IF(AC44="",G44,AC44),{0,1,25,50,100,250,500,1000},{0,0.14,0.119,0.081,0.042,0.037,0.033,0.028}),"")</f>
        <v>0.14</v>
      </c>
      <c r="AE44" s="12" t="n">
        <f aca="false">IFERROR(IF(AC44="",G44,AC44)*AD44,"")</f>
        <v>0.7</v>
      </c>
      <c r="AF44" s="0" t="s">
        <v>278</v>
      </c>
      <c r="AG44" s="13" t="s">
        <v>27</v>
      </c>
      <c r="AH44" s="0" t="n">
        <v>1400</v>
      </c>
      <c r="AJ44" s="12" t="n">
        <f aca="false">IFERROR(LOOKUP(IF(AI44="",G44,AI44),{0,1,200,1000},{0,0.058465,0.058465,0.055276}),"")</f>
        <v>0.058465</v>
      </c>
      <c r="AK44" s="12" t="n">
        <f aca="false">IFERROR(IF(AI44="",G44,AI44)*AJ44,"")</f>
        <v>0.292325</v>
      </c>
      <c r="AL44" s="0" t="s">
        <v>279</v>
      </c>
      <c r="AM44" s="13" t="s">
        <v>27</v>
      </c>
    </row>
    <row r="45" customFormat="false" ht="15" hidden="false" customHeight="false" outlineLevel="0" collapsed="false">
      <c r="A45" s="0" t="s">
        <v>280</v>
      </c>
      <c r="B45" s="0" t="s">
        <v>281</v>
      </c>
      <c r="D45" s="0" t="s">
        <v>282</v>
      </c>
      <c r="F45" s="0" t="s">
        <v>283</v>
      </c>
      <c r="G45" s="0" t="n">
        <f aca="false">BoardQty*3</f>
        <v>15</v>
      </c>
      <c r="H4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0.555</v>
      </c>
      <c r="I45" s="12" t="n">
        <f aca="false">IFERROR(G45*H45,"")</f>
        <v>8.325</v>
      </c>
      <c r="J45" s="0" t="n">
        <v>1417</v>
      </c>
      <c r="L45" s="12" t="n">
        <f aca="false">IFERROR(LOOKUP(IF(K45="",G45,K45),{0,1,10,100,500,1000,5000,10000},{0,0.59,0.555,0.4255,0.37,0.30525,0.26825,0.24975}),"")</f>
        <v>0.555</v>
      </c>
      <c r="M45" s="12" t="n">
        <f aca="false">IFERROR(IF(K45="",G45,K45)*L45,"")</f>
        <v>8.325</v>
      </c>
      <c r="N45" s="0" t="s">
        <v>284</v>
      </c>
      <c r="O45" s="13" t="s">
        <v>27</v>
      </c>
      <c r="V45" s="0" t="n">
        <v>1848</v>
      </c>
      <c r="X45" s="12" t="n">
        <f aca="false">IFERROR(LOOKUP(IF(W45="",G45,W45),{0,1,10,100,500,1000,2000,4000,10000,24000},{0,0.592,0.557,0.427,0.372,0.307,0.277,0.27,0.251,0.247}),"")</f>
        <v>0.557</v>
      </c>
      <c r="Y45" s="12" t="n">
        <f aca="false">IFERROR(IF(W45="",G45,W45)*X45,"")</f>
        <v>8.355</v>
      </c>
      <c r="Z45" s="0" t="s">
        <v>285</v>
      </c>
      <c r="AA45" s="13" t="s">
        <v>27</v>
      </c>
    </row>
    <row r="46" customFormat="false" ht="15" hidden="false" customHeight="false" outlineLevel="0" collapsed="false">
      <c r="A46" s="0" t="s">
        <v>286</v>
      </c>
      <c r="B46" s="0" t="s">
        <v>287</v>
      </c>
      <c r="D46" s="0" t="s">
        <v>40</v>
      </c>
      <c r="F46" s="0" t="s">
        <v>288</v>
      </c>
      <c r="G46" s="0" t="n">
        <f aca="false">BoardQty*2</f>
        <v>10</v>
      </c>
      <c r="H4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0.02126</v>
      </c>
      <c r="I46" s="12" t="n">
        <f aca="false">IFERROR(G46*H46,"")</f>
        <v>0.2126</v>
      </c>
      <c r="J46" s="0" t="n">
        <v>533526</v>
      </c>
      <c r="L46" s="12" t="n">
        <f aca="false">IFERROR(LOOKUP(IF(K46="",G46,K46),{0,1,10,100,500,1000,4000,8000,12000},{0,0.1,0.049,0.0217,0.01552,0.01219,0.00886,0.00809,0.0077}),"")</f>
        <v>0.049</v>
      </c>
      <c r="M46" s="12" t="n">
        <f aca="false">IFERROR(IF(K46="",G46,K46)*L46,"")</f>
        <v>0.49</v>
      </c>
      <c r="N46" s="0" t="s">
        <v>289</v>
      </c>
      <c r="O46" s="13" t="s">
        <v>27</v>
      </c>
      <c r="R46" s="12" t="n">
        <f aca="false">IFERROR(LOOKUP(IF(Q46="",G46,Q46),{0,1,100,500,1000,2000},{0,0.0217915,0.0217915,0.0157324,0.0112678,0.01063}),"")</f>
        <v>0.0217915</v>
      </c>
      <c r="S46" s="12" t="n">
        <f aca="false">IFERROR(IF(Q46="",G46,Q46)*R46,"")</f>
        <v>0.217915</v>
      </c>
      <c r="T46" s="0" t="s">
        <v>290</v>
      </c>
      <c r="U46" s="13" t="s">
        <v>27</v>
      </c>
      <c r="V46" s="0" t="n">
        <v>121568</v>
      </c>
      <c r="X46" s="12" t="n">
        <f aca="false">IFERROR(LOOKUP(IF(W46="",G46,W46),{0,1,10,100,500,1000,4000,8000,24000,48000},{0,0.1,0.022,0.015,0.013,0.011,0.008,0.007,0.006,0.005}),"")</f>
        <v>0.022</v>
      </c>
      <c r="Y46" s="12" t="n">
        <f aca="false">IFERROR(IF(W46="",G46,W46)*X46,"")</f>
        <v>0.22</v>
      </c>
      <c r="Z46" s="0" t="s">
        <v>291</v>
      </c>
      <c r="AA46" s="13" t="s">
        <v>27</v>
      </c>
      <c r="AD46" s="12" t="n">
        <f aca="false">IFERROR(LOOKUP(IF(AC46="",G46,AC46),{0,1,25,50,100,250,500,1000},{0,0.1,0.022,0.019,0.015,0.014,0.013,0.01}),"")</f>
        <v>0.1</v>
      </c>
      <c r="AE46" s="12" t="n">
        <f aca="false">IFERROR(IF(AC46="",G46,AC46)*AD46,"")</f>
        <v>1</v>
      </c>
      <c r="AF46" s="0" t="s">
        <v>292</v>
      </c>
      <c r="AG46" s="13" t="s">
        <v>27</v>
      </c>
      <c r="AJ46" s="12" t="n">
        <f aca="false">IFERROR(LOOKUP(IF(AI46="",G46,AI46),{0,1,25,125},{0,0.02126,0.02126,0.014882}),"")</f>
        <v>0.02126</v>
      </c>
      <c r="AK46" s="12" t="n">
        <f aca="false">IFERROR(IF(AI46="",G46,AI46)*AJ46,"")</f>
        <v>0.2126</v>
      </c>
      <c r="AL46" s="0" t="s">
        <v>293</v>
      </c>
      <c r="AM46" s="13" t="s">
        <v>27</v>
      </c>
    </row>
    <row r="47" customFormat="false" ht="15" hidden="false" customHeight="false" outlineLevel="0" collapsed="false">
      <c r="A47" s="0" t="s">
        <v>294</v>
      </c>
      <c r="B47" s="0" t="s">
        <v>295</v>
      </c>
      <c r="D47" s="0" t="s">
        <v>296</v>
      </c>
      <c r="F47" s="0" t="s">
        <v>295</v>
      </c>
      <c r="G47" s="0" t="n">
        <f aca="false">BoardQty*2</f>
        <v>10</v>
      </c>
      <c r="H4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0.90355</v>
      </c>
      <c r="I47" s="12" t="n">
        <f aca="false">IFERROR(G47*H47,"")</f>
        <v>9.0355</v>
      </c>
      <c r="R47" s="12" t="n">
        <f aca="false">IFERROR(LOOKUP(IF(Q47="",G47,Q47),{0,1,50,100,250,500,1000,5000,10000},{0,1.37127,0.947133,0.836581,0.814258,0.792998,0.6378,0.625044,0.612288}),"")</f>
        <v>1.37127</v>
      </c>
      <c r="S47" s="12" t="n">
        <f aca="false">IFERROR(IF(Q47="",G47,Q47)*R47,"")</f>
        <v>13.7127</v>
      </c>
      <c r="T47" s="0" t="s">
        <v>297</v>
      </c>
      <c r="U47" s="13" t="s">
        <v>27</v>
      </c>
      <c r="V47" s="0" t="n">
        <v>875</v>
      </c>
      <c r="X47" s="12" t="n">
        <f aca="false">IFERROR(LOOKUP(IF(W47="",G47,W47),{0,1,10,25,100,250,500,1000,2000,5000},{0,1.11,0.979,0.916,0.809,0.788,0.767,0.638,0.618,0.597}),"")</f>
        <v>0.979</v>
      </c>
      <c r="Y47" s="12" t="n">
        <f aca="false">IFERROR(IF(W47="",G47,W47)*X47,"")</f>
        <v>9.79</v>
      </c>
      <c r="Z47" s="0" t="s">
        <v>298</v>
      </c>
      <c r="AA47" s="13" t="s">
        <v>27</v>
      </c>
      <c r="AD47" s="12" t="n">
        <f aca="false">IFERROR(LOOKUP(IF(AC47="",G47,AC47),{0,1,100,250,500,1000},{0,1.4,1.13,1.02,0.936,0.867}),"")</f>
        <v>1.4</v>
      </c>
      <c r="AE47" s="12" t="n">
        <f aca="false">IFERROR(IF(AC47="",G47,AC47)*AD47,"")</f>
        <v>14</v>
      </c>
      <c r="AF47" s="0" t="s">
        <v>299</v>
      </c>
      <c r="AG47" s="13" t="s">
        <v>27</v>
      </c>
      <c r="AH47" s="0" t="n">
        <v>2428</v>
      </c>
      <c r="AJ47" s="12" t="n">
        <f aca="false">IFERROR(LOOKUP(IF(AI47="",G47,AI47),{0,1,10},{0,0.92481,0.90355}),"")</f>
        <v>0.90355</v>
      </c>
      <c r="AK47" s="12" t="n">
        <f aca="false">IFERROR(IF(AI47="",G47,AI47)*AJ47,"")</f>
        <v>9.0355</v>
      </c>
      <c r="AL47" s="0" t="s">
        <v>300</v>
      </c>
      <c r="AM47" s="13" t="s">
        <v>27</v>
      </c>
    </row>
    <row r="48" customFormat="false" ht="15" hidden="false" customHeight="false" outlineLevel="0" collapsed="false">
      <c r="A48" s="0" t="s">
        <v>301</v>
      </c>
      <c r="B48" s="0" t="s">
        <v>302</v>
      </c>
      <c r="D48" s="0" t="s">
        <v>81</v>
      </c>
      <c r="F48" s="0" t="s">
        <v>302</v>
      </c>
      <c r="G48" s="0" t="n">
        <f aca="false">BoardQty*1</f>
        <v>5</v>
      </c>
      <c r="H4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0.578272</v>
      </c>
      <c r="I48" s="12" t="n">
        <f aca="false">IFERROR(G48*H48,"")</f>
        <v>2.89136</v>
      </c>
      <c r="J48" s="0" t="n">
        <v>1694</v>
      </c>
      <c r="L48" s="12" t="n">
        <f aca="false">IFERROR(LOOKUP(IF(K48="",G48,K48),{0,1,10,100,500,1000,2000,3000,5000,6000,15000},{0,0.76,0.666,0.5108,0.40376,0.32301,0.2842,0.2842,0.2646,0.2646,0.2548}),"")</f>
        <v>0.76</v>
      </c>
      <c r="M48" s="12" t="n">
        <f aca="false">IFERROR(IF(K48="",G48,K48)*L48,"")</f>
        <v>3.8</v>
      </c>
      <c r="N48" s="0" t="s">
        <v>303</v>
      </c>
      <c r="O48" s="13" t="s">
        <v>27</v>
      </c>
      <c r="R48" s="12" t="n">
        <f aca="false">IFERROR(LOOKUP(IF(Q48="",G48,Q48),{0,1,50,100,250,500},{0,0.698391,0.620792,0.39331,0.373113,0.32953}),"")</f>
        <v>0.698391</v>
      </c>
      <c r="S48" s="12" t="n">
        <f aca="false">IFERROR(IF(Q48="",G48,Q48)*R48,"")</f>
        <v>3.491955</v>
      </c>
      <c r="T48" s="0" t="s">
        <v>304</v>
      </c>
      <c r="U48" s="13" t="s">
        <v>27</v>
      </c>
      <c r="V48" s="0" t="n">
        <v>2499</v>
      </c>
      <c r="X48" s="12" t="n">
        <f aca="false">IFERROR(LOOKUP(IF(W48="",G48,W48),{0,1,10,100,1000,2000,5000,10000},{0,0.733,0.61,0.393,0.315,0.284,0.266,0.256}),"")</f>
        <v>0.733</v>
      </c>
      <c r="Y48" s="12" t="n">
        <f aca="false">IFERROR(IF(W48="",G48,W48)*X48,"")</f>
        <v>3.665</v>
      </c>
      <c r="Z48" s="0" t="s">
        <v>305</v>
      </c>
      <c r="AA48" s="13" t="s">
        <v>27</v>
      </c>
      <c r="AD48" s="12" t="n">
        <f aca="false">IFERROR(LOOKUP(IF(AC48="",G48,AC48),{0,1,10,100,1000},{0,0.728,0.608,0.392,0.314}),"")</f>
        <v>0.728</v>
      </c>
      <c r="AE48" s="12" t="n">
        <f aca="false">IFERROR(IF(AC48="",G48,AC48)*AD48,"")</f>
        <v>3.64</v>
      </c>
      <c r="AF48" s="0" t="s">
        <v>306</v>
      </c>
      <c r="AG48" s="13" t="s">
        <v>27</v>
      </c>
      <c r="AH48" s="0" t="n">
        <v>25</v>
      </c>
      <c r="AJ48" s="12" t="n">
        <f aca="false">IFERROR(LOOKUP(IF(AI48="",G48,AI48),{0,1,25,50},{0,0.578272,0.578272,0.476224}),"")</f>
        <v>0.578272</v>
      </c>
      <c r="AK48" s="12" t="n">
        <f aca="false">IFERROR(IF(AI48="",G48,AI48)*AJ48,"")</f>
        <v>2.89136</v>
      </c>
      <c r="AL48" s="0" t="s">
        <v>307</v>
      </c>
      <c r="AM48" s="13" t="s">
        <v>27</v>
      </c>
    </row>
    <row r="49" customFormat="false" ht="15" hidden="false" customHeight="false" outlineLevel="0" collapsed="false">
      <c r="A49" s="0" t="s">
        <v>308</v>
      </c>
      <c r="B49" s="0" t="s">
        <v>309</v>
      </c>
      <c r="D49" s="0" t="s">
        <v>24</v>
      </c>
      <c r="F49" s="0" t="s">
        <v>310</v>
      </c>
      <c r="G49" s="0" t="n">
        <f aca="false">BoardQty*2</f>
        <v>10</v>
      </c>
      <c r="H4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49" s="12" t="n">
        <f aca="false">IFERROR(G49*H49,"")</f>
        <v>0.05</v>
      </c>
      <c r="J49" s="0" t="n">
        <v>178012</v>
      </c>
      <c r="L49" s="12" t="n">
        <f aca="false">IFERROR(LOOKUP(IF(K49="",G49,K49),{0,1,10,100,1000,2500,5000,10000,25000,50000,125000},{0,0.1,0.015,0.006,0.00268,0.00233,0.00192,0.00167,0.00147,0.00135,0.00132}),"")</f>
        <v>0.015</v>
      </c>
      <c r="M49" s="12" t="n">
        <f aca="false">IFERROR(IF(K49="",G49,K49)*L49,"")</f>
        <v>0.15</v>
      </c>
      <c r="N49" s="0" t="s">
        <v>311</v>
      </c>
      <c r="O49" s="13" t="s">
        <v>27</v>
      </c>
      <c r="V49" s="0" t="n">
        <v>45100</v>
      </c>
      <c r="X49" s="12" t="n">
        <f aca="false">IFERROR(LOOKUP(IF(W49="",G49,W49),{0,1,10,100,1000,5000,10000},{0,0.1,0.011,0.004,0.002,0.002,0.001}),"")</f>
        <v>0.011</v>
      </c>
      <c r="Y49" s="12" t="n">
        <f aca="false">IFERROR(IF(W49="",G49,W49)*X49,"")</f>
        <v>0.11</v>
      </c>
      <c r="Z49" s="0" t="s">
        <v>312</v>
      </c>
      <c r="AA49" s="13" t="s">
        <v>27</v>
      </c>
      <c r="AD49" s="12" t="n">
        <f aca="false">IFERROR(LOOKUP(IF(AC49="",G49,AC49),{0,1,5000,10000,15000},{0,0.005,0.005,0.003,0.002}),"")</f>
        <v>0.005</v>
      </c>
      <c r="AE49" s="12" t="n">
        <f aca="false">IFERROR(IF(AC49="",G49,AC49)*AD49,"")</f>
        <v>0.05</v>
      </c>
      <c r="AF49" s="0" t="s">
        <v>313</v>
      </c>
      <c r="AG49" s="13" t="s">
        <v>27</v>
      </c>
    </row>
    <row r="50" customFormat="false" ht="15" hidden="false" customHeight="false" outlineLevel="0" collapsed="false">
      <c r="A50" s="0" t="s">
        <v>314</v>
      </c>
      <c r="B50" s="0" t="s">
        <v>315</v>
      </c>
      <c r="D50" s="0" t="s">
        <v>316</v>
      </c>
      <c r="F50" s="0" t="s">
        <v>315</v>
      </c>
      <c r="G50" s="0" t="n">
        <f aca="false">BoardQty*1</f>
        <v>5</v>
      </c>
      <c r="H5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0.981149</v>
      </c>
      <c r="I50" s="12" t="n">
        <f aca="false">IFERROR(G50*H50,"")</f>
        <v>4.905745</v>
      </c>
      <c r="V50" s="0" t="n">
        <v>250</v>
      </c>
      <c r="X50" s="12" t="n">
        <f aca="false">IFERROR(LOOKUP(IF(W50="",G50,W50),{0,1,10,100,250,500,1000,2500,5000},{0,3.42,2.75,2.51,2.25,1.83,1.71,1.62,1.55}),"")</f>
        <v>3.42</v>
      </c>
      <c r="Y50" s="12" t="n">
        <f aca="false">IFERROR(IF(W50="",G50,W50)*X50,"")</f>
        <v>17.1</v>
      </c>
      <c r="Z50" s="0" t="s">
        <v>317</v>
      </c>
      <c r="AA50" s="13" t="s">
        <v>27</v>
      </c>
      <c r="AJ50" s="12" t="n">
        <f aca="false">IFERROR(LOOKUP(IF(AI50="",G50,AI50),{0,1,8,56},{0,0.981149,0.981149,0.757919}),"")</f>
        <v>0.981149</v>
      </c>
      <c r="AK50" s="12" t="n">
        <f aca="false">IFERROR(IF(AI50="",G50,AI50)*AJ50,"")</f>
        <v>4.905745</v>
      </c>
      <c r="AL50" s="0" t="s">
        <v>318</v>
      </c>
      <c r="AM50" s="13" t="s">
        <v>27</v>
      </c>
    </row>
    <row r="51" customFormat="false" ht="15" hidden="false" customHeight="false" outlineLevel="0" collapsed="false">
      <c r="A51" s="0" t="s">
        <v>319</v>
      </c>
      <c r="B51" s="0" t="s">
        <v>320</v>
      </c>
      <c r="D51" s="0" t="s">
        <v>24</v>
      </c>
      <c r="F51" s="0" t="s">
        <v>321</v>
      </c>
      <c r="G51" s="0" t="n">
        <f aca="false">BoardQty*6</f>
        <v>30</v>
      </c>
      <c r="H5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0.0044646</v>
      </c>
      <c r="I51" s="12" t="n">
        <f aca="false">IFERROR(G51*H51,"")</f>
        <v>0.133938</v>
      </c>
      <c r="J51" s="0" t="n">
        <v>4382752</v>
      </c>
      <c r="L51" s="12" t="n">
        <f aca="false">IFERROR(LOOKUP(IF(K51="",G51,K51),{0,1,10,100,1000,2500,5000,10000,25000,50000,125000},{0,0.1,0.015,0.006,0.00268,0.00233,0.00192,0.00167,0.00147,0.00135,0.00132}),"")</f>
        <v>0.015</v>
      </c>
      <c r="M51" s="12" t="n">
        <f aca="false">IFERROR(IF(K51="",G51,K51)*L51,"")</f>
        <v>0.45</v>
      </c>
      <c r="N51" s="0" t="s">
        <v>322</v>
      </c>
      <c r="O51" s="13" t="s">
        <v>27</v>
      </c>
      <c r="R51" s="12" t="n">
        <f aca="false">IFERROR(LOOKUP(IF(Q51="",G51,Q51),{0,1,5000},{0,0.0044646,0.0044646}),"")</f>
        <v>0.0044646</v>
      </c>
      <c r="S51" s="12" t="n">
        <f aca="false">IFERROR(IF(Q51="",G51,Q51)*R51,"")</f>
        <v>0.133938</v>
      </c>
      <c r="T51" s="0" t="s">
        <v>323</v>
      </c>
      <c r="U51" s="13" t="s">
        <v>27</v>
      </c>
      <c r="V51" s="0" t="n">
        <v>1050006</v>
      </c>
      <c r="X51" s="12" t="n">
        <f aca="false">IFERROR(LOOKUP(IF(W51="",G51,W51),{0,1,10,100,1000,5000},{0,0.1,0.011,0.004,0.002,0.001}),"")</f>
        <v>0.011</v>
      </c>
      <c r="Y51" s="12" t="n">
        <f aca="false">IFERROR(IF(W51="",G51,W51)*X51,"")</f>
        <v>0.33</v>
      </c>
      <c r="Z51" s="0" t="s">
        <v>324</v>
      </c>
      <c r="AA51" s="13" t="s">
        <v>27</v>
      </c>
      <c r="AD51" s="12" t="n">
        <f aca="false">IFERROR(LOOKUP(IF(AC51="",G51,AC51),{0,1,10,25,100,250,1000},{0,0.08,0.014,0.01,0.006,0.004,0.003}),"")</f>
        <v>0.01</v>
      </c>
      <c r="AE51" s="12" t="n">
        <f aca="false">IFERROR(IF(AC51="",G51,AC51)*AD51,"")</f>
        <v>0.3</v>
      </c>
      <c r="AF51" s="0" t="s">
        <v>325</v>
      </c>
      <c r="AG51" s="13" t="s">
        <v>27</v>
      </c>
    </row>
    <row r="52" customFormat="false" ht="15" hidden="false" customHeight="false" outlineLevel="0" collapsed="false">
      <c r="A52" s="0" t="s">
        <v>326</v>
      </c>
      <c r="B52" s="0" t="s">
        <v>327</v>
      </c>
      <c r="D52" s="0" t="s">
        <v>258</v>
      </c>
      <c r="F52" s="0" t="s">
        <v>327</v>
      </c>
      <c r="G52" s="0" t="n">
        <f aca="false">BoardQty*1</f>
        <v>5</v>
      </c>
      <c r="H5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1.2756</v>
      </c>
      <c r="I52" s="12" t="n">
        <f aca="false">IFERROR(G52*H52,"")</f>
        <v>6.378</v>
      </c>
      <c r="J52" s="0" t="n">
        <v>12869</v>
      </c>
      <c r="L52" s="12" t="n">
        <f aca="false">IFERROR(LOOKUP(IF(K52="",G52,K52),{0,1,25,100,3000},{0,1.62,1.344,1.218,1.21801}),"")</f>
        <v>1.62</v>
      </c>
      <c r="M52" s="12" t="n">
        <f aca="false">IFERROR(IF(K52="",G52,K52)*L52,"")</f>
        <v>8.1</v>
      </c>
      <c r="N52" s="0" t="s">
        <v>328</v>
      </c>
      <c r="O52" s="13" t="s">
        <v>27</v>
      </c>
      <c r="R52" s="12" t="n">
        <f aca="false">IFERROR(LOOKUP(IF(Q52="",G52,Q52),{0,1,10,25,50,100},{0,1.2756,1.2756,1.22245,1.19056,1.15867}),"")</f>
        <v>1.2756</v>
      </c>
      <c r="S52" s="12" t="n">
        <f aca="false">IFERROR(IF(Q52="",G52,Q52)*R52,"")</f>
        <v>6.378</v>
      </c>
      <c r="T52" s="0" t="s">
        <v>329</v>
      </c>
      <c r="U52" s="13" t="s">
        <v>27</v>
      </c>
      <c r="V52" s="0" t="n">
        <v>9231</v>
      </c>
      <c r="X52" s="12" t="n">
        <f aca="false">IFERROR(LOOKUP(IF(W52="",G52,W52),{0,1,10,25,100,3000},{0,1.69,1.55,1.29,1.16,1.16}),"")</f>
        <v>1.69</v>
      </c>
      <c r="Y52" s="12" t="n">
        <f aca="false">IFERROR(IF(W52="",G52,W52)*X52,"")</f>
        <v>8.45</v>
      </c>
      <c r="Z52" s="0" t="s">
        <v>330</v>
      </c>
      <c r="AA52" s="13" t="s">
        <v>27</v>
      </c>
      <c r="AD52" s="12" t="n">
        <f aca="false">IFERROR(LOOKUP(IF(AC52="",G52,AC52),{0,1,25,100},{0,1.61,1.33,1.22}),"")</f>
        <v>1.61</v>
      </c>
      <c r="AE52" s="12" t="n">
        <f aca="false">IFERROR(IF(AC52="",G52,AC52)*AD52,"")</f>
        <v>8.05</v>
      </c>
      <c r="AF52" s="0" t="s">
        <v>331</v>
      </c>
      <c r="AG52" s="13" t="s">
        <v>27</v>
      </c>
      <c r="AH52" s="0" t="n">
        <v>1585</v>
      </c>
      <c r="AJ52" s="12" t="n">
        <f aca="false">IFERROR(LOOKUP(IF(AI52="",G52,AI52),{0,1,5,10},{0,2.389624,2.389624,1.858124}),"")</f>
        <v>2.389624</v>
      </c>
      <c r="AK52" s="12" t="n">
        <f aca="false">IFERROR(IF(AI52="",G52,AI52)*AJ52,"")</f>
        <v>11.94812</v>
      </c>
      <c r="AL52" s="0" t="s">
        <v>332</v>
      </c>
      <c r="AM52" s="13" t="s">
        <v>27</v>
      </c>
    </row>
    <row r="53" customFormat="false" ht="15" hidden="false" customHeight="false" outlineLevel="0" collapsed="false">
      <c r="A53" s="0" t="s">
        <v>333</v>
      </c>
      <c r="B53" s="0" t="s">
        <v>158</v>
      </c>
      <c r="D53" s="0" t="s">
        <v>24</v>
      </c>
      <c r="F53" s="0" t="s">
        <v>159</v>
      </c>
      <c r="G53" s="0" t="n">
        <f aca="false">BoardQty*15</f>
        <v>75</v>
      </c>
      <c r="H5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0.0082914</v>
      </c>
      <c r="I53" s="12" t="n">
        <f aca="false">IFERROR(G53*H53,"")</f>
        <v>0.621855</v>
      </c>
      <c r="J53" s="0" t="n">
        <v>8252962</v>
      </c>
      <c r="L53" s="12" t="n">
        <f aca="false">IFERROR(LOOKUP(IF(K53="",G53,K53),{0,1,10,100,1000,2500,5000,10000,25000,50000,125000},{0,0.1,0.015,0.006,0.00268,0.00233,0.00192,0.00167,0.00147,0.00135,0.00132}),"")</f>
        <v>0.015</v>
      </c>
      <c r="M53" s="12" t="n">
        <f aca="false">IFERROR(IF(K53="",G53,K53)*L53,"")</f>
        <v>1.125</v>
      </c>
      <c r="N53" s="0" t="s">
        <v>160</v>
      </c>
      <c r="O53" s="13" t="s">
        <v>27</v>
      </c>
      <c r="R53" s="12" t="n">
        <f aca="false">IFERROR(LOOKUP(IF(Q53="",G53,Q53),{0,1,100,500,1000,2500},{0,0.0082914,0.0082914,0.0062717,0.0049961,0.0041457}),"")</f>
        <v>0.0082914</v>
      </c>
      <c r="S53" s="12" t="n">
        <f aca="false">IFERROR(IF(Q53="",G53,Q53)*R53,"")</f>
        <v>0.621855</v>
      </c>
      <c r="T53" s="0" t="s">
        <v>161</v>
      </c>
      <c r="U53" s="13" t="s">
        <v>27</v>
      </c>
      <c r="V53" s="0" t="n">
        <v>1827498</v>
      </c>
      <c r="X53" s="12" t="n">
        <f aca="false">IFERROR(LOOKUP(IF(W53="",G53,W53),{0,1,10,100,1000,5000},{0,0.1,0.011,0.004,0.002,0.001}),"")</f>
        <v>0.011</v>
      </c>
      <c r="Y53" s="12" t="n">
        <f aca="false">IFERROR(IF(W53="",G53,W53)*X53,"")</f>
        <v>0.825</v>
      </c>
      <c r="Z53" s="0" t="s">
        <v>162</v>
      </c>
      <c r="AA53" s="13" t="s">
        <v>27</v>
      </c>
      <c r="AD53" s="12" t="n">
        <f aca="false">IFERROR(LOOKUP(IF(AC53="",G53,AC53),{0,1,10,25,100,250,1000},{0,0.08,0.014,0.01,0.006,0.004,0.003}),"")</f>
        <v>0.01</v>
      </c>
      <c r="AE53" s="12" t="n">
        <f aca="false">IFERROR(IF(AC53="",G53,AC53)*AD53,"")</f>
        <v>0.75</v>
      </c>
      <c r="AF53" s="0" t="s">
        <v>163</v>
      </c>
      <c r="AG53" s="13" t="s">
        <v>27</v>
      </c>
    </row>
    <row r="54" customFormat="false" ht="15" hidden="false" customHeight="false" outlineLevel="0" collapsed="false">
      <c r="A54" s="0" t="s">
        <v>334</v>
      </c>
      <c r="B54" s="0" t="s">
        <v>335</v>
      </c>
      <c r="D54" s="0" t="s">
        <v>40</v>
      </c>
      <c r="F54" s="0" t="s">
        <v>336</v>
      </c>
      <c r="G54" s="0" t="n">
        <f aca="false">BoardQty*4</f>
        <v>20</v>
      </c>
      <c r="H5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0.0246</v>
      </c>
      <c r="I54" s="12" t="n">
        <f aca="false">IFERROR(G54*H54,"")</f>
        <v>0.492</v>
      </c>
      <c r="J54" s="0" t="n">
        <v>8000</v>
      </c>
      <c r="L54" s="12" t="n">
        <f aca="false">IFERROR(LOOKUP(IF(K54="",G54,K54),{0,1,4000,8000,12000},{0,0.0246,0.0246,0.02288,0.02174}),"")</f>
        <v>0.0246</v>
      </c>
      <c r="M54" s="12" t="n">
        <f aca="false">IFERROR(IF(K54="",G54,K54)*L54,"")</f>
        <v>0.492</v>
      </c>
      <c r="N54" s="0" t="s">
        <v>337</v>
      </c>
      <c r="O54" s="13" t="s">
        <v>27</v>
      </c>
      <c r="V54" s="0" t="n">
        <v>9545</v>
      </c>
      <c r="X54" s="12" t="n">
        <f aca="false">IFERROR(LOOKUP(IF(W54="",G54,W54),{0,1,10,100,500,1000,4000,8000,24000,48000},{0,0.151,0.06,0.042,0.035,0.03,0.024,0.02,0.019,0.017}),"")</f>
        <v>0.06</v>
      </c>
      <c r="Y54" s="12" t="n">
        <f aca="false">IFERROR(IF(W54="",G54,W54)*X54,"")</f>
        <v>1.2</v>
      </c>
      <c r="Z54" s="0" t="s">
        <v>338</v>
      </c>
      <c r="AA54" s="13" t="s">
        <v>27</v>
      </c>
    </row>
    <row r="55" customFormat="false" ht="15" hidden="false" customHeight="false" outlineLevel="0" collapsed="false">
      <c r="A55" s="0" t="s">
        <v>339</v>
      </c>
      <c r="B55" s="0" t="s">
        <v>340</v>
      </c>
      <c r="D55" s="0" t="s">
        <v>222</v>
      </c>
      <c r="F55" s="0" t="s">
        <v>341</v>
      </c>
      <c r="G55" s="0" t="n">
        <f aca="false">BoardQty*10</f>
        <v>50</v>
      </c>
      <c r="H5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55" s="12" t="n">
        <f aca="false">IFERROR(G55*H55,"")</f>
        <v>10.85</v>
      </c>
      <c r="J55" s="0" t="n">
        <v>2000</v>
      </c>
      <c r="L55" s="12" t="n">
        <f aca="false">IFERROR(LOOKUP(IF(K55="",G55,K55),{0,1,10,25,100,250,500,1000,2000,6000,10000,50000,100000},{0,0.44,0.318,0.2596,0.2077,0.17524,0.14928,0.11682,0.1062,0.1003,0.09145,0.07847,0.07523}),"")</f>
        <v>0.2596</v>
      </c>
      <c r="M55" s="12" t="n">
        <f aca="false">IFERROR(IF(K55="",G55,K55)*L55,"")</f>
        <v>12.98</v>
      </c>
      <c r="N55" s="0" t="s">
        <v>342</v>
      </c>
      <c r="O55" s="13" t="s">
        <v>27</v>
      </c>
      <c r="V55" s="0" t="n">
        <v>3808</v>
      </c>
      <c r="X55" s="12" t="n">
        <f aca="false">IFERROR(LOOKUP(IF(W55="",G55,W55),{0,1,10,100,1000,2000,10000,24000,50000,100000},{0,0.341,0.217,0.16,0.125,0.104,0.098,0.092,0.091,0.087}),"")</f>
        <v>0.217</v>
      </c>
      <c r="Y55" s="12" t="n">
        <f aca="false">IFERROR(IF(W55="",G55,W55)*X55,"")</f>
        <v>10.85</v>
      </c>
      <c r="Z55" s="0" t="s">
        <v>343</v>
      </c>
      <c r="AA55" s="13" t="s">
        <v>27</v>
      </c>
    </row>
    <row r="56" customFormat="false" ht="15" hidden="false" customHeight="false" outlineLevel="0" collapsed="false">
      <c r="A56" s="0" t="s">
        <v>344</v>
      </c>
      <c r="B56" s="0" t="s">
        <v>345</v>
      </c>
      <c r="D56" s="0" t="s">
        <v>24</v>
      </c>
      <c r="F56" s="0" t="s">
        <v>346</v>
      </c>
      <c r="G56" s="0" t="n">
        <f aca="false">BoardQty*2</f>
        <v>10</v>
      </c>
      <c r="H5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0.0044646</v>
      </c>
      <c r="I56" s="12" t="n">
        <f aca="false">IFERROR(G56*H56,"")</f>
        <v>0.044646</v>
      </c>
      <c r="J56" s="0" t="n">
        <v>355490</v>
      </c>
      <c r="L56" s="12" t="n">
        <f aca="false">IFERROR(LOOKUP(IF(K56="",G56,K56),{0,1,10,100,1000,2500,5000,10000,25000,50000,125000},{0,0.1,0.015,0.006,0.00268,0.00233,0.00192,0.00167,0.00147,0.00135,0.00132}),"")</f>
        <v>0.015</v>
      </c>
      <c r="M56" s="12" t="n">
        <f aca="false">IFERROR(IF(K56="",G56,K56)*L56,"")</f>
        <v>0.15</v>
      </c>
      <c r="N56" s="0" t="s">
        <v>347</v>
      </c>
      <c r="O56" s="13" t="s">
        <v>27</v>
      </c>
      <c r="R56" s="12" t="n">
        <f aca="false">IFERROR(LOOKUP(IF(Q56="",G56,Q56),{0,1,5000},{0,0.0044646,0.0044646}),"")</f>
        <v>0.0044646</v>
      </c>
      <c r="S56" s="12" t="n">
        <f aca="false">IFERROR(IF(Q56="",G56,Q56)*R56,"")</f>
        <v>0.044646</v>
      </c>
      <c r="T56" s="0" t="s">
        <v>348</v>
      </c>
      <c r="U56" s="13" t="s">
        <v>27</v>
      </c>
      <c r="V56" s="0" t="n">
        <v>65380</v>
      </c>
      <c r="X56" s="12" t="n">
        <f aca="false">IFERROR(LOOKUP(IF(W56="",G56,W56),{0,1,10,100,1000,5000},{0,0.1,0.011,0.004,0.002,0.001}),"")</f>
        <v>0.011</v>
      </c>
      <c r="Y56" s="12" t="n">
        <f aca="false">IFERROR(IF(W56="",G56,W56)*X56,"")</f>
        <v>0.11</v>
      </c>
      <c r="Z56" s="0" t="s">
        <v>349</v>
      </c>
      <c r="AA56" s="13" t="s">
        <v>27</v>
      </c>
      <c r="AD56" s="12" t="n">
        <f aca="false">IFERROR(LOOKUP(IF(AC56="",G56,AC56),{0,1,10,25,100,250,1000},{0,0.08,0.014,0.01,0.006,0.004,0.003}),"")</f>
        <v>0.014</v>
      </c>
      <c r="AE56" s="12" t="n">
        <f aca="false">IFERROR(IF(AC56="",G56,AC56)*AD56,"")</f>
        <v>0.14</v>
      </c>
      <c r="AF56" s="0" t="s">
        <v>350</v>
      </c>
      <c r="AG56" s="13" t="s">
        <v>27</v>
      </c>
    </row>
    <row r="57" customFormat="false" ht="15" hidden="false" customHeight="false" outlineLevel="0" collapsed="false">
      <c r="A57" s="0" t="s">
        <v>351</v>
      </c>
      <c r="B57" s="0" t="s">
        <v>352</v>
      </c>
      <c r="D57" s="0" t="s">
        <v>103</v>
      </c>
      <c r="F57" s="0" t="s">
        <v>353</v>
      </c>
      <c r="G57" s="0" t="n">
        <f aca="false">BoardQty*2</f>
        <v>10</v>
      </c>
      <c r="H5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57" s="12" t="n">
        <f aca="false">IFERROR(G57*H57,"")</f>
        <v>17.7</v>
      </c>
      <c r="J57" s="0" t="n">
        <v>5885</v>
      </c>
      <c r="L57" s="12" t="n">
        <f aca="false">IFERROR(LOOKUP(IF(K57="",G57,K57),{0,1,10,100,500,1000,2500,5000},{0,2.9,2.345,1.7905,1.36418,1.19365,1.15102,1.1239}),"")</f>
        <v>2.345</v>
      </c>
      <c r="M57" s="12" t="n">
        <f aca="false">IFERROR(IF(K57="",G57,K57)*L57,"")</f>
        <v>23.45</v>
      </c>
      <c r="N57" s="0" t="s">
        <v>354</v>
      </c>
      <c r="O57" s="13" t="s">
        <v>27</v>
      </c>
      <c r="V57" s="0" t="n">
        <v>11024</v>
      </c>
      <c r="X57" s="12" t="n">
        <f aca="false">IFERROR(LOOKUP(IF(W57="",G57,W57),{0,1,10,25,50,100,500,1000,5000},{0,2.31,1.77,1.62,1.46,1.36,1.31,1.26,1.24}),"")</f>
        <v>1.77</v>
      </c>
      <c r="Y57" s="12" t="n">
        <f aca="false">IFERROR(IF(W57="",G57,W57)*X57,"")</f>
        <v>17.7</v>
      </c>
      <c r="Z57" s="0" t="s">
        <v>355</v>
      </c>
      <c r="AA57" s="13" t="s">
        <v>27</v>
      </c>
    </row>
    <row r="58" customFormat="false" ht="15" hidden="false" customHeight="false" outlineLevel="0" collapsed="false">
      <c r="A58" s="0" t="s">
        <v>356</v>
      </c>
      <c r="B58" s="0" t="s">
        <v>357</v>
      </c>
      <c r="D58" s="0" t="s">
        <v>24</v>
      </c>
      <c r="F58" s="0" t="s">
        <v>358</v>
      </c>
      <c r="G58" s="0" t="n">
        <f aca="false">BoardQty*2</f>
        <v>10</v>
      </c>
      <c r="H5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0.0044646</v>
      </c>
      <c r="I58" s="12" t="n">
        <f aca="false">IFERROR(G58*H58,"")</f>
        <v>0.044646</v>
      </c>
      <c r="J58" s="0" t="n">
        <v>2995406</v>
      </c>
      <c r="L58" s="12" t="n">
        <f aca="false">IFERROR(LOOKUP(IF(K58="",G58,K58),{0,1,10,100,1000,2500,5000,10000,25000,50000,125000},{0,0.1,0.015,0.006,0.00268,0.00233,0.00192,0.00167,0.00147,0.00135,0.00132}),"")</f>
        <v>0.015</v>
      </c>
      <c r="M58" s="12" t="n">
        <f aca="false">IFERROR(IF(K58="",G58,K58)*L58,"")</f>
        <v>0.15</v>
      </c>
      <c r="N58" s="0" t="s">
        <v>359</v>
      </c>
      <c r="O58" s="13" t="s">
        <v>27</v>
      </c>
      <c r="R58" s="12" t="n">
        <f aca="false">IFERROR(LOOKUP(IF(Q58="",G58,Q58),{0,1,5000},{0,0.0044646,0.0044646}),"")</f>
        <v>0.0044646</v>
      </c>
      <c r="S58" s="12" t="n">
        <f aca="false">IFERROR(IF(Q58="",G58,Q58)*R58,"")</f>
        <v>0.044646</v>
      </c>
      <c r="T58" s="0" t="s">
        <v>360</v>
      </c>
      <c r="U58" s="13" t="s">
        <v>27</v>
      </c>
      <c r="V58" s="0" t="n">
        <v>733536</v>
      </c>
      <c r="X58" s="12" t="n">
        <f aca="false">IFERROR(LOOKUP(IF(W58="",G58,W58),{0,1,10,100,1000,5000},{0,0.1,0.011,0.004,0.002,0.001}),"")</f>
        <v>0.011</v>
      </c>
      <c r="Y58" s="12" t="n">
        <f aca="false">IFERROR(IF(W58="",G58,W58)*X58,"")</f>
        <v>0.11</v>
      </c>
      <c r="Z58" s="0" t="s">
        <v>361</v>
      </c>
      <c r="AA58" s="13" t="s">
        <v>27</v>
      </c>
      <c r="AD58" s="12" t="n">
        <f aca="false">IFERROR(LOOKUP(IF(AC58="",G58,AC58),{0,1,10,25,100,250,1000},{0,0.08,0.014,0.01,0.006,0.004,0.003}),"")</f>
        <v>0.014</v>
      </c>
      <c r="AE58" s="12" t="n">
        <f aca="false">IFERROR(IF(AC58="",G58,AC58)*AD58,"")</f>
        <v>0.14</v>
      </c>
      <c r="AF58" s="0" t="s">
        <v>362</v>
      </c>
      <c r="AG58" s="13" t="s">
        <v>27</v>
      </c>
    </row>
    <row r="59" customFormat="false" ht="15" hidden="false" customHeight="false" outlineLevel="0" collapsed="false">
      <c r="A59" s="0" t="s">
        <v>363</v>
      </c>
      <c r="B59" s="0" t="s">
        <v>364</v>
      </c>
      <c r="D59" s="0" t="s">
        <v>365</v>
      </c>
      <c r="G59" s="0" t="n">
        <f aca="false">BoardQty*4</f>
        <v>20</v>
      </c>
      <c r="H5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9" s="12" t="n">
        <f aca="false">IFERROR(G59*H59,"")</f>
        <v>0</v>
      </c>
    </row>
    <row r="60" customFormat="false" ht="15" hidden="false" customHeight="false" outlineLevel="0" collapsed="false">
      <c r="A60" s="0" t="s">
        <v>366</v>
      </c>
      <c r="B60" s="0" t="s">
        <v>367</v>
      </c>
      <c r="D60" s="0" t="s">
        <v>114</v>
      </c>
      <c r="F60" s="0" t="s">
        <v>115</v>
      </c>
      <c r="G60" s="0" t="n">
        <f aca="false">BoardQty*4</f>
        <v>20</v>
      </c>
      <c r="H6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0.03189</v>
      </c>
      <c r="I60" s="12" t="n">
        <f aca="false">IFERROR(G60*H60,"")</f>
        <v>0.6378</v>
      </c>
      <c r="J60" s="0" t="n">
        <v>595822</v>
      </c>
      <c r="L60" s="12" t="n">
        <f aca="false">IFERROR(LOOKUP(IF(K60="",G60,K60),{0,1,10,25,50,100,250,500,1000,4000,8000,12000,28000,100000},{0,0.1,0.079,0.072,0.0648,0.0476,0.0346,0.0317,0.02738,0.02096,0.019,0.01834,0.01703,0.01683}),"")</f>
        <v>0.079</v>
      </c>
      <c r="M60" s="12" t="n">
        <f aca="false">IFERROR(IF(K60="",G60,K60)*L60,"")</f>
        <v>1.58</v>
      </c>
      <c r="N60" s="0" t="s">
        <v>116</v>
      </c>
      <c r="O60" s="13" t="s">
        <v>27</v>
      </c>
      <c r="R60" s="12" t="n">
        <f aca="false">IFERROR(LOOKUP(IF(Q60="",G60,Q60),{0,1,100,500,1000,2000,4000,20000,40000},{0,0.03189,0.03189,0.0230671,0.0209411,0.0172206,0.0152009,0.0120119,0.0117993}),"")</f>
        <v>0.03189</v>
      </c>
      <c r="S60" s="12" t="n">
        <f aca="false">IFERROR(IF(Q60="",G60,Q60)*R60,"")</f>
        <v>0.6378</v>
      </c>
      <c r="T60" s="0" t="s">
        <v>117</v>
      </c>
      <c r="U60" s="13" t="s">
        <v>27</v>
      </c>
      <c r="V60" s="0" t="n">
        <v>111537</v>
      </c>
      <c r="X60" s="12" t="n">
        <f aca="false">IFERROR(LOOKUP(IF(W60="",G60,W60),{0,1,10,100,500,1000,4000,8000,24000},{0,0.1,0.064,0.034,0.031,0.027,0.02,0.018,0.017}),"")</f>
        <v>0.064</v>
      </c>
      <c r="Y60" s="12" t="n">
        <f aca="false">IFERROR(IF(W60="",G60,W60)*X60,"")</f>
        <v>1.28</v>
      </c>
      <c r="Z60" s="0" t="s">
        <v>118</v>
      </c>
      <c r="AA60" s="13" t="s">
        <v>27</v>
      </c>
      <c r="AD60" s="12" t="n">
        <f aca="false">IFERROR(LOOKUP(IF(AC60="",G60,AC60),{0,1,10,25,50,100,250,500,1000},{0,0.1,0.064,0.054,0.044,0.034,0.033,0.031,0.027}),"")</f>
        <v>0.064</v>
      </c>
      <c r="AE60" s="12" t="n">
        <f aca="false">IFERROR(IF(AC60="",G60,AC60)*AD60,"")</f>
        <v>1.28</v>
      </c>
      <c r="AF60" s="0" t="s">
        <v>119</v>
      </c>
      <c r="AG60" s="13" t="s">
        <v>27</v>
      </c>
      <c r="AH60" s="0" t="n">
        <v>720</v>
      </c>
      <c r="AJ60" s="12" t="n">
        <f aca="false">IFERROR(LOOKUP(IF(AI60="",G60,AI60),{0,1,20,100},{0,0.076536,0.076536,0.039331}),"")</f>
        <v>0.076536</v>
      </c>
      <c r="AK60" s="12" t="n">
        <f aca="false">IFERROR(IF(AI60="",G60,AI60)*AJ60,"")</f>
        <v>1.53072</v>
      </c>
      <c r="AL60" s="0" t="s">
        <v>120</v>
      </c>
      <c r="AM60" s="13" t="s">
        <v>27</v>
      </c>
    </row>
    <row r="61" customFormat="false" ht="15" hidden="false" customHeight="false" outlineLevel="0" collapsed="false">
      <c r="A61" s="0" t="s">
        <v>368</v>
      </c>
      <c r="B61" s="0" t="s">
        <v>369</v>
      </c>
      <c r="D61" s="0" t="s">
        <v>370</v>
      </c>
      <c r="F61" s="0" t="s">
        <v>371</v>
      </c>
      <c r="G61" s="0" t="n">
        <f aca="false">BoardQty*1</f>
        <v>5</v>
      </c>
      <c r="H6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0.482602</v>
      </c>
      <c r="I61" s="12" t="n">
        <f aca="false">IFERROR(G61*H61,"")</f>
        <v>2.41301</v>
      </c>
      <c r="J61" s="0" t="n">
        <v>2309</v>
      </c>
      <c r="L61" s="12" t="n">
        <f aca="false">IFERROR(LOOKUP(IF(K61="",G61,K61),{0,1,10,100,500,1000,2000},{0,0.55,0.539,0.4422,0.42992,0.4184,0.34115}),"")</f>
        <v>0.55</v>
      </c>
      <c r="M61" s="12" t="n">
        <f aca="false">IFERROR(IF(K61="",G61,K61)*L61,"")</f>
        <v>2.75</v>
      </c>
      <c r="N61" s="0" t="s">
        <v>372</v>
      </c>
      <c r="O61" s="13" t="s">
        <v>27</v>
      </c>
      <c r="R61" s="12" t="n">
        <f aca="false">IFERROR(LOOKUP(IF(Q61="",G61,Q61),{0,1,10,25,50,100,500},{0,0.662249,0.553823,0.45709,0.397562,0.36142,0.325278}),"")</f>
        <v>0.662249</v>
      </c>
      <c r="S61" s="12" t="n">
        <f aca="false">IFERROR(IF(Q61="",G61,Q61)*R61,"")</f>
        <v>3.311245</v>
      </c>
      <c r="T61" s="0" t="s">
        <v>373</v>
      </c>
      <c r="U61" s="13" t="s">
        <v>27</v>
      </c>
      <c r="V61" s="0" t="n">
        <v>2959</v>
      </c>
      <c r="X61" s="12" t="n">
        <f aca="false">IFERROR(LOOKUP(IF(W61="",G61,W61),{0,1,10,100,1000,2000,10000,24000},{0,0.713,0.591,0.381,0.304,0.257,0.248,0.247}),"")</f>
        <v>0.713</v>
      </c>
      <c r="Y61" s="12" t="n">
        <f aca="false">IFERROR(IF(W61="",G61,W61)*X61,"")</f>
        <v>3.565</v>
      </c>
      <c r="Z61" s="0" t="s">
        <v>374</v>
      </c>
      <c r="AA61" s="13" t="s">
        <v>27</v>
      </c>
      <c r="AD61" s="12" t="n">
        <f aca="false">IFERROR(LOOKUP(IF(AC61="",G61,AC61),{0,1,10,25,50,100,250,500,1000},{0,0.858,0.701,0.619,0.551,0.472,0.415,0.328,0.316}),"")</f>
        <v>0.858</v>
      </c>
      <c r="AE61" s="12" t="n">
        <f aca="false">IFERROR(IF(AC61="",G61,AC61)*AD61,"")</f>
        <v>4.29</v>
      </c>
      <c r="AF61" s="0" t="s">
        <v>375</v>
      </c>
      <c r="AG61" s="13" t="s">
        <v>27</v>
      </c>
      <c r="AH61" s="0" t="n">
        <v>2000</v>
      </c>
      <c r="AJ61" s="12" t="n">
        <f aca="false">IFERROR(LOOKUP(IF(AI61="",G61,AI61),{0,1,20,200},{0,0.482602,0.482602,0.312522}),"")</f>
        <v>0.482602</v>
      </c>
      <c r="AK61" s="12" t="n">
        <f aca="false">IFERROR(IF(AI61="",G61,AI61)*AJ61,"")</f>
        <v>2.41301</v>
      </c>
      <c r="AL61" s="0" t="s">
        <v>376</v>
      </c>
      <c r="AM61" s="13" t="s">
        <v>27</v>
      </c>
    </row>
    <row r="62" customFormat="false" ht="15" hidden="false" customHeight="false" outlineLevel="0" collapsed="false">
      <c r="A62" s="0" t="s">
        <v>377</v>
      </c>
      <c r="B62" s="0" t="s">
        <v>23</v>
      </c>
      <c r="D62" s="0" t="s">
        <v>24</v>
      </c>
      <c r="F62" s="0" t="s">
        <v>25</v>
      </c>
      <c r="G62" s="0" t="n">
        <f aca="false">BoardQty*8</f>
        <v>40</v>
      </c>
      <c r="H6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0.0145631</v>
      </c>
      <c r="I62" s="12" t="n">
        <f aca="false">IFERROR(G62*H62,"")</f>
        <v>0.582524</v>
      </c>
      <c r="J62" s="0" t="n">
        <v>8491390</v>
      </c>
      <c r="L62" s="12" t="n">
        <f aca="false">IFERROR(LOOKUP(IF(K62="",G62,K62),{0,1,10,25,50,100,250,500,1000,5000,10000,25000,50000,125000},{0,0.1,0.024,0.0172,0.0132,0.0097,0.0074,0.0059,0.00435,0.00283,0.00246,0.00216,0.00198,0.00194}),"")</f>
        <v>0.0172</v>
      </c>
      <c r="M62" s="12" t="n">
        <f aca="false">IFERROR(IF(K62="",G62,K62)*L62,"")</f>
        <v>0.688</v>
      </c>
      <c r="N62" s="0" t="s">
        <v>26</v>
      </c>
      <c r="O62" s="13" t="s">
        <v>27</v>
      </c>
      <c r="R62" s="12" t="n">
        <f aca="false">IFERROR(LOOKUP(IF(Q62="",G62,Q62),{0,1,100,500,1000,2500},{0,0.0145631,0.0145631,0.0102048,0.008504,0.006378}),"")</f>
        <v>0.0145631</v>
      </c>
      <c r="S62" s="12" t="n">
        <f aca="false">IFERROR(IF(Q62="",G62,Q62)*R62,"")</f>
        <v>0.582524</v>
      </c>
      <c r="T62" s="0" t="s">
        <v>28</v>
      </c>
      <c r="U62" s="13" t="s">
        <v>27</v>
      </c>
      <c r="V62" s="0" t="n">
        <v>1140411</v>
      </c>
      <c r="X62" s="12" t="n">
        <f aca="false">IFERROR(LOOKUP(IF(W62="",G62,W62),{0,1,10,100,1000,5000},{0,0.1,0.018,0.006,0.004,0.004}),"")</f>
        <v>0.018</v>
      </c>
      <c r="Y62" s="12" t="n">
        <f aca="false">IFERROR(IF(W62="",G62,W62)*X62,"")</f>
        <v>0.72</v>
      </c>
      <c r="Z62" s="0" t="s">
        <v>29</v>
      </c>
      <c r="AA62" s="13" t="s">
        <v>27</v>
      </c>
      <c r="AD62" s="12" t="n">
        <f aca="false">IFERROR(LOOKUP(IF(AC62="",G62,AC62),{0,1,10,25,100,250,500,1000},{0,0.094,0.023,0.016,0.009,0.007,0.006,0.004}),"")</f>
        <v>0.016</v>
      </c>
      <c r="AE62" s="12" t="n">
        <f aca="false">IFERROR(IF(AC62="",G62,AC62)*AD62,"")</f>
        <v>0.64</v>
      </c>
      <c r="AF62" s="0" t="s">
        <v>30</v>
      </c>
      <c r="AG62" s="13" t="s">
        <v>27</v>
      </c>
    </row>
    <row r="63" customFormat="false" ht="15" hidden="false" customHeight="false" outlineLevel="0" collapsed="false">
      <c r="A63" s="0" t="s">
        <v>378</v>
      </c>
      <c r="B63" s="0" t="s">
        <v>357</v>
      </c>
      <c r="D63" s="0" t="s">
        <v>24</v>
      </c>
      <c r="F63" s="0" t="s">
        <v>358</v>
      </c>
      <c r="G63" s="0" t="n">
        <f aca="false">BoardQty*1</f>
        <v>5</v>
      </c>
      <c r="H6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0.0044646</v>
      </c>
      <c r="I63" s="12" t="n">
        <f aca="false">IFERROR(G63*H63,"")</f>
        <v>0.022323</v>
      </c>
      <c r="J63" s="0" t="n">
        <v>2995406</v>
      </c>
      <c r="L63" s="12" t="n">
        <f aca="false">IFERROR(LOOKUP(IF(K63="",G63,K63),{0,1,10,100,1000,2500,5000,10000,25000,50000,125000},{0,0.1,0.015,0.006,0.00268,0.00233,0.00192,0.00167,0.00147,0.00135,0.00132}),"")</f>
        <v>0.1</v>
      </c>
      <c r="M63" s="12" t="n">
        <f aca="false">IFERROR(IF(K63="",G63,K63)*L63,"")</f>
        <v>0.5</v>
      </c>
      <c r="N63" s="0" t="s">
        <v>359</v>
      </c>
      <c r="O63" s="13" t="s">
        <v>27</v>
      </c>
      <c r="R63" s="12" t="n">
        <f aca="false">IFERROR(LOOKUP(IF(Q63="",G63,Q63),{0,1,5000},{0,0.0044646,0.0044646}),"")</f>
        <v>0.0044646</v>
      </c>
      <c r="S63" s="12" t="n">
        <f aca="false">IFERROR(IF(Q63="",G63,Q63)*R63,"")</f>
        <v>0.022323</v>
      </c>
      <c r="T63" s="0" t="s">
        <v>360</v>
      </c>
      <c r="U63" s="13" t="s">
        <v>27</v>
      </c>
      <c r="V63" s="0" t="n">
        <v>733536</v>
      </c>
      <c r="X63" s="12" t="n">
        <f aca="false">IFERROR(LOOKUP(IF(W63="",G63,W63),{0,1,10,100,1000,5000},{0,0.1,0.011,0.004,0.002,0.001}),"")</f>
        <v>0.1</v>
      </c>
      <c r="Y63" s="12" t="n">
        <f aca="false">IFERROR(IF(W63="",G63,W63)*X63,"")</f>
        <v>0.5</v>
      </c>
      <c r="Z63" s="0" t="s">
        <v>361</v>
      </c>
      <c r="AA63" s="13" t="s">
        <v>27</v>
      </c>
      <c r="AD63" s="12" t="n">
        <f aca="false">IFERROR(LOOKUP(IF(AC63="",G63,AC63),{0,1,10,25,100,250,1000},{0,0.08,0.014,0.01,0.006,0.004,0.003}),"")</f>
        <v>0.08</v>
      </c>
      <c r="AE63" s="12" t="n">
        <f aca="false">IFERROR(IF(AC63="",G63,AC63)*AD63,"")</f>
        <v>0.4</v>
      </c>
      <c r="AF63" s="0" t="s">
        <v>362</v>
      </c>
      <c r="AG63" s="13" t="s">
        <v>27</v>
      </c>
    </row>
    <row r="64" customFormat="false" ht="15" hidden="false" customHeight="false" outlineLevel="0" collapsed="false">
      <c r="A64" s="0" t="s">
        <v>379</v>
      </c>
      <c r="B64" s="0" t="s">
        <v>380</v>
      </c>
      <c r="D64" s="0" t="s">
        <v>24</v>
      </c>
      <c r="F64" s="0" t="s">
        <v>381</v>
      </c>
      <c r="G64" s="0" t="n">
        <f aca="false">BoardQty*4</f>
        <v>20</v>
      </c>
      <c r="H6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0.0082914</v>
      </c>
      <c r="I64" s="12" t="n">
        <f aca="false">IFERROR(G64*H64,"")</f>
        <v>0.165828</v>
      </c>
      <c r="J64" s="0" t="n">
        <v>4968232</v>
      </c>
      <c r="L64" s="12" t="n">
        <f aca="false">IFERROR(LOOKUP(IF(K64="",G64,K64),{0,1,10,100,1000,2500,5000,10000,25000,50000,125000},{0,0.1,0.015,0.006,0.00268,0.00233,0.00192,0.00167,0.00147,0.00135,0.00132}),"")</f>
        <v>0.015</v>
      </c>
      <c r="M64" s="12" t="n">
        <f aca="false">IFERROR(IF(K64="",G64,K64)*L64,"")</f>
        <v>0.3</v>
      </c>
      <c r="N64" s="0" t="s">
        <v>382</v>
      </c>
      <c r="O64" s="13" t="s">
        <v>27</v>
      </c>
      <c r="R64" s="12" t="n">
        <f aca="false">IFERROR(LOOKUP(IF(Q64="",G64,Q64),{0,1,100,500,1000,2500},{0,0.0082914,0.0082914,0.0062717,0.0049961,0.0041457}),"")</f>
        <v>0.0082914</v>
      </c>
      <c r="S64" s="12" t="n">
        <f aca="false">IFERROR(IF(Q64="",G64,Q64)*R64,"")</f>
        <v>0.165828</v>
      </c>
      <c r="T64" s="0" t="s">
        <v>383</v>
      </c>
      <c r="U64" s="13" t="s">
        <v>27</v>
      </c>
      <c r="V64" s="0" t="n">
        <v>652674</v>
      </c>
      <c r="X64" s="12" t="n">
        <f aca="false">IFERROR(LOOKUP(IF(W64="",G64,W64),{0,1,10,100,1000,5000},{0,0.1,0.011,0.004,0.002,0.002}),"")</f>
        <v>0.011</v>
      </c>
      <c r="Y64" s="12" t="n">
        <f aca="false">IFERROR(IF(W64="",G64,W64)*X64,"")</f>
        <v>0.22</v>
      </c>
      <c r="Z64" s="0" t="s">
        <v>384</v>
      </c>
      <c r="AA64" s="13" t="s">
        <v>27</v>
      </c>
      <c r="AD64" s="12" t="n">
        <f aca="false">IFERROR(LOOKUP(IF(AC64="",G64,AC64),{0,1,10,25,100,250,1000},{0,0.08,0.014,0.01,0.006,0.004,0.003}),"")</f>
        <v>0.014</v>
      </c>
      <c r="AE64" s="12" t="n">
        <f aca="false">IFERROR(IF(AC64="",G64,AC64)*AD64,"")</f>
        <v>0.28</v>
      </c>
      <c r="AF64" s="0" t="s">
        <v>385</v>
      </c>
      <c r="AG64" s="13" t="s">
        <v>27</v>
      </c>
    </row>
    <row r="65" customFormat="false" ht="15" hidden="false" customHeight="false" outlineLevel="0" collapsed="false">
      <c r="A65" s="0" t="s">
        <v>386</v>
      </c>
      <c r="B65" s="0" t="s">
        <v>387</v>
      </c>
      <c r="D65" s="0" t="s">
        <v>388</v>
      </c>
      <c r="F65" s="0" t="s">
        <v>389</v>
      </c>
      <c r="G65" s="0" t="n">
        <f aca="false">BoardQty*2</f>
        <v>10</v>
      </c>
      <c r="H6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1.41</v>
      </c>
      <c r="I65" s="12" t="n">
        <f aca="false">IFERROR(G65*H65,"")</f>
        <v>14.1</v>
      </c>
      <c r="J65" s="0" t="n">
        <v>3122</v>
      </c>
      <c r="L65" s="12" t="n">
        <f aca="false">IFERROR(LOOKUP(IF(K65="",G65,K65),{0,1,10,100,500,1000,2500,5000},{0,3,2.697,2.2094,1.88078,1.5862,1.463,1.408}),"")</f>
        <v>2.697</v>
      </c>
      <c r="M65" s="12" t="n">
        <f aca="false">IFERROR(IF(K65="",G65,K65)*L65,"")</f>
        <v>26.97</v>
      </c>
      <c r="N65" s="0" t="s">
        <v>390</v>
      </c>
      <c r="O65" s="13" t="s">
        <v>27</v>
      </c>
      <c r="R65" s="12" t="n">
        <f aca="false">IFERROR(LOOKUP(IF(Q65="",G65,Q65),{0,1,10,100,250,500,1000},{0,3.52916,2.67876,2.32797,2.17915,1.95592,1.58387}),"")</f>
        <v>2.67876</v>
      </c>
      <c r="S65" s="12" t="n">
        <f aca="false">IFERROR(IF(Q65="",G65,Q65)*R65,"")</f>
        <v>26.7876</v>
      </c>
      <c r="T65" s="0" t="s">
        <v>391</v>
      </c>
      <c r="U65" s="13" t="s">
        <v>27</v>
      </c>
      <c r="V65" s="0" t="n">
        <v>1330</v>
      </c>
      <c r="X65" s="12" t="n">
        <f aca="false">IFERROR(LOOKUP(IF(W65="",G65,W65),{0,1,10,100,250,500,1000,2500,5000},{0,2.93,2.63,2.16,2.03,1.84,1.55,1.48,1.44}),"")</f>
        <v>2.63</v>
      </c>
      <c r="Y65" s="12" t="n">
        <f aca="false">IFERROR(IF(W65="",G65,W65)*X65,"")</f>
        <v>26.3</v>
      </c>
      <c r="Z65" s="0" t="s">
        <v>392</v>
      </c>
      <c r="AA65" s="13" t="s">
        <v>27</v>
      </c>
      <c r="AD65" s="12" t="n">
        <f aca="false">IFERROR(LOOKUP(IF(AC65="",G65,AC65),{0,1,2500},{0,1.41,1.41}),"")</f>
        <v>1.41</v>
      </c>
      <c r="AE65" s="12" t="n">
        <f aca="false">IFERROR(IF(AC65="",G65,AC65)*AD65,"")</f>
        <v>14.1</v>
      </c>
      <c r="AF65" s="0" t="s">
        <v>393</v>
      </c>
      <c r="AG65" s="13" t="s">
        <v>27</v>
      </c>
    </row>
    <row r="66" customFormat="false" ht="15" hidden="false" customHeight="false" outlineLevel="0" collapsed="false">
      <c r="A66" s="0" t="s">
        <v>394</v>
      </c>
      <c r="B66" s="0" t="s">
        <v>64</v>
      </c>
      <c r="D66" s="0" t="s">
        <v>122</v>
      </c>
      <c r="F66" s="0" t="s">
        <v>123</v>
      </c>
      <c r="G66" s="0" t="n">
        <f aca="false">BoardQty*1</f>
        <v>5</v>
      </c>
      <c r="H6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66" s="12" t="n">
        <f aca="false">IFERROR(G66*H66,"")</f>
        <v>0.6</v>
      </c>
      <c r="L66" s="12" t="n">
        <f aca="false">IFERROR(LOOKUP(IF(K66="",G66,K66),{0,1,10,100,500,1000,2000,4000,10000,14000,50000,100000},{0,0.46,0.322,0.2119,0.15698,0.13343,0.12285,0.11603,0.1092,0.10579,0.09555,0.08873}),"")</f>
        <v>0.46</v>
      </c>
      <c r="M66" s="12" t="n">
        <f aca="false">IFERROR(IF(K66="",G66,K66)*L66,"")</f>
        <v>2.3</v>
      </c>
      <c r="N66" s="0" t="s">
        <v>124</v>
      </c>
      <c r="O66" s="13" t="s">
        <v>27</v>
      </c>
      <c r="V66" s="0" t="n">
        <v>1756</v>
      </c>
      <c r="X66" s="12" t="n">
        <f aca="false">IFERROR(LOOKUP(IF(W66="",G66,W66),{0,1,25,50,100,500,1000,2000,4000},{0,0.12,0.107,0.103,0.093,0.084,0.067,0.061,0.059}),"")</f>
        <v>0.12</v>
      </c>
      <c r="Y66" s="12" t="n">
        <f aca="false">IFERROR(IF(W66="",G66,W66)*X66,"")</f>
        <v>0.6</v>
      </c>
      <c r="Z66" s="0" t="s">
        <v>125</v>
      </c>
      <c r="AA66" s="13" t="s">
        <v>27</v>
      </c>
      <c r="AD66" s="12" t="n">
        <f aca="false">IFERROR(LOOKUP(IF(AC66="",G66,AC66),{0,1,10,25,50,100,250,500,1000},{0,0.42,0.254,0.225,0.196,0.167,0.156,0.145,0.123}),"")</f>
        <v>0.42</v>
      </c>
      <c r="AE66" s="12" t="n">
        <f aca="false">IFERROR(IF(AC66="",G66,AC66)*AD66,"")</f>
        <v>2.1</v>
      </c>
      <c r="AF66" s="0" t="s">
        <v>126</v>
      </c>
      <c r="AG66" s="13" t="s">
        <v>27</v>
      </c>
    </row>
    <row r="67" customFormat="false" ht="15" hidden="false" customHeight="false" outlineLevel="0" collapsed="false">
      <c r="A67" s="0" t="s">
        <v>395</v>
      </c>
      <c r="B67" s="0" t="s">
        <v>396</v>
      </c>
      <c r="D67" s="0" t="s">
        <v>24</v>
      </c>
      <c r="F67" s="0" t="s">
        <v>397</v>
      </c>
      <c r="G67" s="0" t="n">
        <f aca="false">BoardQty*1</f>
        <v>5</v>
      </c>
      <c r="H6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0.0069095</v>
      </c>
      <c r="I67" s="12" t="n">
        <f aca="false">IFERROR(G67*H67,"")</f>
        <v>0.0345475</v>
      </c>
      <c r="J67" s="0" t="n">
        <v>1166231</v>
      </c>
      <c r="L67" s="12" t="n">
        <f aca="false">IFERROR(LOOKUP(IF(K67="",G67,K67),{0,1,10,100,1000,2500,5000,10000,25000,50000,125000},{0,0.1,0.015,0.006,0.00268,0.00233,0.00192,0.00167,0.00147,0.00135,0.00132}),"")</f>
        <v>0.1</v>
      </c>
      <c r="M67" s="12" t="n">
        <f aca="false">IFERROR(IF(K67="",G67,K67)*L67,"")</f>
        <v>0.5</v>
      </c>
      <c r="N67" s="0" t="s">
        <v>398</v>
      </c>
      <c r="O67" s="13" t="s">
        <v>27</v>
      </c>
      <c r="R67" s="12" t="n">
        <f aca="false">IFERROR(LOOKUP(IF(Q67="",G67,Q67),{0,1,100,500,1000,2500},{0,0.0069095,0.0069095,0.0059528,0.0052087,0.0035079}),"")</f>
        <v>0.0069095</v>
      </c>
      <c r="S67" s="12" t="n">
        <f aca="false">IFERROR(IF(Q67="",G67,Q67)*R67,"")</f>
        <v>0.0345475</v>
      </c>
      <c r="T67" s="0" t="s">
        <v>399</v>
      </c>
      <c r="U67" s="13" t="s">
        <v>27</v>
      </c>
      <c r="V67" s="0" t="n">
        <v>133763</v>
      </c>
      <c r="X67" s="12" t="n">
        <f aca="false">IFERROR(LOOKUP(IF(W67="",G67,W67),{0,1,10,100,1000,5000},{0,0.1,0.011,0.004,0.002,0.001}),"")</f>
        <v>0.1</v>
      </c>
      <c r="Y67" s="12" t="n">
        <f aca="false">IFERROR(IF(W67="",G67,W67)*X67,"")</f>
        <v>0.5</v>
      </c>
      <c r="Z67" s="0" t="s">
        <v>400</v>
      </c>
      <c r="AA67" s="13" t="s">
        <v>27</v>
      </c>
      <c r="AD67" s="12" t="n">
        <f aca="false">IFERROR(LOOKUP(IF(AC67="",G67,AC67),{0,1,10,25,100,250,1000},{0,0.08,0.014,0.01,0.006,0.004,0.003}),"")</f>
        <v>0.08</v>
      </c>
      <c r="AE67" s="12" t="n">
        <f aca="false">IFERROR(IF(AC67="",G67,AC67)*AD67,"")</f>
        <v>0.4</v>
      </c>
      <c r="AF67" s="0" t="s">
        <v>401</v>
      </c>
      <c r="AG67" s="13" t="s">
        <v>27</v>
      </c>
    </row>
    <row r="68" customFormat="false" ht="15" hidden="false" customHeight="false" outlineLevel="0" collapsed="false">
      <c r="A68" s="0" t="s">
        <v>402</v>
      </c>
      <c r="B68" s="0" t="s">
        <v>403</v>
      </c>
      <c r="D68" s="0" t="s">
        <v>40</v>
      </c>
      <c r="F68" s="0" t="s">
        <v>404</v>
      </c>
      <c r="G68" s="0" t="n">
        <f aca="false">BoardQty*2</f>
        <v>10</v>
      </c>
      <c r="H6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</v>
      </c>
      <c r="I68" s="12" t="n">
        <f aca="false">IFERROR(G68*H68,"")</f>
        <v>1.4</v>
      </c>
      <c r="V68" s="0" t="n">
        <v>6370</v>
      </c>
      <c r="X68" s="12" t="n">
        <f aca="false">IFERROR(LOOKUP(IF(W68="",G68,W68),{0,1,50,100,500,1000,15000,30000,75000,150000},{0,0.14,0.12,0.08,0.057,0.031,0.021,0.02,0.017,0.015}),"")</f>
        <v>0.14</v>
      </c>
      <c r="Y68" s="12" t="n">
        <f aca="false">IFERROR(IF(W68="",G68,W68)*X68,"")</f>
        <v>1.4</v>
      </c>
      <c r="Z68" s="0" t="s">
        <v>405</v>
      </c>
      <c r="AA68" s="13" t="s">
        <v>27</v>
      </c>
    </row>
    <row r="69" customFormat="false" ht="15" hidden="false" customHeight="false" outlineLevel="0" collapsed="false">
      <c r="A69" s="0" t="s">
        <v>406</v>
      </c>
      <c r="B69" s="0" t="s">
        <v>407</v>
      </c>
      <c r="D69" s="0" t="s">
        <v>24</v>
      </c>
      <c r="F69" s="0" t="s">
        <v>408</v>
      </c>
      <c r="G69" s="0" t="n">
        <f aca="false">BoardQty*19</f>
        <v>95</v>
      </c>
      <c r="H6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0.026</v>
      </c>
      <c r="I69" s="12" t="n">
        <f aca="false">IFERROR(G69*H69,"")</f>
        <v>2.47</v>
      </c>
      <c r="J69" s="0" t="n">
        <v>51306</v>
      </c>
      <c r="L69" s="12" t="n">
        <f aca="false">IFERROR(LOOKUP(IF(K69="",G69,K69),{0,1,10,100,1000,2500,5000,10000,25000,50000},{0,0.12,0.112,0.043,0.0189,0.01632,0.0133,0.01193,0.01095,0.01031}),"")</f>
        <v>0.112</v>
      </c>
      <c r="M69" s="12" t="n">
        <f aca="false">IFERROR(IF(K69="",G69,K69)*L69,"")</f>
        <v>10.64</v>
      </c>
      <c r="N69" s="0" t="s">
        <v>409</v>
      </c>
      <c r="O69" s="13" t="s">
        <v>27</v>
      </c>
      <c r="V69" s="0" t="n">
        <v>21669</v>
      </c>
      <c r="X69" s="12" t="n">
        <f aca="false">IFERROR(LOOKUP(IF(W69="",G69,W69),{0,1,10,100,1000,5000,10000,50000},{0,0.111,0.071,0.024,0.015,0.012,0.011,0.009}),"")</f>
        <v>0.071</v>
      </c>
      <c r="Y69" s="12" t="n">
        <f aca="false">IFERROR(IF(W69="",G69,W69)*X69,"")</f>
        <v>6.745</v>
      </c>
      <c r="Z69" s="0" t="s">
        <v>410</v>
      </c>
      <c r="AA69" s="13" t="s">
        <v>27</v>
      </c>
      <c r="AD69" s="12" t="n">
        <f aca="false">IFERROR(LOOKUP(IF(AC69="",G69,AC69),{0,1,5000,10000,15000},{0,0.026,0.026,0.02,0.012}),"")</f>
        <v>0.026</v>
      </c>
      <c r="AE69" s="12" t="n">
        <f aca="false">IFERROR(IF(AC69="",G69,AC69)*AD69,"")</f>
        <v>2.47</v>
      </c>
      <c r="AF69" s="0" t="s">
        <v>411</v>
      </c>
      <c r="AG69" s="13" t="s">
        <v>27</v>
      </c>
    </row>
    <row r="70" customFormat="false" ht="15" hidden="false" customHeight="false" outlineLevel="0" collapsed="false">
      <c r="A70" s="0" t="s">
        <v>412</v>
      </c>
      <c r="B70" s="0" t="s">
        <v>413</v>
      </c>
      <c r="D70" s="0" t="s">
        <v>414</v>
      </c>
      <c r="F70" s="0" t="s">
        <v>415</v>
      </c>
      <c r="G70" s="0" t="n">
        <f aca="false">BoardQty*2</f>
        <v>10</v>
      </c>
      <c r="H7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0.077</v>
      </c>
      <c r="I70" s="12" t="n">
        <f aca="false">IFERROR(G70*H70,"")</f>
        <v>0.77</v>
      </c>
      <c r="V70" s="0" t="n">
        <v>30280</v>
      </c>
      <c r="X70" s="12" t="n">
        <f aca="false">IFERROR(LOOKUP(IF(W70="",G70,W70),{0,1,10,100,1000,5000},{0,0.14,0.077,0.044,0.031,0.02}),"")</f>
        <v>0.077</v>
      </c>
      <c r="Y70" s="12" t="n">
        <f aca="false">IFERROR(IF(W70="",G70,W70)*X70,"")</f>
        <v>0.77</v>
      </c>
      <c r="Z70" s="0" t="s">
        <v>416</v>
      </c>
      <c r="AA70" s="13" t="s">
        <v>27</v>
      </c>
    </row>
    <row r="71" customFormat="false" ht="15" hidden="false" customHeight="false" outlineLevel="0" collapsed="false">
      <c r="A71" s="0" t="s">
        <v>417</v>
      </c>
      <c r="B71" s="0" t="s">
        <v>418</v>
      </c>
      <c r="D71" s="0" t="s">
        <v>81</v>
      </c>
      <c r="F71" s="0" t="s">
        <v>419</v>
      </c>
      <c r="G71" s="0" t="n">
        <f aca="false">BoardQty*4</f>
        <v>20</v>
      </c>
      <c r="H7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0.136</v>
      </c>
      <c r="I71" s="12" t="n">
        <f aca="false">IFERROR(G71*H71,"")</f>
        <v>2.72</v>
      </c>
      <c r="R71" s="12" t="n">
        <f aca="false">IFERROR(LOOKUP(IF(Q71="",G71,Q71),{0,1,5,50,250,500,1500},{0,0.190277,0.190277,0.078662,0.0703706,0.0471972,0.0395436}),"")</f>
        <v>0.190277</v>
      </c>
      <c r="S71" s="12" t="n">
        <f aca="false">IFERROR(IF(Q71="",G71,Q71)*R71,"")</f>
        <v>3.80554</v>
      </c>
      <c r="T71" s="0" t="s">
        <v>420</v>
      </c>
      <c r="U71" s="13" t="s">
        <v>27</v>
      </c>
      <c r="V71" s="0" t="n">
        <v>24623</v>
      </c>
      <c r="X71" s="12" t="n">
        <f aca="false">IFERROR(LOOKUP(IF(W71="",G71,W71),{0,1,10,100,1000,3000,9000,24000,99000},{0,0.201,0.136,0.057,0.039,0.031,0.026,0.024,0.02}),"")</f>
        <v>0.136</v>
      </c>
      <c r="Y71" s="12" t="n">
        <f aca="false">IFERROR(IF(W71="",G71,W71)*X71,"")</f>
        <v>2.72</v>
      </c>
      <c r="Z71" s="0" t="s">
        <v>421</v>
      </c>
      <c r="AA71" s="13" t="s">
        <v>27</v>
      </c>
      <c r="AD71" s="12" t="n">
        <f aca="false">IFERROR(LOOKUP(IF(AC71="",G71,AC71),{0,1,25,50,100,250,500,1000},{0,0.25,0.168,0.119,0.07,0.063,0.055,0.048}),"")</f>
        <v>0.25</v>
      </c>
      <c r="AE71" s="12" t="n">
        <f aca="false">IFERROR(IF(AC71="",G71,AC71)*AD71,"")</f>
        <v>5</v>
      </c>
      <c r="AF71" s="0" t="s">
        <v>422</v>
      </c>
      <c r="AG71" s="13" t="s">
        <v>27</v>
      </c>
      <c r="AJ71" s="12" t="n">
        <f aca="false">IFERROR(LOOKUP(IF(AI71="",G71,AI71),{0,1,5,10},{0,0.206222,0.206222,0.13819}),"")</f>
        <v>0.13819</v>
      </c>
      <c r="AK71" s="12" t="n">
        <f aca="false">IFERROR(IF(AI71="",G71,AI71)*AJ71,"")</f>
        <v>2.7638</v>
      </c>
      <c r="AL71" s="0" t="s">
        <v>423</v>
      </c>
      <c r="AM71" s="13" t="s">
        <v>27</v>
      </c>
    </row>
    <row r="72" customFormat="false" ht="15" hidden="false" customHeight="false" outlineLevel="0" collapsed="false">
      <c r="A72" s="0" t="s">
        <v>424</v>
      </c>
      <c r="B72" s="0" t="s">
        <v>425</v>
      </c>
      <c r="D72" s="0" t="s">
        <v>40</v>
      </c>
      <c r="F72" s="0" t="s">
        <v>426</v>
      </c>
      <c r="G72" s="0" t="n">
        <f aca="false">BoardQty*2</f>
        <v>10</v>
      </c>
      <c r="H7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0.124</v>
      </c>
      <c r="I72" s="12" t="n">
        <f aca="false">IFERROR(G72*H72,"")</f>
        <v>1.24</v>
      </c>
      <c r="J72" s="0" t="n">
        <v>9042</v>
      </c>
      <c r="L72" s="12" t="n">
        <f aca="false">IFERROR(LOOKUP(IF(K72="",G72,K72),{0,1,10,100,500,1000,4000,8000,12000},{0,0.29,0.196,0.0995,0.06806,0.06021,0.04554,0.04326,0.04099}),"")</f>
        <v>0.196</v>
      </c>
      <c r="M72" s="12" t="n">
        <f aca="false">IFERROR(IF(K72="",G72,K72)*L72,"")</f>
        <v>1.96</v>
      </c>
      <c r="N72" s="0" t="s">
        <v>427</v>
      </c>
      <c r="O72" s="13" t="s">
        <v>27</v>
      </c>
      <c r="V72" s="0" t="n">
        <v>10565</v>
      </c>
      <c r="X72" s="12" t="n">
        <f aca="false">IFERROR(LOOKUP(IF(W72="",G72,W72),{0,1,10,100,500,1000,4000,8000,24000,48000},{0,0.241,0.124,0.071,0.063,0.053,0.039,0.037,0.035,0.031}),"")</f>
        <v>0.124</v>
      </c>
      <c r="Y72" s="12" t="n">
        <f aca="false">IFERROR(IF(W72="",G72,W72)*X72,"")</f>
        <v>1.24</v>
      </c>
      <c r="Z72" s="0" t="s">
        <v>428</v>
      </c>
      <c r="AA72" s="13" t="s">
        <v>27</v>
      </c>
    </row>
    <row r="73" customFormat="false" ht="15" hidden="false" customHeight="false" outlineLevel="0" collapsed="false">
      <c r="A73" s="0" t="s">
        <v>429</v>
      </c>
      <c r="B73" s="0" t="s">
        <v>430</v>
      </c>
      <c r="D73" s="0" t="s">
        <v>24</v>
      </c>
      <c r="F73" s="0" t="s">
        <v>431</v>
      </c>
      <c r="G73" s="0" t="n">
        <f aca="false">BoardQty*9</f>
        <v>45</v>
      </c>
      <c r="H7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0.0055276</v>
      </c>
      <c r="I73" s="12" t="n">
        <f aca="false">IFERROR(G73*H73,"")</f>
        <v>0.248742</v>
      </c>
      <c r="J73" s="0" t="n">
        <v>1293516</v>
      </c>
      <c r="L73" s="12" t="n">
        <f aca="false">IFERROR(LOOKUP(IF(K73="",G73,K73),{0,1,10,100,1000,2500,5000,10000,25000,50000,125000},{0,0.1,0.011,0.0046,0.00207,0.0018,0.00149,0.00129,0.00113,0.00104,0.00102}),"")</f>
        <v>0.011</v>
      </c>
      <c r="M73" s="12" t="n">
        <f aca="false">IFERROR(IF(K73="",G73,K73)*L73,"")</f>
        <v>0.495</v>
      </c>
      <c r="N73" s="0" t="s">
        <v>432</v>
      </c>
      <c r="O73" s="13" t="s">
        <v>27</v>
      </c>
      <c r="R73" s="12" t="n">
        <f aca="false">IFERROR(LOOKUP(IF(Q73="",G73,Q73),{0,1,100,500,1000,2500},{0,0.0055276,0.0055276,0.0047835,0.0041457,0.0032953}),"")</f>
        <v>0.0055276</v>
      </c>
      <c r="S73" s="12" t="n">
        <f aca="false">IFERROR(IF(Q73="",G73,Q73)*R73,"")</f>
        <v>0.248742</v>
      </c>
      <c r="T73" s="0" t="s">
        <v>433</v>
      </c>
      <c r="U73" s="13" t="s">
        <v>27</v>
      </c>
      <c r="V73" s="0" t="n">
        <v>243904</v>
      </c>
      <c r="X73" s="12" t="n">
        <f aca="false">IFERROR(LOOKUP(IF(W73="",G73,W73),{0,1,10,100,1000,5000},{0,0.1,0.008,0.002,0.001,0.001}),"")</f>
        <v>0.008</v>
      </c>
      <c r="Y73" s="12" t="n">
        <f aca="false">IFERROR(IF(W73="",G73,W73)*X73,"")</f>
        <v>0.36</v>
      </c>
      <c r="Z73" s="0" t="s">
        <v>434</v>
      </c>
      <c r="AA73" s="13" t="s">
        <v>27</v>
      </c>
      <c r="AD73" s="12" t="n">
        <f aca="false">IFERROR(LOOKUP(IF(AC73="",G73,AC73),{0,1,10,25,100,250,1000},{0,0.06,0.01,0.007,0.004,0.003,0.002}),"")</f>
        <v>0.007</v>
      </c>
      <c r="AE73" s="12" t="n">
        <f aca="false">IFERROR(IF(AC73="",G73,AC73)*AD73,"")</f>
        <v>0.315</v>
      </c>
      <c r="AF73" s="0" t="s">
        <v>435</v>
      </c>
      <c r="AG73" s="13" t="s">
        <v>27</v>
      </c>
    </row>
    <row r="74" customFormat="false" ht="15" hidden="false" customHeight="false" outlineLevel="0" collapsed="false">
      <c r="A74" s="0" t="s">
        <v>436</v>
      </c>
      <c r="B74" s="0" t="s">
        <v>437</v>
      </c>
      <c r="D74" s="0" t="s">
        <v>438</v>
      </c>
      <c r="F74" s="0" t="s">
        <v>439</v>
      </c>
      <c r="G74" s="0" t="n">
        <f aca="false">BoardQty*1</f>
        <v>5</v>
      </c>
      <c r="H7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2.14</v>
      </c>
      <c r="I74" s="12" t="n">
        <f aca="false">IFERROR(G74*H74,"")</f>
        <v>10.7</v>
      </c>
      <c r="J74" s="0" t="n">
        <v>359</v>
      </c>
      <c r="L74" s="12" t="n">
        <f aca="false">IFERROR(LOOKUP(IF(K74="",G74,K74),{0,1,10,100,500,1000,5000},{0,2.67,2.423,2.0769,1.73076,1.4835,1.31537}),"")</f>
        <v>2.67</v>
      </c>
      <c r="M74" s="12" t="n">
        <f aca="false">IFERROR(IF(K74="",G74,K74)*L74,"")</f>
        <v>13.35</v>
      </c>
      <c r="N74" s="0" t="s">
        <v>440</v>
      </c>
      <c r="O74" s="13" t="s">
        <v>27</v>
      </c>
      <c r="R74" s="12" t="n">
        <f aca="false">IFERROR(LOOKUP(IF(Q74="",G74,Q74),{0,1,5,20,60,200,600,2000},{0,2.67876,2.17915,2.126,2.07285,1.73269,1.4882,1.31812}),"")</f>
        <v>2.17915</v>
      </c>
      <c r="S74" s="12" t="n">
        <f aca="false">IFERROR(IF(Q74="",G74,Q74)*R74,"")</f>
        <v>10.89575</v>
      </c>
      <c r="T74" s="0" t="s">
        <v>441</v>
      </c>
      <c r="U74" s="13" t="s">
        <v>27</v>
      </c>
      <c r="V74" s="0" t="n">
        <v>21</v>
      </c>
      <c r="X74" s="12" t="n">
        <f aca="false">IFERROR(LOOKUP(IF(W74="",G74,W74),{0,1,10,100,250,500,1000,2500,5000,10000},{0,2.68,2.17,2.08,1.88,1.73,1.49,1.38,1.31,1.29}),"")</f>
        <v>2.68</v>
      </c>
      <c r="Y74" s="12" t="n">
        <f aca="false">IFERROR(IF(W74="",G74,W74)*X74,"")</f>
        <v>13.4</v>
      </c>
      <c r="Z74" s="0" t="s">
        <v>442</v>
      </c>
      <c r="AA74" s="13" t="s">
        <v>27</v>
      </c>
      <c r="AD74" s="12" t="n">
        <f aca="false">IFERROR(LOOKUP(IF(AC74="",G74,AC74),{0,1,10,50,100,250,500,1000,2500},{0,2.14,1.95,1.79,1.67,1.59,1.43,1.31,1.19}),"")</f>
        <v>2.14</v>
      </c>
      <c r="AE74" s="12" t="n">
        <f aca="false">IFERROR(IF(AC74="",G74,AC74)*AD74,"")</f>
        <v>10.7</v>
      </c>
      <c r="AF74" s="0" t="s">
        <v>443</v>
      </c>
      <c r="AG74" s="13" t="s">
        <v>27</v>
      </c>
      <c r="AJ74" s="12" t="n">
        <f aca="false">IFERROR(LOOKUP(IF(AI74="",G74,AI74),{0,1,5,75},{0,3.133724,3.133724,2.995534}),"")</f>
        <v>3.133724</v>
      </c>
      <c r="AK74" s="12" t="n">
        <f aca="false">IFERROR(IF(AI74="",G74,AI74)*AJ74,"")</f>
        <v>15.66862</v>
      </c>
      <c r="AL74" s="0" t="s">
        <v>444</v>
      </c>
      <c r="AM74" s="13" t="s">
        <v>27</v>
      </c>
    </row>
    <row r="75" customFormat="false" ht="15" hidden="false" customHeight="false" outlineLevel="0" collapsed="false">
      <c r="A75" s="0" t="s">
        <v>445</v>
      </c>
      <c r="B75" s="0" t="s">
        <v>446</v>
      </c>
      <c r="D75" s="0" t="s">
        <v>24</v>
      </c>
      <c r="F75" s="0" t="s">
        <v>447</v>
      </c>
      <c r="G75" s="0" t="n">
        <f aca="false">BoardQty*2</f>
        <v>10</v>
      </c>
      <c r="H7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0.0069095</v>
      </c>
      <c r="I75" s="12" t="n">
        <f aca="false">IFERROR(G75*H75,"")</f>
        <v>0.069095</v>
      </c>
      <c r="J75" s="0" t="n">
        <v>538594</v>
      </c>
      <c r="L75" s="12" t="n">
        <f aca="false">IFERROR(LOOKUP(IF(K75="",G75,K75),{0,1,10,100,1000,2500,5000,10000,25000,50000,125000},{0,0.1,0.015,0.006,0.00268,0.00233,0.00192,0.00167,0.00147,0.00135,0.00132}),"")</f>
        <v>0.015</v>
      </c>
      <c r="M75" s="12" t="n">
        <f aca="false">IFERROR(IF(K75="",G75,K75)*L75,"")</f>
        <v>0.15</v>
      </c>
      <c r="N75" s="0" t="s">
        <v>448</v>
      </c>
      <c r="O75" s="13" t="s">
        <v>27</v>
      </c>
      <c r="R75" s="12" t="n">
        <f aca="false">IFERROR(LOOKUP(IF(Q75="",G75,Q75),{0,1,100,500,1000,2500},{0,0.0069095,0.0069095,0.0059528,0.0052087,0.0035079}),"")</f>
        <v>0.0069095</v>
      </c>
      <c r="S75" s="12" t="n">
        <f aca="false">IFERROR(IF(Q75="",G75,Q75)*R75,"")</f>
        <v>0.069095</v>
      </c>
      <c r="T75" s="0" t="s">
        <v>449</v>
      </c>
      <c r="U75" s="13" t="s">
        <v>27</v>
      </c>
      <c r="V75" s="0" t="n">
        <v>146172</v>
      </c>
      <c r="X75" s="12" t="n">
        <f aca="false">IFERROR(LOOKUP(IF(W75="",G75,W75),{0,1,10,100,1000,5000},{0,0.1,0.011,0.004,0.002,0.001}),"")</f>
        <v>0.011</v>
      </c>
      <c r="Y75" s="12" t="n">
        <f aca="false">IFERROR(IF(W75="",G75,W75)*X75,"")</f>
        <v>0.11</v>
      </c>
      <c r="Z75" s="0" t="s">
        <v>450</v>
      </c>
      <c r="AA75" s="13" t="s">
        <v>27</v>
      </c>
      <c r="AD75" s="12" t="n">
        <f aca="false">IFERROR(LOOKUP(IF(AC75="",G75,AC75),{0,1,10,25,100,250,1000},{0,0.08,0.014,0.01,0.006,0.004,0.003}),"")</f>
        <v>0.014</v>
      </c>
      <c r="AE75" s="12" t="n">
        <f aca="false">IFERROR(IF(AC75="",G75,AC75)*AD75,"")</f>
        <v>0.14</v>
      </c>
      <c r="AF75" s="0" t="s">
        <v>451</v>
      </c>
      <c r="AG75" s="13" t="s">
        <v>27</v>
      </c>
    </row>
    <row r="76" customFormat="false" ht="15" hidden="false" customHeight="false" outlineLevel="0" collapsed="false">
      <c r="A76" s="0" t="s">
        <v>452</v>
      </c>
      <c r="B76" s="0" t="s">
        <v>453</v>
      </c>
      <c r="D76" s="0" t="s">
        <v>454</v>
      </c>
      <c r="F76" s="0" t="s">
        <v>453</v>
      </c>
      <c r="G76" s="0" t="n">
        <f aca="false">BoardQty*4</f>
        <v>20</v>
      </c>
      <c r="H7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0.128623</v>
      </c>
      <c r="I76" s="12" t="n">
        <f aca="false">IFERROR(G76*H76,"")</f>
        <v>2.57246</v>
      </c>
      <c r="J76" s="0" t="n">
        <v>4562</v>
      </c>
      <c r="L76" s="12" t="n">
        <f aca="false">IFERROR(LOOKUP(IF(K76="",G76,K76),{0,1,10,100,500,1000,1250,2200,2500,5000,12500},{0,0.43,0.371,0.2769,0.21754,0.1681,0.3888,0.17825,0.1488,0.1392,0.1296}),"")</f>
        <v>0.371</v>
      </c>
      <c r="M76" s="12" t="n">
        <f aca="false">IFERROR(IF(K76="",G76,K76)*L76,"")</f>
        <v>7.42</v>
      </c>
      <c r="N76" s="0" t="s">
        <v>455</v>
      </c>
      <c r="O76" s="13" t="s">
        <v>27</v>
      </c>
      <c r="R76" s="12" t="n">
        <f aca="false">IFERROR(LOOKUP(IF(Q76="",G76,Q76),{0,1,2500,12500,25000},{0,0.128623,0.128623,0.123308,0.121182}),"")</f>
        <v>0.128623</v>
      </c>
      <c r="S76" s="12" t="n">
        <f aca="false">IFERROR(IF(Q76="",G76,Q76)*R76,"")</f>
        <v>2.57246</v>
      </c>
      <c r="T76" s="0" t="s">
        <v>456</v>
      </c>
      <c r="U76" s="13" t="s">
        <v>27</v>
      </c>
      <c r="V76" s="0" t="n">
        <v>2657</v>
      </c>
      <c r="X76" s="12" t="n">
        <f aca="false">IFERROR(LOOKUP(IF(W76="",G76,W76),{0,1,10,100,1000,2500,10000,22500},{0,0.421,0.348,0.212,0.164,0.14,0.131,0.126}),"")</f>
        <v>0.348</v>
      </c>
      <c r="Y76" s="12" t="n">
        <f aca="false">IFERROR(IF(W76="",G76,W76)*X76,"")</f>
        <v>6.96</v>
      </c>
      <c r="Z76" s="0" t="s">
        <v>457</v>
      </c>
      <c r="AA76" s="13" t="s">
        <v>27</v>
      </c>
      <c r="AD76" s="12" t="n">
        <f aca="false">IFERROR(LOOKUP(IF(AC76="",G76,AC76),{0,1,10,100,1000},{0,0.416,0.347,0.212,0.164}),"")</f>
        <v>0.347</v>
      </c>
      <c r="AE76" s="12" t="n">
        <f aca="false">IFERROR(IF(AC76="",G76,AC76)*AD76,"")</f>
        <v>6.94</v>
      </c>
      <c r="AF76" s="0" t="s">
        <v>458</v>
      </c>
      <c r="AG76" s="13" t="s">
        <v>27</v>
      </c>
      <c r="AJ76" s="12" t="n">
        <f aca="false">IFERROR(LOOKUP(IF(AI76="",G76,AI76),{0,1,25,50,125,250,500},{0,0.319963,0.319963,0.288073,0.272128,0.256183,0.240238}),"")</f>
        <v>0.319963</v>
      </c>
      <c r="AK76" s="12" t="n">
        <f aca="false">IFERROR(IF(AI76="",G76,AI76)*AJ76,"")</f>
        <v>6.39926</v>
      </c>
      <c r="AL76" s="0" t="s">
        <v>459</v>
      </c>
      <c r="AM76" s="13" t="s">
        <v>27</v>
      </c>
    </row>
    <row r="77" customFormat="false" ht="15" hidden="false" customHeight="false" outlineLevel="0" collapsed="false">
      <c r="A77" s="0" t="s">
        <v>460</v>
      </c>
      <c r="B77" s="0" t="s">
        <v>461</v>
      </c>
      <c r="D77" s="0" t="s">
        <v>462</v>
      </c>
      <c r="F77" s="0" t="s">
        <v>461</v>
      </c>
      <c r="G77" s="0" t="n">
        <f aca="false">BoardQty*1</f>
        <v>5</v>
      </c>
      <c r="H7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1.22245</v>
      </c>
      <c r="I77" s="12" t="n">
        <f aca="false">IFERROR(G77*H77,"")</f>
        <v>6.11225</v>
      </c>
      <c r="J77" s="0" t="n">
        <v>4324</v>
      </c>
      <c r="L77" s="12" t="n">
        <f aca="false">IFERROR(LOOKUP(IF(K77="",G77,K77),{0,1,1000},{0,1.87,1.485}),"")</f>
        <v>1.87</v>
      </c>
      <c r="M77" s="12" t="n">
        <f aca="false">IFERROR(IF(K77="",G77,K77)*L77,"")</f>
        <v>9.35</v>
      </c>
      <c r="N77" s="0" t="s">
        <v>463</v>
      </c>
      <c r="O77" s="13" t="s">
        <v>27</v>
      </c>
      <c r="V77" s="0" t="n">
        <v>416</v>
      </c>
      <c r="X77" s="12" t="n">
        <f aca="false">IFERROR(LOOKUP(IF(W77="",G77,W77),{0,1,10,25,100,500,1000,2000},{0,1.65,1.51,1.46,1.31,1.29,1.23,1.13}),"")</f>
        <v>1.65</v>
      </c>
      <c r="Y77" s="12" t="n">
        <f aca="false">IFERROR(IF(W77="",G77,W77)*X77,"")</f>
        <v>8.25</v>
      </c>
      <c r="Z77" s="0" t="s">
        <v>464</v>
      </c>
      <c r="AA77" s="13" t="s">
        <v>27</v>
      </c>
      <c r="AJ77" s="12" t="n">
        <f aca="false">IFERROR(LOOKUP(IF(AI77="",G77,AI77),{0,1,3,9},{0,1.22245,1.22245,1.155481}),"")</f>
        <v>1.22245</v>
      </c>
      <c r="AK77" s="12" t="n">
        <f aca="false">IFERROR(IF(AI77="",G77,AI77)*AJ77,"")</f>
        <v>6.11225</v>
      </c>
      <c r="AL77" s="0" t="s">
        <v>465</v>
      </c>
      <c r="AM77" s="13" t="s">
        <v>27</v>
      </c>
    </row>
    <row r="78" customFormat="false" ht="15" hidden="false" customHeight="false" outlineLevel="0" collapsed="false">
      <c r="A78" s="0" t="s">
        <v>466</v>
      </c>
      <c r="B78" s="0" t="s">
        <v>467</v>
      </c>
      <c r="D78" s="0" t="s">
        <v>468</v>
      </c>
      <c r="F78" s="0" t="s">
        <v>467</v>
      </c>
      <c r="G78" s="0" t="n">
        <f aca="false">BoardQty*2</f>
        <v>10</v>
      </c>
      <c r="H7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0.5985</v>
      </c>
      <c r="I78" s="12" t="n">
        <f aca="false">IFERROR(G78*H78,"")</f>
        <v>5.985</v>
      </c>
      <c r="L78" s="12" t="n">
        <f aca="false">IFERROR(LOOKUP(IF(K78="",G78,K78),{0,1,500},{0,0.5985,0.5985}),"")</f>
        <v>0.5985</v>
      </c>
      <c r="M78" s="12" t="n">
        <f aca="false">IFERROR(IF(K78="",G78,K78)*L78,"")</f>
        <v>5.985</v>
      </c>
      <c r="N78" s="0" t="s">
        <v>469</v>
      </c>
      <c r="O78" s="13" t="s">
        <v>27</v>
      </c>
      <c r="V78" s="0" t="n">
        <v>26883</v>
      </c>
      <c r="X78" s="12" t="n">
        <f aca="false">IFERROR(LOOKUP(IF(W78="",G78,W78),{0,1,10,100,500,1000,2500,10000},{0,1.05,0.853,0.647,0.572,0.452,0.4,0.392}),"")</f>
        <v>0.853</v>
      </c>
      <c r="Y78" s="12" t="n">
        <f aca="false">IFERROR(IF(W78="",G78,W78)*X78,"")</f>
        <v>8.53</v>
      </c>
      <c r="Z78" s="0" t="s">
        <v>470</v>
      </c>
      <c r="AA78" s="13" t="s">
        <v>27</v>
      </c>
      <c r="AD78" s="12" t="n">
        <f aca="false">IFERROR(LOOKUP(IF(AC78="",G78,AC78),{0,1,500,1000},{0,0.612,0.612,0.564}),"")</f>
        <v>0.612</v>
      </c>
      <c r="AE78" s="12" t="n">
        <f aca="false">IFERROR(IF(AC78="",G78,AC78)*AD78,"")</f>
        <v>6.12</v>
      </c>
      <c r="AF78" s="0" t="s">
        <v>471</v>
      </c>
      <c r="AG78" s="13" t="s">
        <v>27</v>
      </c>
      <c r="AJ78" s="12" t="n">
        <f aca="false">IFERROR(LOOKUP(IF(AI78="",G78,AI78),{0,1,5,250,500,1000,2500},{0,1.267096,1.267096,1.097016,0.980086,0.846148,0.788746}),"")</f>
        <v>1.267096</v>
      </c>
      <c r="AK78" s="12" t="n">
        <f aca="false">IFERROR(IF(AI78="",G78,AI78)*AJ78,"")</f>
        <v>12.67096</v>
      </c>
      <c r="AL78" s="0" t="s">
        <v>472</v>
      </c>
      <c r="AM78" s="13" t="s">
        <v>27</v>
      </c>
    </row>
    <row r="79" customFormat="false" ht="15" hidden="false" customHeight="false" outlineLevel="0" collapsed="false">
      <c r="A79" s="0" t="s">
        <v>473</v>
      </c>
      <c r="B79" s="0" t="s">
        <v>380</v>
      </c>
      <c r="D79" s="0" t="s">
        <v>24</v>
      </c>
      <c r="F79" s="0" t="s">
        <v>381</v>
      </c>
      <c r="G79" s="0" t="n">
        <f aca="false">BoardQty*2</f>
        <v>10</v>
      </c>
      <c r="H7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0.0082914</v>
      </c>
      <c r="I79" s="12" t="n">
        <f aca="false">IFERROR(G79*H79,"")</f>
        <v>0.082914</v>
      </c>
      <c r="J79" s="0" t="n">
        <v>4968232</v>
      </c>
      <c r="L79" s="12" t="n">
        <f aca="false">IFERROR(LOOKUP(IF(K79="",G79,K79),{0,1,10,100,1000,2500,5000,10000,25000,50000,125000},{0,0.1,0.015,0.006,0.00268,0.00233,0.00192,0.00167,0.00147,0.00135,0.00132}),"")</f>
        <v>0.015</v>
      </c>
      <c r="M79" s="12" t="n">
        <f aca="false">IFERROR(IF(K79="",G79,K79)*L79,"")</f>
        <v>0.15</v>
      </c>
      <c r="N79" s="0" t="s">
        <v>382</v>
      </c>
      <c r="O79" s="13" t="s">
        <v>27</v>
      </c>
      <c r="R79" s="12" t="n">
        <f aca="false">IFERROR(LOOKUP(IF(Q79="",G79,Q79),{0,1,100,500,1000,2500},{0,0.0082914,0.0082914,0.0062717,0.0049961,0.0041457}),"")</f>
        <v>0.0082914</v>
      </c>
      <c r="S79" s="12" t="n">
        <f aca="false">IFERROR(IF(Q79="",G79,Q79)*R79,"")</f>
        <v>0.082914</v>
      </c>
      <c r="T79" s="0" t="s">
        <v>383</v>
      </c>
      <c r="U79" s="13" t="s">
        <v>27</v>
      </c>
      <c r="V79" s="0" t="n">
        <v>652674</v>
      </c>
      <c r="X79" s="12" t="n">
        <f aca="false">IFERROR(LOOKUP(IF(W79="",G79,W79),{0,1,10,100,1000,5000},{0,0.1,0.011,0.004,0.002,0.002}),"")</f>
        <v>0.011</v>
      </c>
      <c r="Y79" s="12" t="n">
        <f aca="false">IFERROR(IF(W79="",G79,W79)*X79,"")</f>
        <v>0.11</v>
      </c>
      <c r="Z79" s="0" t="s">
        <v>384</v>
      </c>
      <c r="AA79" s="13" t="s">
        <v>27</v>
      </c>
      <c r="AD79" s="12" t="n">
        <f aca="false">IFERROR(LOOKUP(IF(AC79="",G79,AC79),{0,1,10,25,100,250,1000},{0,0.08,0.014,0.01,0.006,0.004,0.003}),"")</f>
        <v>0.014</v>
      </c>
      <c r="AE79" s="12" t="n">
        <f aca="false">IFERROR(IF(AC79="",G79,AC79)*AD79,"")</f>
        <v>0.14</v>
      </c>
      <c r="AF79" s="0" t="s">
        <v>385</v>
      </c>
      <c r="AG79" s="13" t="s">
        <v>27</v>
      </c>
    </row>
    <row r="80" customFormat="false" ht="15" hidden="false" customHeight="false" outlineLevel="0" collapsed="false">
      <c r="A80" s="0" t="s">
        <v>474</v>
      </c>
      <c r="B80" s="0" t="s">
        <v>475</v>
      </c>
      <c r="D80" s="0" t="s">
        <v>24</v>
      </c>
      <c r="F80" s="0" t="s">
        <v>476</v>
      </c>
      <c r="G80" s="0" t="n">
        <f aca="false">BoardQty*2</f>
        <v>10</v>
      </c>
      <c r="H8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80" s="12" t="n">
        <f aca="false">IFERROR(G80*H80,"")</f>
        <v>0.11</v>
      </c>
      <c r="J80" s="0" t="n">
        <v>17755</v>
      </c>
      <c r="L80" s="12" t="n">
        <f aca="false">IFERROR(LOOKUP(IF(K80="",G80,K80),{0,1,10,100,1000,2500,5000,10000,25000,50000},{0,0.11,0.098,0.0376,0.01654,0.01428,0.01162,0.01042,0.00957,0.00944}),"")</f>
        <v>0.098</v>
      </c>
      <c r="M80" s="12" t="n">
        <f aca="false">IFERROR(IF(K80="",G80,K80)*L80,"")</f>
        <v>0.98</v>
      </c>
      <c r="N80" s="0" t="s">
        <v>477</v>
      </c>
      <c r="O80" s="13" t="s">
        <v>27</v>
      </c>
      <c r="V80" s="0" t="n">
        <v>2006</v>
      </c>
      <c r="X80" s="12" t="n">
        <f aca="false">IFERROR(LOOKUP(IF(W80="",G80,W80),{0,1,10,100,1000,5000,10000},{0,0.1,0.051,0.031,0.02,0.02,0.011}),"")</f>
        <v>0.051</v>
      </c>
      <c r="Y80" s="12" t="n">
        <f aca="false">IFERROR(IF(W80="",G80,W80)*X80,"")</f>
        <v>0.51</v>
      </c>
      <c r="Z80" s="0" t="s">
        <v>478</v>
      </c>
      <c r="AA80" s="13" t="s">
        <v>27</v>
      </c>
      <c r="AD80" s="12" t="n">
        <f aca="false">IFERROR(LOOKUP(IF(AC80="",G80,AC80),{0,1,5000,10000,15000},{0,0.011,0.011,0.01,0.009}),"")</f>
        <v>0.011</v>
      </c>
      <c r="AE80" s="12" t="n">
        <f aca="false">IFERROR(IF(AC80="",G80,AC80)*AD80,"")</f>
        <v>0.11</v>
      </c>
      <c r="AF80" s="0" t="s">
        <v>479</v>
      </c>
      <c r="AG80" s="13" t="s">
        <v>27</v>
      </c>
    </row>
    <row r="81" customFormat="false" ht="15" hidden="false" customHeight="false" outlineLevel="0" collapsed="false">
      <c r="A81" s="0" t="s">
        <v>480</v>
      </c>
      <c r="B81" s="0" t="s">
        <v>287</v>
      </c>
      <c r="D81" s="0" t="s">
        <v>40</v>
      </c>
      <c r="F81" s="0" t="s">
        <v>288</v>
      </c>
      <c r="G81" s="0" t="n">
        <f aca="false">BoardQty*19</f>
        <v>95</v>
      </c>
      <c r="H8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0.019</v>
      </c>
      <c r="I81" s="12" t="n">
        <f aca="false">IFERROR(G81*H81,"")</f>
        <v>1.805</v>
      </c>
      <c r="J81" s="0" t="n">
        <v>533526</v>
      </c>
      <c r="L81" s="12" t="n">
        <f aca="false">IFERROR(LOOKUP(IF(K81="",G81,K81),{0,1,10,100,500,1000,4000,8000,12000},{0,0.1,0.049,0.0217,0.01552,0.01219,0.00886,0.00809,0.0077}),"")</f>
        <v>0.049</v>
      </c>
      <c r="M81" s="12" t="n">
        <f aca="false">IFERROR(IF(K81="",G81,K81)*L81,"")</f>
        <v>4.655</v>
      </c>
      <c r="N81" s="0" t="s">
        <v>289</v>
      </c>
      <c r="O81" s="13" t="s">
        <v>27</v>
      </c>
      <c r="R81" s="12" t="n">
        <f aca="false">IFERROR(LOOKUP(IF(Q81="",G81,Q81),{0,1,100,500,1000,2000},{0,0.0217915,0.0217915,0.0157324,0.0112678,0.01063}),"")</f>
        <v>0.0217915</v>
      </c>
      <c r="S81" s="12" t="n">
        <f aca="false">IFERROR(IF(Q81="",G81,Q81)*R81,"")</f>
        <v>2.0701925</v>
      </c>
      <c r="T81" s="0" t="s">
        <v>290</v>
      </c>
      <c r="U81" s="13" t="s">
        <v>27</v>
      </c>
      <c r="V81" s="0" t="n">
        <v>121568</v>
      </c>
      <c r="X81" s="12" t="n">
        <f aca="false">IFERROR(LOOKUP(IF(W81="",G81,W81),{0,1,10,100,500,1000,4000,8000,24000,48000},{0,0.1,0.022,0.015,0.013,0.011,0.008,0.007,0.006,0.005}),"")</f>
        <v>0.022</v>
      </c>
      <c r="Y81" s="12" t="n">
        <f aca="false">IFERROR(IF(W81="",G81,W81)*X81,"")</f>
        <v>2.09</v>
      </c>
      <c r="Z81" s="0" t="s">
        <v>291</v>
      </c>
      <c r="AA81" s="13" t="s">
        <v>27</v>
      </c>
      <c r="AD81" s="12" t="n">
        <f aca="false">IFERROR(LOOKUP(IF(AC81="",G81,AC81),{0,1,25,50,100,250,500,1000},{0,0.1,0.022,0.019,0.015,0.014,0.013,0.01}),"")</f>
        <v>0.019</v>
      </c>
      <c r="AE81" s="12" t="n">
        <f aca="false">IFERROR(IF(AC81="",G81,AC81)*AD81,"")</f>
        <v>1.805</v>
      </c>
      <c r="AF81" s="0" t="s">
        <v>292</v>
      </c>
      <c r="AG81" s="13" t="s">
        <v>27</v>
      </c>
      <c r="AH81" s="0" t="n">
        <v>3350</v>
      </c>
      <c r="AJ81" s="12" t="n">
        <f aca="false">IFERROR(LOOKUP(IF(AI81="",G81,AI81),{0,1,25,125},{0,0.02126,0.02126,0.014882}),"")</f>
        <v>0.02126</v>
      </c>
      <c r="AK81" s="12" t="n">
        <f aca="false">IFERROR(IF(AI81="",G81,AI81)*AJ81,"")</f>
        <v>2.0197</v>
      </c>
      <c r="AL81" s="0" t="s">
        <v>293</v>
      </c>
      <c r="AM81" s="13" t="s">
        <v>27</v>
      </c>
    </row>
    <row r="82" customFormat="false" ht="15" hidden="false" customHeight="false" outlineLevel="0" collapsed="false">
      <c r="A82" s="0" t="s">
        <v>481</v>
      </c>
      <c r="B82" s="0" t="s">
        <v>482</v>
      </c>
      <c r="D82" s="0" t="s">
        <v>483</v>
      </c>
      <c r="F82" s="0" t="s">
        <v>482</v>
      </c>
      <c r="G82" s="0" t="n">
        <f aca="false">BoardQty*1</f>
        <v>5</v>
      </c>
      <c r="H8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6.82</v>
      </c>
      <c r="I82" s="12" t="n">
        <f aca="false">IFERROR(G82*H82,"")</f>
        <v>34.1</v>
      </c>
      <c r="J82" s="0" t="n">
        <v>436</v>
      </c>
      <c r="L82" s="12" t="n">
        <f aca="false">IFERROR(LOOKUP(IF(K82="",G82,K82),{0,1,25,100},{0,6.97,6.06,5.7772}),"")</f>
        <v>6.97</v>
      </c>
      <c r="M82" s="12" t="n">
        <f aca="false">IFERROR(IF(K82="",G82,K82)*L82,"")</f>
        <v>34.85</v>
      </c>
      <c r="N82" s="0" t="s">
        <v>484</v>
      </c>
      <c r="O82" s="13" t="s">
        <v>27</v>
      </c>
      <c r="V82" s="0" t="n">
        <v>706</v>
      </c>
      <c r="X82" s="12" t="n">
        <f aca="false">IFERROR(LOOKUP(IF(W82="",G82,W82),{0,1,25,100},{0,6.82,5.92,5.73}),"")</f>
        <v>6.82</v>
      </c>
      <c r="Y82" s="12" t="n">
        <f aca="false">IFERROR(IF(W82="",G82,W82)*X82,"")</f>
        <v>34.1</v>
      </c>
      <c r="Z82" s="0" t="s">
        <v>485</v>
      </c>
      <c r="AA82" s="13" t="s">
        <v>27</v>
      </c>
      <c r="AH82" s="0" t="n">
        <v>60</v>
      </c>
      <c r="AJ82" s="12" t="n">
        <f aca="false">IFERROR(LOOKUP(IF(AI82="",G82,AI82),{0,1,10},{0,7.0158,6.93076}),"")</f>
        <v>7.0158</v>
      </c>
      <c r="AK82" s="12" t="n">
        <f aca="false">IFERROR(IF(AI82="",G82,AI82)*AJ82,"")</f>
        <v>35.079</v>
      </c>
      <c r="AL82" s="0" t="s">
        <v>486</v>
      </c>
      <c r="AM82" s="13" t="s">
        <v>27</v>
      </c>
    </row>
    <row r="83" customFormat="false" ht="15" hidden="false" customHeight="false" outlineLevel="0" collapsed="false">
      <c r="A83" s="0" t="s">
        <v>487</v>
      </c>
      <c r="B83" s="0" t="s">
        <v>488</v>
      </c>
      <c r="D83" s="0" t="s">
        <v>489</v>
      </c>
      <c r="F83" s="0" t="s">
        <v>490</v>
      </c>
      <c r="G83" s="0" t="n">
        <f aca="false">BoardQty*1</f>
        <v>5</v>
      </c>
      <c r="H8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0.53</v>
      </c>
      <c r="I83" s="12" t="n">
        <f aca="false">IFERROR(G83*H83,"")</f>
        <v>2.65</v>
      </c>
      <c r="J83" s="0" t="n">
        <v>685</v>
      </c>
      <c r="L83" s="12" t="n">
        <f aca="false">IFERROR(LOOKUP(IF(K83="",G83,K83),{0,1,25,100},{0,0.53,0.4304,0.399}),"")</f>
        <v>0.53</v>
      </c>
      <c r="M83" s="12" t="n">
        <f aca="false">IFERROR(IF(K83="",G83,K83)*L83,"")</f>
        <v>2.65</v>
      </c>
      <c r="N83" s="0" t="s">
        <v>491</v>
      </c>
      <c r="O83" s="13" t="s">
        <v>27</v>
      </c>
      <c r="V83" s="0" t="n">
        <v>868</v>
      </c>
      <c r="X83" s="12" t="n">
        <f aca="false">IFERROR(LOOKUP(IF(W83="",G83,W83),{0,1,10,25,100},{0,0.542,0.502,0.412,0.381}),"")</f>
        <v>0.542</v>
      </c>
      <c r="Y83" s="12" t="n">
        <f aca="false">IFERROR(IF(W83="",G83,W83)*X83,"")</f>
        <v>2.71</v>
      </c>
      <c r="Z83" s="0" t="s">
        <v>492</v>
      </c>
      <c r="AA83" s="13" t="s">
        <v>27</v>
      </c>
    </row>
    <row r="84" customFormat="false" ht="15" hidden="false" customHeight="false" outlineLevel="0" collapsed="false">
      <c r="A84" s="0" t="s">
        <v>493</v>
      </c>
      <c r="B84" s="0" t="s">
        <v>494</v>
      </c>
      <c r="D84" s="0" t="s">
        <v>40</v>
      </c>
      <c r="F84" s="0" t="s">
        <v>495</v>
      </c>
      <c r="G84" s="0" t="n">
        <f aca="false">BoardQty*2</f>
        <v>10</v>
      </c>
      <c r="H8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0.073</v>
      </c>
      <c r="I84" s="12" t="n">
        <f aca="false">IFERROR(G84*H84,"")</f>
        <v>0.73</v>
      </c>
      <c r="J84" s="0" t="n">
        <v>15750</v>
      </c>
      <c r="L84" s="12" t="n">
        <f aca="false">IFERROR(LOOKUP(IF(K84="",G84,K84),{0,1,10,100,500,1000,4000,8000,12000},{0,0.36,0.253,0.1518,0.11386,0.09614,0.0748,0.0704,0.0682}),"")</f>
        <v>0.253</v>
      </c>
      <c r="M84" s="12" t="n">
        <f aca="false">IFERROR(IF(K84="",G84,K84)*L84,"")</f>
        <v>2.53</v>
      </c>
      <c r="N84" s="0" t="s">
        <v>496</v>
      </c>
      <c r="O84" s="13" t="s">
        <v>27</v>
      </c>
      <c r="R84" s="12" t="n">
        <f aca="false">IFERROR(LOOKUP(IF(Q84="",G84,Q84),{0,1,4000},{0,0.0887605,0.0887605}),"")</f>
        <v>0.0887605</v>
      </c>
      <c r="S84" s="12" t="n">
        <f aca="false">IFERROR(IF(Q84="",G84,Q84)*R84,"")</f>
        <v>0.887605</v>
      </c>
      <c r="T84" s="0" t="s">
        <v>497</v>
      </c>
      <c r="U84" s="13" t="s">
        <v>27</v>
      </c>
      <c r="V84" s="0" t="n">
        <v>8271</v>
      </c>
      <c r="X84" s="12" t="n">
        <f aca="false">IFERROR(LOOKUP(IF(W84="",G84,W84),{0,1,50,100,500,1000,4000,8000},{0,0.1,0.09,0.079,0.077,0.076,0.073,0.072}),"")</f>
        <v>0.1</v>
      </c>
      <c r="Y84" s="12" t="n">
        <f aca="false">IFERROR(IF(W84="",G84,W84)*X84,"")</f>
        <v>1</v>
      </c>
      <c r="Z84" s="0" t="s">
        <v>498</v>
      </c>
      <c r="AA84" s="13" t="s">
        <v>27</v>
      </c>
      <c r="AD84" s="12" t="n">
        <f aca="false">IFERROR(LOOKUP(IF(AC84="",G84,AC84),{0,1,4000,8000},{0,0.073,0.073,0.072}),"")</f>
        <v>0.073</v>
      </c>
      <c r="AE84" s="12" t="n">
        <f aca="false">IFERROR(IF(AC84="",G84,AC84)*AD84,"")</f>
        <v>0.73</v>
      </c>
      <c r="AF84" s="0" t="s">
        <v>499</v>
      </c>
      <c r="AG84" s="13" t="s">
        <v>27</v>
      </c>
    </row>
    <row r="85" customFormat="false" ht="15" hidden="false" customHeight="false" outlineLevel="0" collapsed="false">
      <c r="A85" s="0" t="s">
        <v>500</v>
      </c>
      <c r="B85" s="0" t="s">
        <v>501</v>
      </c>
      <c r="D85" s="0" t="s">
        <v>212</v>
      </c>
      <c r="F85" s="0" t="s">
        <v>213</v>
      </c>
      <c r="G85" s="0" t="n">
        <f aca="false">BoardQty*1</f>
        <v>5</v>
      </c>
      <c r="H8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0.559138</v>
      </c>
      <c r="I85" s="12" t="n">
        <f aca="false">IFERROR(G85*H85,"")</f>
        <v>2.79569</v>
      </c>
      <c r="J85" s="0" t="n">
        <v>13836</v>
      </c>
      <c r="L85" s="12" t="n">
        <f aca="false">IFERROR(LOOKUP(IF(K85="",G85,K85),{0,1,10,25,50,100,250,500,1500,3000,7500,10500,15000},{0,0.81,0.712,0.6704,0.6426,0.6147,0.5588,0.50292,0.381,0.3683,0.3556,0.33782,0.3302}),"")</f>
        <v>0.81</v>
      </c>
      <c r="M85" s="12" t="n">
        <f aca="false">IFERROR(IF(K85="",G85,K85)*L85,"")</f>
        <v>4.05</v>
      </c>
      <c r="N85" s="0" t="s">
        <v>214</v>
      </c>
      <c r="O85" s="13" t="s">
        <v>27</v>
      </c>
      <c r="R85" s="12" t="n">
        <f aca="false">IFERROR(LOOKUP(IF(Q85="",G85,Q85),{0,1,25,50,150,250,500,1500,2500},{0,0.559138,0.52087,0.501736,0.452838,0.395436,0.386932,0.385869,0.384806}),"")</f>
        <v>0.559138</v>
      </c>
      <c r="S85" s="12" t="n">
        <f aca="false">IFERROR(IF(Q85="",G85,Q85)*R85,"")</f>
        <v>2.79569</v>
      </c>
      <c r="T85" s="0" t="s">
        <v>215</v>
      </c>
      <c r="U85" s="13" t="s">
        <v>27</v>
      </c>
      <c r="V85" s="0" t="n">
        <v>8115</v>
      </c>
      <c r="X85" s="12" t="n">
        <f aca="false">IFERROR(LOOKUP(IF(W85="",G85,W85),{0,1,10,100,250,500,1000,1500},{0,0.682,0.624,0.535,0.485,0.446,0.386,0.386}),"")</f>
        <v>0.682</v>
      </c>
      <c r="Y85" s="12" t="n">
        <f aca="false">IFERROR(IF(W85="",G85,W85)*X85,"")</f>
        <v>3.41</v>
      </c>
      <c r="Z85" s="0" t="s">
        <v>216</v>
      </c>
      <c r="AA85" s="13" t="s">
        <v>27</v>
      </c>
      <c r="AD85" s="12" t="n">
        <f aca="false">IFERROR(LOOKUP(IF(AC85="",G85,AC85),{0,1,10,100,250,500,1000},{0,0.68,0.622,0.533,0.483,0.445,0.381}),"")</f>
        <v>0.68</v>
      </c>
      <c r="AE85" s="12" t="n">
        <f aca="false">IFERROR(IF(AC85="",G85,AC85)*AD85,"")</f>
        <v>3.4</v>
      </c>
      <c r="AF85" s="0" t="s">
        <v>217</v>
      </c>
      <c r="AG85" s="13" t="s">
        <v>27</v>
      </c>
      <c r="AJ85" s="12" t="n">
        <f aca="false">IFERROR(LOOKUP(IF(AI85="",G85,AI85),{0,1,5,50,150,250,500},{0,0.610162,0.610162,0.54213,0.48898,0.452838,0.416696}),"")</f>
        <v>0.610162</v>
      </c>
      <c r="AK85" s="12" t="n">
        <f aca="false">IFERROR(IF(AI85="",G85,AI85)*AJ85,"")</f>
        <v>3.05081</v>
      </c>
      <c r="AL85" s="0" t="s">
        <v>218</v>
      </c>
      <c r="AM85" s="13" t="s">
        <v>27</v>
      </c>
    </row>
    <row r="87" customFormat="false" ht="15" hidden="false" customHeight="false" outlineLevel="0" collapsed="false">
      <c r="K87" s="0" t="str">
        <f aca="false" t="array" ref="K87:K87">IFERROR(CONCATENATE(TEXT(INDEX($K$7:$K$85,SMALL(IF($N$7:$N$85&lt;&gt;"",IF($K$7:$K$85&lt;&gt;"",ROW($K$7:$K$85)-MIN(ROW($K$7:$K$85))+1,""),""),ROW()-ROW(A$87)+1)),"##0"),","),"")</f>
        <v/>
      </c>
      <c r="L87" s="0" t="str">
        <f aca="false" t="array" ref="L87:L87">IFERROR(CONCATENATE((INDEX($N$7:$N$85,SMALL(IF($N$7:$N$85&lt;&gt;"",IF($K$7:$K$85&lt;&gt;"",ROW($K$7:$K$85)-MIN(ROW($K$7:$K$85))+1,""),""),ROW()-ROW(A$87)+1))),","),"")</f>
        <v/>
      </c>
      <c r="M87" s="0" t="str">
        <f aca="false" t="array" ref="M87:M87">IFERROR(CONCATENATE((INDEX($A$7:$A$85,SMALL(IF($N$7:$N$85&lt;&gt;"",IF($K$7:$K$85&lt;&gt;"",ROW($K$7:$K$85)-MIN(ROW($K$7:$K$85))+1,""),""),ROW()-ROW(A$87)+1))),),"")</f>
        <v/>
      </c>
      <c r="Q87" s="0" t="str">
        <f aca="false" t="array" ref="Q87:Q87">IFERROR(CONCATENATE((INDEX($T$7:$T$85,SMALL(IF($T$7:$T$85&lt;&gt;"",IF($Q$7:$Q$85&lt;&gt;"",ROW($Q$7:$Q$85)-MIN(ROW($Q$7:$Q$85))+1,""),""),ROW()-ROW(A$87)+1)))," "),"")</f>
        <v/>
      </c>
      <c r="R87" s="0" t="str">
        <f aca="false" t="array" ref="R87:R87">IFERROR(CONCATENATE(TEXT(INDEX($Q$7:$Q$85,SMALL(IF($T$7:$T$85&lt;&gt;"",IF($Q$7:$Q$85&lt;&gt;"",ROW($Q$7:$Q$85)-MIN(ROW($Q$7:$Q$85))+1,""),""),ROW()-ROW(A$87)+1)),"##0")," "),"")</f>
        <v/>
      </c>
      <c r="S87" s="0" t="str">
        <f aca="false" t="array" ref="S87:S87">IFERROR(CONCATENATE((INDEX($A$7:$A$85,SMALL(IF($T$7:$T$85&lt;&gt;"",IF($Q$7:$Q$85&lt;&gt;"",ROW($Q$7:$Q$85)-MIN(ROW($Q$7:$Q$85))+1,""),""),ROW()-ROW(A$87)+1))),),"")</f>
        <v/>
      </c>
      <c r="W87" s="0" t="str">
        <f aca="false" t="array" ref="W87:W87">IFERROR(CONCATENATE((INDEX($Z$7:$Z$85,SMALL(IF($Z$7:$Z$85&lt;&gt;"",IF($W$7:$W$85&lt;&gt;"",ROW($W$7:$W$85)-MIN(ROW($W$7:$W$85))+1,""),""),ROW()-ROW(A$87)+1)))," "),"")</f>
        <v/>
      </c>
      <c r="X87" s="0" t="str">
        <f aca="false" t="array" ref="X87:X87">IFERROR(CONCATENATE(TEXT(INDEX($W$7:$W$85,SMALL(IF($Z$7:$Z$85&lt;&gt;"",IF($W$7:$W$85&lt;&gt;"",ROW($W$7:$W$85)-MIN(ROW($W$7:$W$85))+1,""),""),ROW()-ROW(A$87)+1)),"##0")," "),"")</f>
        <v/>
      </c>
      <c r="Y87" s="0" t="str">
        <f aca="false" t="array" ref="Y87:Y87">IFERROR(CONCATENATE((INDEX($A$7:$A$85,SMALL(IF($Z$7:$Z$85&lt;&gt;"",IF($W$7:$W$85&lt;&gt;"",ROW($W$7:$W$85)-MIN(ROW($W$7:$W$85))+1,""),""),ROW()-ROW(A$87)+1))),),"")</f>
        <v/>
      </c>
      <c r="AC87" s="0" t="str">
        <f aca="false" t="array" ref="AC87:AC87">IFERROR(CONCATENATE((INDEX($AF$7:$AF$85,SMALL(IF($AF$7:$AF$85&lt;&gt;"",IF($AC$7:$AC$85&lt;&gt;"",ROW($AC$7:$AC$85)-MIN(ROW($AC$7:$AC$85))+1,""),""),ROW()-ROW(A$87)+1))),","),"")</f>
        <v/>
      </c>
      <c r="AD87" s="0" t="str">
        <f aca="false" t="array" ref="AD87:AD87">IFERROR(CONCATENATE(TEXT(INDEX($AC$7:$AC$85,SMALL(IF($AF$7:$AF$85&lt;&gt;"",IF($AC$7:$AC$85&lt;&gt;"",ROW($AC$7:$AC$85)-MIN(ROW($AC$7:$AC$85))+1,""),""),ROW()-ROW(A$87)+1)),"##0"),","),"")</f>
        <v/>
      </c>
      <c r="AE87" s="0" t="str">
        <f aca="false" t="array" ref="AE87:AE87">IFERROR(CONCATENATE((INDEX($A$7:$A$85,SMALL(IF($AF$7:$AF$85&lt;&gt;"",IF($AC$7:$AC$85&lt;&gt;"",ROW($AC$7:$AC$85)-MIN(ROW($AC$7:$AC$85))+1,""),""),ROW()-ROW(A$87)+1))),),"")</f>
        <v/>
      </c>
      <c r="AI87" s="0" t="str">
        <f aca="false" t="array" ref="AI87:AI87">IFERROR(CONCATENATE((INDEX($AL$7:$AL$85,SMALL(IF($AL$7:$AL$85&lt;&gt;"",IF($AI$7:$AI$85&lt;&gt;"",ROW($AI$7:$AI$85)-MIN(ROW($AI$7:$AI$85))+1,""),""),ROW()-ROW(A$87)+1)))," "),"")</f>
        <v/>
      </c>
      <c r="AJ87" s="0" t="str">
        <f aca="false" t="array" ref="AJ87:AJ87">IFERROR(CONCATENATE(TEXT(INDEX($AI$7:$AI$85,SMALL(IF($AL$7:$AL$85&lt;&gt;"",IF($AI$7:$AI$85&lt;&gt;"",ROW($AI$7:$AI$85)-MIN(ROW($AI$7:$AI$85))+1,""),""),ROW()-ROW(A$87)+1)),"##0")," "),"")</f>
        <v/>
      </c>
      <c r="AK87" s="0" t="str">
        <f aca="false" t="array" ref="AK87:AK87">IFERROR(CONCATENATE((INDEX($A$7:$A$85,SMALL(IF($AL$7:$AL$85&lt;&gt;"",IF($AI$7:$AI$85&lt;&gt;"",ROW($AI$7:$AI$85)-MIN(ROW($AI$7:$AI$85))+1,""),""),ROW()-ROW(A$87)+1))),),"")</f>
        <v/>
      </c>
    </row>
    <row r="88" customFormat="false" ht="15" hidden="false" customHeight="false" outlineLevel="0" collapsed="false">
      <c r="K88" s="0" t="str">
        <f aca="false" t="array" ref="K88:K88">IFERROR(CONCATENATE(TEXT(INDEX($K$7:$K$85,SMALL(IF($N$7:$N$85&lt;&gt;"",IF($K$7:$K$85&lt;&gt;"",ROW($K$7:$K$85)-MIN(ROW($K$7:$K$85))+1,""),""),ROW()-ROW(A$87)+1)),"##0"),","),"")</f>
        <v/>
      </c>
      <c r="L88" s="0" t="str">
        <f aca="false" t="array" ref="L88:L88">IFERROR(CONCATENATE((INDEX($N$7:$N$85,SMALL(IF($N$7:$N$85&lt;&gt;"",IF($K$7:$K$85&lt;&gt;"",ROW($K$7:$K$85)-MIN(ROW($K$7:$K$85))+1,""),""),ROW()-ROW(A$87)+1))),","),"")</f>
        <v/>
      </c>
      <c r="M88" s="0" t="str">
        <f aca="false" t="array" ref="M88:M88">IFERROR(CONCATENATE((INDEX($A$7:$A$85,SMALL(IF($N$7:$N$85&lt;&gt;"",IF($K$7:$K$85&lt;&gt;"",ROW($K$7:$K$85)-MIN(ROW($K$7:$K$85))+1,""),""),ROW()-ROW(A$87)+1))),),"")</f>
        <v/>
      </c>
      <c r="Q88" s="0" t="str">
        <f aca="false" t="array" ref="Q88:Q88">IFERROR(CONCATENATE((INDEX($T$7:$T$85,SMALL(IF($T$7:$T$85&lt;&gt;"",IF($Q$7:$Q$85&lt;&gt;"",ROW($Q$7:$Q$85)-MIN(ROW($Q$7:$Q$85))+1,""),""),ROW()-ROW(A$87)+1)))," "),"")</f>
        <v/>
      </c>
      <c r="R88" s="0" t="str">
        <f aca="false" t="array" ref="R88:R88">IFERROR(CONCATENATE(TEXT(INDEX($Q$7:$Q$85,SMALL(IF($T$7:$T$85&lt;&gt;"",IF($Q$7:$Q$85&lt;&gt;"",ROW($Q$7:$Q$85)-MIN(ROW($Q$7:$Q$85))+1,""),""),ROW()-ROW(A$87)+1)),"##0")," "),"")</f>
        <v/>
      </c>
      <c r="S88" s="0" t="str">
        <f aca="false" t="array" ref="S88:S88">IFERROR(CONCATENATE((INDEX($A$7:$A$85,SMALL(IF($T$7:$T$85&lt;&gt;"",IF($Q$7:$Q$85&lt;&gt;"",ROW($Q$7:$Q$85)-MIN(ROW($Q$7:$Q$85))+1,""),""),ROW()-ROW(A$87)+1))),),"")</f>
        <v/>
      </c>
      <c r="W88" s="0" t="str">
        <f aca="false" t="array" ref="W88:W88">IFERROR(CONCATENATE((INDEX($Z$7:$Z$85,SMALL(IF($Z$7:$Z$85&lt;&gt;"",IF($W$7:$W$85&lt;&gt;"",ROW($W$7:$W$85)-MIN(ROW($W$7:$W$85))+1,""),""),ROW()-ROW(A$87)+1)))," "),"")</f>
        <v/>
      </c>
      <c r="X88" s="0" t="str">
        <f aca="false" t="array" ref="X88:X88">IFERROR(CONCATENATE(TEXT(INDEX($W$7:$W$85,SMALL(IF($Z$7:$Z$85&lt;&gt;"",IF($W$7:$W$85&lt;&gt;"",ROW($W$7:$W$85)-MIN(ROW($W$7:$W$85))+1,""),""),ROW()-ROW(A$87)+1)),"##0")," "),"")</f>
        <v/>
      </c>
      <c r="Y88" s="0" t="str">
        <f aca="false" t="array" ref="Y88:Y88">IFERROR(CONCATENATE((INDEX($A$7:$A$85,SMALL(IF($Z$7:$Z$85&lt;&gt;"",IF($W$7:$W$85&lt;&gt;"",ROW($W$7:$W$85)-MIN(ROW($W$7:$W$85))+1,""),""),ROW()-ROW(A$87)+1))),),"")</f>
        <v/>
      </c>
      <c r="AC88" s="0" t="str">
        <f aca="false" t="array" ref="AC88:AC88">IFERROR(CONCATENATE((INDEX($AF$7:$AF$85,SMALL(IF($AF$7:$AF$85&lt;&gt;"",IF($AC$7:$AC$85&lt;&gt;"",ROW($AC$7:$AC$85)-MIN(ROW($AC$7:$AC$85))+1,""),""),ROW()-ROW(A$87)+1))),","),"")</f>
        <v/>
      </c>
      <c r="AD88" s="0" t="str">
        <f aca="false" t="array" ref="AD88:AD88">IFERROR(CONCATENATE(TEXT(INDEX($AC$7:$AC$85,SMALL(IF($AF$7:$AF$85&lt;&gt;"",IF($AC$7:$AC$85&lt;&gt;"",ROW($AC$7:$AC$85)-MIN(ROW($AC$7:$AC$85))+1,""),""),ROW()-ROW(A$87)+1)),"##0"),","),"")</f>
        <v/>
      </c>
      <c r="AE88" s="0" t="str">
        <f aca="false" t="array" ref="AE88:AE88">IFERROR(CONCATENATE((INDEX($A$7:$A$85,SMALL(IF($AF$7:$AF$85&lt;&gt;"",IF($AC$7:$AC$85&lt;&gt;"",ROW($AC$7:$AC$85)-MIN(ROW($AC$7:$AC$85))+1,""),""),ROW()-ROW(A$87)+1))),),"")</f>
        <v/>
      </c>
      <c r="AI88" s="0" t="str">
        <f aca="false" t="array" ref="AI88:AI88">IFERROR(CONCATENATE((INDEX($AL$7:$AL$85,SMALL(IF($AL$7:$AL$85&lt;&gt;"",IF($AI$7:$AI$85&lt;&gt;"",ROW($AI$7:$AI$85)-MIN(ROW($AI$7:$AI$85))+1,""),""),ROW()-ROW(A$87)+1)))," "),"")</f>
        <v/>
      </c>
      <c r="AJ88" s="0" t="str">
        <f aca="false" t="array" ref="AJ88:AJ88">IFERROR(CONCATENATE(TEXT(INDEX($AI$7:$AI$85,SMALL(IF($AL$7:$AL$85&lt;&gt;"",IF($AI$7:$AI$85&lt;&gt;"",ROW($AI$7:$AI$85)-MIN(ROW($AI$7:$AI$85))+1,""),""),ROW()-ROW(A$87)+1)),"##0")," "),"")</f>
        <v/>
      </c>
      <c r="AK88" s="0" t="str">
        <f aca="false" t="array" ref="AK88:AK88">IFERROR(CONCATENATE((INDEX($A$7:$A$85,SMALL(IF($AL$7:$AL$85&lt;&gt;"",IF($AI$7:$AI$85&lt;&gt;"",ROW($AI$7:$AI$85)-MIN(ROW($AI$7:$AI$85))+1,""),""),ROW()-ROW(A$87)+1))),),"")</f>
        <v/>
      </c>
    </row>
    <row r="89" customFormat="false" ht="15" hidden="false" customHeight="false" outlineLevel="0" collapsed="false">
      <c r="K89" s="0" t="str">
        <f aca="false" t="array" ref="K89:K89">IFERROR(CONCATENATE(TEXT(INDEX($K$7:$K$85,SMALL(IF($N$7:$N$85&lt;&gt;"",IF($K$7:$K$85&lt;&gt;"",ROW($K$7:$K$85)-MIN(ROW($K$7:$K$85))+1,""),""),ROW()-ROW(A$87)+1)),"##0"),","),"")</f>
        <v/>
      </c>
      <c r="L89" s="0" t="str">
        <f aca="false" t="array" ref="L89:L89">IFERROR(CONCATENATE((INDEX($N$7:$N$85,SMALL(IF($N$7:$N$85&lt;&gt;"",IF($K$7:$K$85&lt;&gt;"",ROW($K$7:$K$85)-MIN(ROW($K$7:$K$85))+1,""),""),ROW()-ROW(A$87)+1))),","),"")</f>
        <v/>
      </c>
      <c r="M89" s="0" t="str">
        <f aca="false" t="array" ref="M89:M89">IFERROR(CONCATENATE((INDEX($A$7:$A$85,SMALL(IF($N$7:$N$85&lt;&gt;"",IF($K$7:$K$85&lt;&gt;"",ROW($K$7:$K$85)-MIN(ROW($K$7:$K$85))+1,""),""),ROW()-ROW(A$87)+1))),),"")</f>
        <v/>
      </c>
      <c r="Q89" s="0" t="str">
        <f aca="false" t="array" ref="Q89:Q89">IFERROR(CONCATENATE((INDEX($T$7:$T$85,SMALL(IF($T$7:$T$85&lt;&gt;"",IF($Q$7:$Q$85&lt;&gt;"",ROW($Q$7:$Q$85)-MIN(ROW($Q$7:$Q$85))+1,""),""),ROW()-ROW(A$87)+1)))," "),"")</f>
        <v/>
      </c>
      <c r="R89" s="0" t="str">
        <f aca="false" t="array" ref="R89:R89">IFERROR(CONCATENATE(TEXT(INDEX($Q$7:$Q$85,SMALL(IF($T$7:$T$85&lt;&gt;"",IF($Q$7:$Q$85&lt;&gt;"",ROW($Q$7:$Q$85)-MIN(ROW($Q$7:$Q$85))+1,""),""),ROW()-ROW(A$87)+1)),"##0")," "),"")</f>
        <v/>
      </c>
      <c r="S89" s="0" t="str">
        <f aca="false" t="array" ref="S89:S89">IFERROR(CONCATENATE((INDEX($A$7:$A$85,SMALL(IF($T$7:$T$85&lt;&gt;"",IF($Q$7:$Q$85&lt;&gt;"",ROW($Q$7:$Q$85)-MIN(ROW($Q$7:$Q$85))+1,""),""),ROW()-ROW(A$87)+1))),),"")</f>
        <v/>
      </c>
      <c r="W89" s="0" t="str">
        <f aca="false" t="array" ref="W89:W89">IFERROR(CONCATENATE((INDEX($Z$7:$Z$85,SMALL(IF($Z$7:$Z$85&lt;&gt;"",IF($W$7:$W$85&lt;&gt;"",ROW($W$7:$W$85)-MIN(ROW($W$7:$W$85))+1,""),""),ROW()-ROW(A$87)+1)))," "),"")</f>
        <v/>
      </c>
      <c r="X89" s="0" t="str">
        <f aca="false" t="array" ref="X89:X89">IFERROR(CONCATENATE(TEXT(INDEX($W$7:$W$85,SMALL(IF($Z$7:$Z$85&lt;&gt;"",IF($W$7:$W$85&lt;&gt;"",ROW($W$7:$W$85)-MIN(ROW($W$7:$W$85))+1,""),""),ROW()-ROW(A$87)+1)),"##0")," "),"")</f>
        <v/>
      </c>
      <c r="Y89" s="0" t="str">
        <f aca="false" t="array" ref="Y89:Y89">IFERROR(CONCATENATE((INDEX($A$7:$A$85,SMALL(IF($Z$7:$Z$85&lt;&gt;"",IF($W$7:$W$85&lt;&gt;"",ROW($W$7:$W$85)-MIN(ROW($W$7:$W$85))+1,""),""),ROW()-ROW(A$87)+1))),),"")</f>
        <v/>
      </c>
      <c r="AC89" s="0" t="str">
        <f aca="false" t="array" ref="AC89:AC89">IFERROR(CONCATENATE((INDEX($AF$7:$AF$85,SMALL(IF($AF$7:$AF$85&lt;&gt;"",IF($AC$7:$AC$85&lt;&gt;"",ROW($AC$7:$AC$85)-MIN(ROW($AC$7:$AC$85))+1,""),""),ROW()-ROW(A$87)+1))),","),"")</f>
        <v/>
      </c>
      <c r="AD89" s="0" t="str">
        <f aca="false" t="array" ref="AD89:AD89">IFERROR(CONCATENATE(TEXT(INDEX($AC$7:$AC$85,SMALL(IF($AF$7:$AF$85&lt;&gt;"",IF($AC$7:$AC$85&lt;&gt;"",ROW($AC$7:$AC$85)-MIN(ROW($AC$7:$AC$85))+1,""),""),ROW()-ROW(A$87)+1)),"##0"),","),"")</f>
        <v/>
      </c>
      <c r="AE89" s="0" t="str">
        <f aca="false" t="array" ref="AE89:AE89">IFERROR(CONCATENATE((INDEX($A$7:$A$85,SMALL(IF($AF$7:$AF$85&lt;&gt;"",IF($AC$7:$AC$85&lt;&gt;"",ROW($AC$7:$AC$85)-MIN(ROW($AC$7:$AC$85))+1,""),""),ROW()-ROW(A$87)+1))),),"")</f>
        <v/>
      </c>
      <c r="AI89" s="0" t="str">
        <f aca="false" t="array" ref="AI89:AI89">IFERROR(CONCATENATE((INDEX($AL$7:$AL$85,SMALL(IF($AL$7:$AL$85&lt;&gt;"",IF($AI$7:$AI$85&lt;&gt;"",ROW($AI$7:$AI$85)-MIN(ROW($AI$7:$AI$85))+1,""),""),ROW()-ROW(A$87)+1)))," "),"")</f>
        <v/>
      </c>
      <c r="AJ89" s="0" t="str">
        <f aca="false" t="array" ref="AJ89:AJ89">IFERROR(CONCATENATE(TEXT(INDEX($AI$7:$AI$85,SMALL(IF($AL$7:$AL$85&lt;&gt;"",IF($AI$7:$AI$85&lt;&gt;"",ROW($AI$7:$AI$85)-MIN(ROW($AI$7:$AI$85))+1,""),""),ROW()-ROW(A$87)+1)),"##0")," "),"")</f>
        <v/>
      </c>
      <c r="AK89" s="0" t="str">
        <f aca="false" t="array" ref="AK89:AK89">IFERROR(CONCATENATE((INDEX($A$7:$A$85,SMALL(IF($AL$7:$AL$85&lt;&gt;"",IF($AI$7:$AI$85&lt;&gt;"",ROW($AI$7:$AI$85)-MIN(ROW($AI$7:$AI$85))+1,""),""),ROW()-ROW(A$87)+1))),),"")</f>
        <v/>
      </c>
    </row>
    <row r="90" customFormat="false" ht="15" hidden="false" customHeight="false" outlineLevel="0" collapsed="false">
      <c r="K90" s="0" t="str">
        <f aca="false" t="array" ref="K90:K90">IFERROR(CONCATENATE(TEXT(INDEX($K$7:$K$85,SMALL(IF($N$7:$N$85&lt;&gt;"",IF($K$7:$K$85&lt;&gt;"",ROW($K$7:$K$85)-MIN(ROW($K$7:$K$85))+1,""),""),ROW()-ROW(A$87)+1)),"##0"),","),"")</f>
        <v/>
      </c>
      <c r="L90" s="0" t="str">
        <f aca="false" t="array" ref="L90:L90">IFERROR(CONCATENATE((INDEX($N$7:$N$85,SMALL(IF($N$7:$N$85&lt;&gt;"",IF($K$7:$K$85&lt;&gt;"",ROW($K$7:$K$85)-MIN(ROW($K$7:$K$85))+1,""),""),ROW()-ROW(A$87)+1))),","),"")</f>
        <v/>
      </c>
      <c r="M90" s="0" t="str">
        <f aca="false" t="array" ref="M90:M90">IFERROR(CONCATENATE((INDEX($A$7:$A$85,SMALL(IF($N$7:$N$85&lt;&gt;"",IF($K$7:$K$85&lt;&gt;"",ROW($K$7:$K$85)-MIN(ROW($K$7:$K$85))+1,""),""),ROW()-ROW(A$87)+1))),),"")</f>
        <v/>
      </c>
      <c r="Q90" s="0" t="str">
        <f aca="false" t="array" ref="Q90:Q90">IFERROR(CONCATENATE((INDEX($T$7:$T$85,SMALL(IF($T$7:$T$85&lt;&gt;"",IF($Q$7:$Q$85&lt;&gt;"",ROW($Q$7:$Q$85)-MIN(ROW($Q$7:$Q$85))+1,""),""),ROW()-ROW(A$87)+1)))," "),"")</f>
        <v/>
      </c>
      <c r="R90" s="0" t="str">
        <f aca="false" t="array" ref="R90:R90">IFERROR(CONCATENATE(TEXT(INDEX($Q$7:$Q$85,SMALL(IF($T$7:$T$85&lt;&gt;"",IF($Q$7:$Q$85&lt;&gt;"",ROW($Q$7:$Q$85)-MIN(ROW($Q$7:$Q$85))+1,""),""),ROW()-ROW(A$87)+1)),"##0")," "),"")</f>
        <v/>
      </c>
      <c r="S90" s="0" t="str">
        <f aca="false" t="array" ref="S90:S90">IFERROR(CONCATENATE((INDEX($A$7:$A$85,SMALL(IF($T$7:$T$85&lt;&gt;"",IF($Q$7:$Q$85&lt;&gt;"",ROW($Q$7:$Q$85)-MIN(ROW($Q$7:$Q$85))+1,""),""),ROW()-ROW(A$87)+1))),),"")</f>
        <v/>
      </c>
      <c r="W90" s="0" t="str">
        <f aca="false" t="array" ref="W90:W90">IFERROR(CONCATENATE((INDEX($Z$7:$Z$85,SMALL(IF($Z$7:$Z$85&lt;&gt;"",IF($W$7:$W$85&lt;&gt;"",ROW($W$7:$W$85)-MIN(ROW($W$7:$W$85))+1,""),""),ROW()-ROW(A$87)+1)))," "),"")</f>
        <v/>
      </c>
      <c r="X90" s="0" t="str">
        <f aca="false" t="array" ref="X90:X90">IFERROR(CONCATENATE(TEXT(INDEX($W$7:$W$85,SMALL(IF($Z$7:$Z$85&lt;&gt;"",IF($W$7:$W$85&lt;&gt;"",ROW($W$7:$W$85)-MIN(ROW($W$7:$W$85))+1,""),""),ROW()-ROW(A$87)+1)),"##0")," "),"")</f>
        <v/>
      </c>
      <c r="Y90" s="0" t="str">
        <f aca="false" t="array" ref="Y90:Y90">IFERROR(CONCATENATE((INDEX($A$7:$A$85,SMALL(IF($Z$7:$Z$85&lt;&gt;"",IF($W$7:$W$85&lt;&gt;"",ROW($W$7:$W$85)-MIN(ROW($W$7:$W$85))+1,""),""),ROW()-ROW(A$87)+1))),),"")</f>
        <v/>
      </c>
      <c r="AC90" s="0" t="str">
        <f aca="false" t="array" ref="AC90:AC90">IFERROR(CONCATENATE((INDEX($AF$7:$AF$85,SMALL(IF($AF$7:$AF$85&lt;&gt;"",IF($AC$7:$AC$85&lt;&gt;"",ROW($AC$7:$AC$85)-MIN(ROW($AC$7:$AC$85))+1,""),""),ROW()-ROW(A$87)+1))),","),"")</f>
        <v/>
      </c>
      <c r="AD90" s="0" t="str">
        <f aca="false" t="array" ref="AD90:AD90">IFERROR(CONCATENATE(TEXT(INDEX($AC$7:$AC$85,SMALL(IF($AF$7:$AF$85&lt;&gt;"",IF($AC$7:$AC$85&lt;&gt;"",ROW($AC$7:$AC$85)-MIN(ROW($AC$7:$AC$85))+1,""),""),ROW()-ROW(A$87)+1)),"##0"),","),"")</f>
        <v/>
      </c>
      <c r="AE90" s="0" t="str">
        <f aca="false" t="array" ref="AE90:AE90">IFERROR(CONCATENATE((INDEX($A$7:$A$85,SMALL(IF($AF$7:$AF$85&lt;&gt;"",IF($AC$7:$AC$85&lt;&gt;"",ROW($AC$7:$AC$85)-MIN(ROW($AC$7:$AC$85))+1,""),""),ROW()-ROW(A$87)+1))),),"")</f>
        <v/>
      </c>
      <c r="AI90" s="0" t="str">
        <f aca="false" t="array" ref="AI90:AI90">IFERROR(CONCATENATE((INDEX($AL$7:$AL$85,SMALL(IF($AL$7:$AL$85&lt;&gt;"",IF($AI$7:$AI$85&lt;&gt;"",ROW($AI$7:$AI$85)-MIN(ROW($AI$7:$AI$85))+1,""),""),ROW()-ROW(A$87)+1)))," "),"")</f>
        <v/>
      </c>
      <c r="AJ90" s="0" t="str">
        <f aca="false" t="array" ref="AJ90:AJ90">IFERROR(CONCATENATE(TEXT(INDEX($AI$7:$AI$85,SMALL(IF($AL$7:$AL$85&lt;&gt;"",IF($AI$7:$AI$85&lt;&gt;"",ROW($AI$7:$AI$85)-MIN(ROW($AI$7:$AI$85))+1,""),""),ROW()-ROW(A$87)+1)),"##0")," "),"")</f>
        <v/>
      </c>
      <c r="AK90" s="0" t="str">
        <f aca="false" t="array" ref="AK90:AK90">IFERROR(CONCATENATE((INDEX($A$7:$A$85,SMALL(IF($AL$7:$AL$85&lt;&gt;"",IF($AI$7:$AI$85&lt;&gt;"",ROW($AI$7:$AI$85)-MIN(ROW($AI$7:$AI$85))+1,""),""),ROW()-ROW(A$87)+1))),),"")</f>
        <v/>
      </c>
    </row>
    <row r="91" customFormat="false" ht="15" hidden="false" customHeight="false" outlineLevel="0" collapsed="false">
      <c r="K91" s="0" t="str">
        <f aca="false" t="array" ref="K91:K91">IFERROR(CONCATENATE(TEXT(INDEX($K$7:$K$85,SMALL(IF($N$7:$N$85&lt;&gt;"",IF($K$7:$K$85&lt;&gt;"",ROW($K$7:$K$85)-MIN(ROW($K$7:$K$85))+1,""),""),ROW()-ROW(A$87)+1)),"##0"),","),"")</f>
        <v/>
      </c>
      <c r="L91" s="0" t="str">
        <f aca="false" t="array" ref="L91:L91">IFERROR(CONCATENATE((INDEX($N$7:$N$85,SMALL(IF($N$7:$N$85&lt;&gt;"",IF($K$7:$K$85&lt;&gt;"",ROW($K$7:$K$85)-MIN(ROW($K$7:$K$85))+1,""),""),ROW()-ROW(A$87)+1))),","),"")</f>
        <v/>
      </c>
      <c r="M91" s="0" t="str">
        <f aca="false" t="array" ref="M91:M91">IFERROR(CONCATENATE((INDEX($A$7:$A$85,SMALL(IF($N$7:$N$85&lt;&gt;"",IF($K$7:$K$85&lt;&gt;"",ROW($K$7:$K$85)-MIN(ROW($K$7:$K$85))+1,""),""),ROW()-ROW(A$87)+1))),),"")</f>
        <v/>
      </c>
      <c r="Q91" s="0" t="str">
        <f aca="false" t="array" ref="Q91:Q91">IFERROR(CONCATENATE((INDEX($T$7:$T$85,SMALL(IF($T$7:$T$85&lt;&gt;"",IF($Q$7:$Q$85&lt;&gt;"",ROW($Q$7:$Q$85)-MIN(ROW($Q$7:$Q$85))+1,""),""),ROW()-ROW(A$87)+1)))," "),"")</f>
        <v/>
      </c>
      <c r="R91" s="0" t="str">
        <f aca="false" t="array" ref="R91:R91">IFERROR(CONCATENATE(TEXT(INDEX($Q$7:$Q$85,SMALL(IF($T$7:$T$85&lt;&gt;"",IF($Q$7:$Q$85&lt;&gt;"",ROW($Q$7:$Q$85)-MIN(ROW($Q$7:$Q$85))+1,""),""),ROW()-ROW(A$87)+1)),"##0")," "),"")</f>
        <v/>
      </c>
      <c r="S91" s="0" t="str">
        <f aca="false" t="array" ref="S91:S91">IFERROR(CONCATENATE((INDEX($A$7:$A$85,SMALL(IF($T$7:$T$85&lt;&gt;"",IF($Q$7:$Q$85&lt;&gt;"",ROW($Q$7:$Q$85)-MIN(ROW($Q$7:$Q$85))+1,""),""),ROW()-ROW(A$87)+1))),),"")</f>
        <v/>
      </c>
      <c r="W91" s="0" t="str">
        <f aca="false" t="array" ref="W91:W91">IFERROR(CONCATENATE((INDEX($Z$7:$Z$85,SMALL(IF($Z$7:$Z$85&lt;&gt;"",IF($W$7:$W$85&lt;&gt;"",ROW($W$7:$W$85)-MIN(ROW($W$7:$W$85))+1,""),""),ROW()-ROW(A$87)+1)))," "),"")</f>
        <v/>
      </c>
      <c r="X91" s="0" t="str">
        <f aca="false" t="array" ref="X91:X91">IFERROR(CONCATENATE(TEXT(INDEX($W$7:$W$85,SMALL(IF($Z$7:$Z$85&lt;&gt;"",IF($W$7:$W$85&lt;&gt;"",ROW($W$7:$W$85)-MIN(ROW($W$7:$W$85))+1,""),""),ROW()-ROW(A$87)+1)),"##0")," "),"")</f>
        <v/>
      </c>
      <c r="Y91" s="0" t="str">
        <f aca="false" t="array" ref="Y91:Y91">IFERROR(CONCATENATE((INDEX($A$7:$A$85,SMALL(IF($Z$7:$Z$85&lt;&gt;"",IF($W$7:$W$85&lt;&gt;"",ROW($W$7:$W$85)-MIN(ROW($W$7:$W$85))+1,""),""),ROW()-ROW(A$87)+1))),),"")</f>
        <v/>
      </c>
      <c r="AC91" s="0" t="str">
        <f aca="false" t="array" ref="AC91:AC91">IFERROR(CONCATENATE((INDEX($AF$7:$AF$85,SMALL(IF($AF$7:$AF$85&lt;&gt;"",IF($AC$7:$AC$85&lt;&gt;"",ROW($AC$7:$AC$85)-MIN(ROW($AC$7:$AC$85))+1,""),""),ROW()-ROW(A$87)+1))),","),"")</f>
        <v/>
      </c>
      <c r="AD91" s="0" t="str">
        <f aca="false" t="array" ref="AD91:AD91">IFERROR(CONCATENATE(TEXT(INDEX($AC$7:$AC$85,SMALL(IF($AF$7:$AF$85&lt;&gt;"",IF($AC$7:$AC$85&lt;&gt;"",ROW($AC$7:$AC$85)-MIN(ROW($AC$7:$AC$85))+1,""),""),ROW()-ROW(A$87)+1)),"##0"),","),"")</f>
        <v/>
      </c>
      <c r="AE91" s="0" t="str">
        <f aca="false" t="array" ref="AE91:AE91">IFERROR(CONCATENATE((INDEX($A$7:$A$85,SMALL(IF($AF$7:$AF$85&lt;&gt;"",IF($AC$7:$AC$85&lt;&gt;"",ROW($AC$7:$AC$85)-MIN(ROW($AC$7:$AC$85))+1,""),""),ROW()-ROW(A$87)+1))),),"")</f>
        <v/>
      </c>
      <c r="AI91" s="0" t="str">
        <f aca="false" t="array" ref="AI91:AI91">IFERROR(CONCATENATE((INDEX($AL$7:$AL$85,SMALL(IF($AL$7:$AL$85&lt;&gt;"",IF($AI$7:$AI$85&lt;&gt;"",ROW($AI$7:$AI$85)-MIN(ROW($AI$7:$AI$85))+1,""),""),ROW()-ROW(A$87)+1)))," "),"")</f>
        <v/>
      </c>
      <c r="AJ91" s="0" t="str">
        <f aca="false" t="array" ref="AJ91:AJ91">IFERROR(CONCATENATE(TEXT(INDEX($AI$7:$AI$85,SMALL(IF($AL$7:$AL$85&lt;&gt;"",IF($AI$7:$AI$85&lt;&gt;"",ROW($AI$7:$AI$85)-MIN(ROW($AI$7:$AI$85))+1,""),""),ROW()-ROW(A$87)+1)),"##0")," "),"")</f>
        <v/>
      </c>
      <c r="AK91" s="0" t="str">
        <f aca="false" t="array" ref="AK91:AK91">IFERROR(CONCATENATE((INDEX($A$7:$A$85,SMALL(IF($AL$7:$AL$85&lt;&gt;"",IF($AI$7:$AI$85&lt;&gt;"",ROW($AI$7:$AI$85)-MIN(ROW($AI$7:$AI$85))+1,""),""),ROW()-ROW(A$87)+1))),),"")</f>
        <v/>
      </c>
    </row>
    <row r="92" customFormat="false" ht="15" hidden="false" customHeight="false" outlineLevel="0" collapsed="false">
      <c r="K92" s="0" t="str">
        <f aca="false" t="array" ref="K92:K92">IFERROR(CONCATENATE(TEXT(INDEX($K$7:$K$85,SMALL(IF($N$7:$N$85&lt;&gt;"",IF($K$7:$K$85&lt;&gt;"",ROW($K$7:$K$85)-MIN(ROW($K$7:$K$85))+1,""),""),ROW()-ROW(A$87)+1)),"##0"),","),"")</f>
        <v/>
      </c>
      <c r="L92" s="0" t="str">
        <f aca="false" t="array" ref="L92:L92">IFERROR(CONCATENATE((INDEX($N$7:$N$85,SMALL(IF($N$7:$N$85&lt;&gt;"",IF($K$7:$K$85&lt;&gt;"",ROW($K$7:$K$85)-MIN(ROW($K$7:$K$85))+1,""),""),ROW()-ROW(A$87)+1))),","),"")</f>
        <v/>
      </c>
      <c r="M92" s="0" t="str">
        <f aca="false" t="array" ref="M92:M92">IFERROR(CONCATENATE((INDEX($A$7:$A$85,SMALL(IF($N$7:$N$85&lt;&gt;"",IF($K$7:$K$85&lt;&gt;"",ROW($K$7:$K$85)-MIN(ROW($K$7:$K$85))+1,""),""),ROW()-ROW(A$87)+1))),),"")</f>
        <v/>
      </c>
      <c r="Q92" s="0" t="str">
        <f aca="false" t="array" ref="Q92:Q92">IFERROR(CONCATENATE((INDEX($T$7:$T$85,SMALL(IF($T$7:$T$85&lt;&gt;"",IF($Q$7:$Q$85&lt;&gt;"",ROW($Q$7:$Q$85)-MIN(ROW($Q$7:$Q$85))+1,""),""),ROW()-ROW(A$87)+1)))," "),"")</f>
        <v/>
      </c>
      <c r="R92" s="0" t="str">
        <f aca="false" t="array" ref="R92:R92">IFERROR(CONCATENATE(TEXT(INDEX($Q$7:$Q$85,SMALL(IF($T$7:$T$85&lt;&gt;"",IF($Q$7:$Q$85&lt;&gt;"",ROW($Q$7:$Q$85)-MIN(ROW($Q$7:$Q$85))+1,""),""),ROW()-ROW(A$87)+1)),"##0")," "),"")</f>
        <v/>
      </c>
      <c r="S92" s="0" t="str">
        <f aca="false" t="array" ref="S92:S92">IFERROR(CONCATENATE((INDEX($A$7:$A$85,SMALL(IF($T$7:$T$85&lt;&gt;"",IF($Q$7:$Q$85&lt;&gt;"",ROW($Q$7:$Q$85)-MIN(ROW($Q$7:$Q$85))+1,""),""),ROW()-ROW(A$87)+1))),),"")</f>
        <v/>
      </c>
      <c r="W92" s="0" t="str">
        <f aca="false" t="array" ref="W92:W92">IFERROR(CONCATENATE((INDEX($Z$7:$Z$85,SMALL(IF($Z$7:$Z$85&lt;&gt;"",IF($W$7:$W$85&lt;&gt;"",ROW($W$7:$W$85)-MIN(ROW($W$7:$W$85))+1,""),""),ROW()-ROW(A$87)+1)))," "),"")</f>
        <v/>
      </c>
      <c r="X92" s="0" t="str">
        <f aca="false" t="array" ref="X92:X92">IFERROR(CONCATENATE(TEXT(INDEX($W$7:$W$85,SMALL(IF($Z$7:$Z$85&lt;&gt;"",IF($W$7:$W$85&lt;&gt;"",ROW($W$7:$W$85)-MIN(ROW($W$7:$W$85))+1,""),""),ROW()-ROW(A$87)+1)),"##0")," "),"")</f>
        <v/>
      </c>
      <c r="Y92" s="0" t="str">
        <f aca="false" t="array" ref="Y92:Y92">IFERROR(CONCATENATE((INDEX($A$7:$A$85,SMALL(IF($Z$7:$Z$85&lt;&gt;"",IF($W$7:$W$85&lt;&gt;"",ROW($W$7:$W$85)-MIN(ROW($W$7:$W$85))+1,""),""),ROW()-ROW(A$87)+1))),),"")</f>
        <v/>
      </c>
      <c r="AC92" s="0" t="str">
        <f aca="false" t="array" ref="AC92:AC92">IFERROR(CONCATENATE((INDEX($AF$7:$AF$85,SMALL(IF($AF$7:$AF$85&lt;&gt;"",IF($AC$7:$AC$85&lt;&gt;"",ROW($AC$7:$AC$85)-MIN(ROW($AC$7:$AC$85))+1,""),""),ROW()-ROW(A$87)+1))),","),"")</f>
        <v/>
      </c>
      <c r="AD92" s="0" t="str">
        <f aca="false" t="array" ref="AD92:AD92">IFERROR(CONCATENATE(TEXT(INDEX($AC$7:$AC$85,SMALL(IF($AF$7:$AF$85&lt;&gt;"",IF($AC$7:$AC$85&lt;&gt;"",ROW($AC$7:$AC$85)-MIN(ROW($AC$7:$AC$85))+1,""),""),ROW()-ROW(A$87)+1)),"##0"),","),"")</f>
        <v/>
      </c>
      <c r="AE92" s="0" t="str">
        <f aca="false" t="array" ref="AE92:AE92">IFERROR(CONCATENATE((INDEX($A$7:$A$85,SMALL(IF($AF$7:$AF$85&lt;&gt;"",IF($AC$7:$AC$85&lt;&gt;"",ROW($AC$7:$AC$85)-MIN(ROW($AC$7:$AC$85))+1,""),""),ROW()-ROW(A$87)+1))),),"")</f>
        <v/>
      </c>
      <c r="AI92" s="0" t="str">
        <f aca="false" t="array" ref="AI92:AI92">IFERROR(CONCATENATE((INDEX($AL$7:$AL$85,SMALL(IF($AL$7:$AL$85&lt;&gt;"",IF($AI$7:$AI$85&lt;&gt;"",ROW($AI$7:$AI$85)-MIN(ROW($AI$7:$AI$85))+1,""),""),ROW()-ROW(A$87)+1)))," "),"")</f>
        <v/>
      </c>
      <c r="AJ92" s="0" t="str">
        <f aca="false" t="array" ref="AJ92:AJ92">IFERROR(CONCATENATE(TEXT(INDEX($AI$7:$AI$85,SMALL(IF($AL$7:$AL$85&lt;&gt;"",IF($AI$7:$AI$85&lt;&gt;"",ROW($AI$7:$AI$85)-MIN(ROW($AI$7:$AI$85))+1,""),""),ROW()-ROW(A$87)+1)),"##0")," "),"")</f>
        <v/>
      </c>
      <c r="AK92" s="0" t="str">
        <f aca="false" t="array" ref="AK92:AK92">IFERROR(CONCATENATE((INDEX($A$7:$A$85,SMALL(IF($AL$7:$AL$85&lt;&gt;"",IF($AI$7:$AI$85&lt;&gt;"",ROW($AI$7:$AI$85)-MIN(ROW($AI$7:$AI$85))+1,""),""),ROW()-ROW(A$87)+1))),),"")</f>
        <v/>
      </c>
    </row>
    <row r="93" customFormat="false" ht="15" hidden="false" customHeight="false" outlineLevel="0" collapsed="false">
      <c r="K93" s="0" t="str">
        <f aca="false" t="array" ref="K93:K93">IFERROR(CONCATENATE(TEXT(INDEX($K$7:$K$85,SMALL(IF($N$7:$N$85&lt;&gt;"",IF($K$7:$K$85&lt;&gt;"",ROW($K$7:$K$85)-MIN(ROW($K$7:$K$85))+1,""),""),ROW()-ROW(A$87)+1)),"##0"),","),"")</f>
        <v/>
      </c>
      <c r="L93" s="0" t="str">
        <f aca="false" t="array" ref="L93:L93">IFERROR(CONCATENATE((INDEX($N$7:$N$85,SMALL(IF($N$7:$N$85&lt;&gt;"",IF($K$7:$K$85&lt;&gt;"",ROW($K$7:$K$85)-MIN(ROW($K$7:$K$85))+1,""),""),ROW()-ROW(A$87)+1))),","),"")</f>
        <v/>
      </c>
      <c r="M93" s="0" t="str">
        <f aca="false" t="array" ref="M93:M93">IFERROR(CONCATENATE((INDEX($A$7:$A$85,SMALL(IF($N$7:$N$85&lt;&gt;"",IF($K$7:$K$85&lt;&gt;"",ROW($K$7:$K$85)-MIN(ROW($K$7:$K$85))+1,""),""),ROW()-ROW(A$87)+1))),),"")</f>
        <v/>
      </c>
      <c r="Q93" s="0" t="str">
        <f aca="false" t="array" ref="Q93:Q93">IFERROR(CONCATENATE((INDEX($T$7:$T$85,SMALL(IF($T$7:$T$85&lt;&gt;"",IF($Q$7:$Q$85&lt;&gt;"",ROW($Q$7:$Q$85)-MIN(ROW($Q$7:$Q$85))+1,""),""),ROW()-ROW(A$87)+1)))," "),"")</f>
        <v/>
      </c>
      <c r="R93" s="0" t="str">
        <f aca="false" t="array" ref="R93:R93">IFERROR(CONCATENATE(TEXT(INDEX($Q$7:$Q$85,SMALL(IF($T$7:$T$85&lt;&gt;"",IF($Q$7:$Q$85&lt;&gt;"",ROW($Q$7:$Q$85)-MIN(ROW($Q$7:$Q$85))+1,""),""),ROW()-ROW(A$87)+1)),"##0")," "),"")</f>
        <v/>
      </c>
      <c r="S93" s="0" t="str">
        <f aca="false" t="array" ref="S93:S93">IFERROR(CONCATENATE((INDEX($A$7:$A$85,SMALL(IF($T$7:$T$85&lt;&gt;"",IF($Q$7:$Q$85&lt;&gt;"",ROW($Q$7:$Q$85)-MIN(ROW($Q$7:$Q$85))+1,""),""),ROW()-ROW(A$87)+1))),),"")</f>
        <v/>
      </c>
      <c r="W93" s="0" t="str">
        <f aca="false" t="array" ref="W93:W93">IFERROR(CONCATENATE((INDEX($Z$7:$Z$85,SMALL(IF($Z$7:$Z$85&lt;&gt;"",IF($W$7:$W$85&lt;&gt;"",ROW($W$7:$W$85)-MIN(ROW($W$7:$W$85))+1,""),""),ROW()-ROW(A$87)+1)))," "),"")</f>
        <v/>
      </c>
      <c r="X93" s="0" t="str">
        <f aca="false" t="array" ref="X93:X93">IFERROR(CONCATENATE(TEXT(INDEX($W$7:$W$85,SMALL(IF($Z$7:$Z$85&lt;&gt;"",IF($W$7:$W$85&lt;&gt;"",ROW($W$7:$W$85)-MIN(ROW($W$7:$W$85))+1,""),""),ROW()-ROW(A$87)+1)),"##0")," "),"")</f>
        <v/>
      </c>
      <c r="Y93" s="0" t="str">
        <f aca="false" t="array" ref="Y93:Y93">IFERROR(CONCATENATE((INDEX($A$7:$A$85,SMALL(IF($Z$7:$Z$85&lt;&gt;"",IF($W$7:$W$85&lt;&gt;"",ROW($W$7:$W$85)-MIN(ROW($W$7:$W$85))+1,""),""),ROW()-ROW(A$87)+1))),),"")</f>
        <v/>
      </c>
      <c r="AC93" s="0" t="str">
        <f aca="false" t="array" ref="AC93:AC93">IFERROR(CONCATENATE((INDEX($AF$7:$AF$85,SMALL(IF($AF$7:$AF$85&lt;&gt;"",IF($AC$7:$AC$85&lt;&gt;"",ROW($AC$7:$AC$85)-MIN(ROW($AC$7:$AC$85))+1,""),""),ROW()-ROW(A$87)+1))),","),"")</f>
        <v/>
      </c>
      <c r="AD93" s="0" t="str">
        <f aca="false" t="array" ref="AD93:AD93">IFERROR(CONCATENATE(TEXT(INDEX($AC$7:$AC$85,SMALL(IF($AF$7:$AF$85&lt;&gt;"",IF($AC$7:$AC$85&lt;&gt;"",ROW($AC$7:$AC$85)-MIN(ROW($AC$7:$AC$85))+1,""),""),ROW()-ROW(A$87)+1)),"##0"),","),"")</f>
        <v/>
      </c>
      <c r="AE93" s="0" t="str">
        <f aca="false" t="array" ref="AE93:AE93">IFERROR(CONCATENATE((INDEX($A$7:$A$85,SMALL(IF($AF$7:$AF$85&lt;&gt;"",IF($AC$7:$AC$85&lt;&gt;"",ROW($AC$7:$AC$85)-MIN(ROW($AC$7:$AC$85))+1,""),""),ROW()-ROW(A$87)+1))),),"")</f>
        <v/>
      </c>
      <c r="AI93" s="0" t="str">
        <f aca="false" t="array" ref="AI93:AI93">IFERROR(CONCATENATE((INDEX($AL$7:$AL$85,SMALL(IF($AL$7:$AL$85&lt;&gt;"",IF($AI$7:$AI$85&lt;&gt;"",ROW($AI$7:$AI$85)-MIN(ROW($AI$7:$AI$85))+1,""),""),ROW()-ROW(A$87)+1)))," "),"")</f>
        <v/>
      </c>
      <c r="AJ93" s="0" t="str">
        <f aca="false" t="array" ref="AJ93:AJ93">IFERROR(CONCATENATE(TEXT(INDEX($AI$7:$AI$85,SMALL(IF($AL$7:$AL$85&lt;&gt;"",IF($AI$7:$AI$85&lt;&gt;"",ROW($AI$7:$AI$85)-MIN(ROW($AI$7:$AI$85))+1,""),""),ROW()-ROW(A$87)+1)),"##0")," "),"")</f>
        <v/>
      </c>
      <c r="AK93" s="0" t="str">
        <f aca="false" t="array" ref="AK93:AK93">IFERROR(CONCATENATE((INDEX($A$7:$A$85,SMALL(IF($AL$7:$AL$85&lt;&gt;"",IF($AI$7:$AI$85&lt;&gt;"",ROW($AI$7:$AI$85)-MIN(ROW($AI$7:$AI$85))+1,""),""),ROW()-ROW(A$87)+1))),),"")</f>
        <v/>
      </c>
    </row>
    <row r="94" customFormat="false" ht="15" hidden="false" customHeight="false" outlineLevel="0" collapsed="false">
      <c r="K94" s="0" t="str">
        <f aca="false" t="array" ref="K94:K94">IFERROR(CONCATENATE(TEXT(INDEX($K$7:$K$85,SMALL(IF($N$7:$N$85&lt;&gt;"",IF($K$7:$K$85&lt;&gt;"",ROW($K$7:$K$85)-MIN(ROW($K$7:$K$85))+1,""),""),ROW()-ROW(A$87)+1)),"##0"),","),"")</f>
        <v/>
      </c>
      <c r="L94" s="0" t="str">
        <f aca="false" t="array" ref="L94:L94">IFERROR(CONCATENATE((INDEX($N$7:$N$85,SMALL(IF($N$7:$N$85&lt;&gt;"",IF($K$7:$K$85&lt;&gt;"",ROW($K$7:$K$85)-MIN(ROW($K$7:$K$85))+1,""),""),ROW()-ROW(A$87)+1))),","),"")</f>
        <v/>
      </c>
      <c r="M94" s="0" t="str">
        <f aca="false" t="array" ref="M94:M94">IFERROR(CONCATENATE((INDEX($A$7:$A$85,SMALL(IF($N$7:$N$85&lt;&gt;"",IF($K$7:$K$85&lt;&gt;"",ROW($K$7:$K$85)-MIN(ROW($K$7:$K$85))+1,""),""),ROW()-ROW(A$87)+1))),),"")</f>
        <v/>
      </c>
      <c r="Q94" s="0" t="str">
        <f aca="false" t="array" ref="Q94:Q94">IFERROR(CONCATENATE((INDEX($T$7:$T$85,SMALL(IF($T$7:$T$85&lt;&gt;"",IF($Q$7:$Q$85&lt;&gt;"",ROW($Q$7:$Q$85)-MIN(ROW($Q$7:$Q$85))+1,""),""),ROW()-ROW(A$87)+1)))," "),"")</f>
        <v/>
      </c>
      <c r="R94" s="0" t="str">
        <f aca="false" t="array" ref="R94:R94">IFERROR(CONCATENATE(TEXT(INDEX($Q$7:$Q$85,SMALL(IF($T$7:$T$85&lt;&gt;"",IF($Q$7:$Q$85&lt;&gt;"",ROW($Q$7:$Q$85)-MIN(ROW($Q$7:$Q$85))+1,""),""),ROW()-ROW(A$87)+1)),"##0")," "),"")</f>
        <v/>
      </c>
      <c r="S94" s="0" t="str">
        <f aca="false" t="array" ref="S94:S94">IFERROR(CONCATENATE((INDEX($A$7:$A$85,SMALL(IF($T$7:$T$85&lt;&gt;"",IF($Q$7:$Q$85&lt;&gt;"",ROW($Q$7:$Q$85)-MIN(ROW($Q$7:$Q$85))+1,""),""),ROW()-ROW(A$87)+1))),),"")</f>
        <v/>
      </c>
      <c r="W94" s="0" t="str">
        <f aca="false" t="array" ref="W94:W94">IFERROR(CONCATENATE((INDEX($Z$7:$Z$85,SMALL(IF($Z$7:$Z$85&lt;&gt;"",IF($W$7:$W$85&lt;&gt;"",ROW($W$7:$W$85)-MIN(ROW($W$7:$W$85))+1,""),""),ROW()-ROW(A$87)+1)))," "),"")</f>
        <v/>
      </c>
      <c r="X94" s="0" t="str">
        <f aca="false" t="array" ref="X94:X94">IFERROR(CONCATENATE(TEXT(INDEX($W$7:$W$85,SMALL(IF($Z$7:$Z$85&lt;&gt;"",IF($W$7:$W$85&lt;&gt;"",ROW($W$7:$W$85)-MIN(ROW($W$7:$W$85))+1,""),""),ROW()-ROW(A$87)+1)),"##0")," "),"")</f>
        <v/>
      </c>
      <c r="Y94" s="0" t="str">
        <f aca="false" t="array" ref="Y94:Y94">IFERROR(CONCATENATE((INDEX($A$7:$A$85,SMALL(IF($Z$7:$Z$85&lt;&gt;"",IF($W$7:$W$85&lt;&gt;"",ROW($W$7:$W$85)-MIN(ROW($W$7:$W$85))+1,""),""),ROW()-ROW(A$87)+1))),),"")</f>
        <v/>
      </c>
      <c r="AC94" s="0" t="str">
        <f aca="false" t="array" ref="AC94:AC94">IFERROR(CONCATENATE((INDEX($AF$7:$AF$85,SMALL(IF($AF$7:$AF$85&lt;&gt;"",IF($AC$7:$AC$85&lt;&gt;"",ROW($AC$7:$AC$85)-MIN(ROW($AC$7:$AC$85))+1,""),""),ROW()-ROW(A$87)+1))),","),"")</f>
        <v/>
      </c>
      <c r="AD94" s="0" t="str">
        <f aca="false" t="array" ref="AD94:AD94">IFERROR(CONCATENATE(TEXT(INDEX($AC$7:$AC$85,SMALL(IF($AF$7:$AF$85&lt;&gt;"",IF($AC$7:$AC$85&lt;&gt;"",ROW($AC$7:$AC$85)-MIN(ROW($AC$7:$AC$85))+1,""),""),ROW()-ROW(A$87)+1)),"##0"),","),"")</f>
        <v/>
      </c>
      <c r="AE94" s="0" t="str">
        <f aca="false" t="array" ref="AE94:AE94">IFERROR(CONCATENATE((INDEX($A$7:$A$85,SMALL(IF($AF$7:$AF$85&lt;&gt;"",IF($AC$7:$AC$85&lt;&gt;"",ROW($AC$7:$AC$85)-MIN(ROW($AC$7:$AC$85))+1,""),""),ROW()-ROW(A$87)+1))),),"")</f>
        <v/>
      </c>
      <c r="AI94" s="0" t="str">
        <f aca="false" t="array" ref="AI94:AI94">IFERROR(CONCATENATE((INDEX($AL$7:$AL$85,SMALL(IF($AL$7:$AL$85&lt;&gt;"",IF($AI$7:$AI$85&lt;&gt;"",ROW($AI$7:$AI$85)-MIN(ROW($AI$7:$AI$85))+1,""),""),ROW()-ROW(A$87)+1)))," "),"")</f>
        <v/>
      </c>
      <c r="AJ94" s="0" t="str">
        <f aca="false" t="array" ref="AJ94:AJ94">IFERROR(CONCATENATE(TEXT(INDEX($AI$7:$AI$85,SMALL(IF($AL$7:$AL$85&lt;&gt;"",IF($AI$7:$AI$85&lt;&gt;"",ROW($AI$7:$AI$85)-MIN(ROW($AI$7:$AI$85))+1,""),""),ROW()-ROW(A$87)+1)),"##0")," "),"")</f>
        <v/>
      </c>
      <c r="AK94" s="0" t="str">
        <f aca="false" t="array" ref="AK94:AK94">IFERROR(CONCATENATE((INDEX($A$7:$A$85,SMALL(IF($AL$7:$AL$85&lt;&gt;"",IF($AI$7:$AI$85&lt;&gt;"",ROW($AI$7:$AI$85)-MIN(ROW($AI$7:$AI$85))+1,""),""),ROW()-ROW(A$87)+1))),),"")</f>
        <v/>
      </c>
    </row>
    <row r="95" customFormat="false" ht="15" hidden="false" customHeight="false" outlineLevel="0" collapsed="false">
      <c r="K95" s="0" t="str">
        <f aca="false" t="array" ref="K95:K95">IFERROR(CONCATENATE(TEXT(INDEX($K$7:$K$85,SMALL(IF($N$7:$N$85&lt;&gt;"",IF($K$7:$K$85&lt;&gt;"",ROW($K$7:$K$85)-MIN(ROW($K$7:$K$85))+1,""),""),ROW()-ROW(A$87)+1)),"##0"),","),"")</f>
        <v/>
      </c>
      <c r="L95" s="0" t="str">
        <f aca="false" t="array" ref="L95:L95">IFERROR(CONCATENATE((INDEX($N$7:$N$85,SMALL(IF($N$7:$N$85&lt;&gt;"",IF($K$7:$K$85&lt;&gt;"",ROW($K$7:$K$85)-MIN(ROW($K$7:$K$85))+1,""),""),ROW()-ROW(A$87)+1))),","),"")</f>
        <v/>
      </c>
      <c r="M95" s="0" t="str">
        <f aca="false" t="array" ref="M95:M95">IFERROR(CONCATENATE((INDEX($A$7:$A$85,SMALL(IF($N$7:$N$85&lt;&gt;"",IF($K$7:$K$85&lt;&gt;"",ROW($K$7:$K$85)-MIN(ROW($K$7:$K$85))+1,""),""),ROW()-ROW(A$87)+1))),),"")</f>
        <v/>
      </c>
      <c r="Q95" s="0" t="str">
        <f aca="false" t="array" ref="Q95:Q95">IFERROR(CONCATENATE((INDEX($T$7:$T$85,SMALL(IF($T$7:$T$85&lt;&gt;"",IF($Q$7:$Q$85&lt;&gt;"",ROW($Q$7:$Q$85)-MIN(ROW($Q$7:$Q$85))+1,""),""),ROW()-ROW(A$87)+1)))," "),"")</f>
        <v/>
      </c>
      <c r="R95" s="0" t="str">
        <f aca="false" t="array" ref="R95:R95">IFERROR(CONCATENATE(TEXT(INDEX($Q$7:$Q$85,SMALL(IF($T$7:$T$85&lt;&gt;"",IF($Q$7:$Q$85&lt;&gt;"",ROW($Q$7:$Q$85)-MIN(ROW($Q$7:$Q$85))+1,""),""),ROW()-ROW(A$87)+1)),"##0")," "),"")</f>
        <v/>
      </c>
      <c r="S95" s="0" t="str">
        <f aca="false" t="array" ref="S95:S95">IFERROR(CONCATENATE((INDEX($A$7:$A$85,SMALL(IF($T$7:$T$85&lt;&gt;"",IF($Q$7:$Q$85&lt;&gt;"",ROW($Q$7:$Q$85)-MIN(ROW($Q$7:$Q$85))+1,""),""),ROW()-ROW(A$87)+1))),),"")</f>
        <v/>
      </c>
      <c r="W95" s="0" t="str">
        <f aca="false" t="array" ref="W95:W95">IFERROR(CONCATENATE((INDEX($Z$7:$Z$85,SMALL(IF($Z$7:$Z$85&lt;&gt;"",IF($W$7:$W$85&lt;&gt;"",ROW($W$7:$W$85)-MIN(ROW($W$7:$W$85))+1,""),""),ROW()-ROW(A$87)+1)))," "),"")</f>
        <v/>
      </c>
      <c r="X95" s="0" t="str">
        <f aca="false" t="array" ref="X95:X95">IFERROR(CONCATENATE(TEXT(INDEX($W$7:$W$85,SMALL(IF($Z$7:$Z$85&lt;&gt;"",IF($W$7:$W$85&lt;&gt;"",ROW($W$7:$W$85)-MIN(ROW($W$7:$W$85))+1,""),""),ROW()-ROW(A$87)+1)),"##0")," "),"")</f>
        <v/>
      </c>
      <c r="Y95" s="0" t="str">
        <f aca="false" t="array" ref="Y95:Y95">IFERROR(CONCATENATE((INDEX($A$7:$A$85,SMALL(IF($Z$7:$Z$85&lt;&gt;"",IF($W$7:$W$85&lt;&gt;"",ROW($W$7:$W$85)-MIN(ROW($W$7:$W$85))+1,""),""),ROW()-ROW(A$87)+1))),),"")</f>
        <v/>
      </c>
      <c r="AC95" s="0" t="str">
        <f aca="false" t="array" ref="AC95:AC95">IFERROR(CONCATENATE((INDEX($AF$7:$AF$85,SMALL(IF($AF$7:$AF$85&lt;&gt;"",IF($AC$7:$AC$85&lt;&gt;"",ROW($AC$7:$AC$85)-MIN(ROW($AC$7:$AC$85))+1,""),""),ROW()-ROW(A$87)+1))),","),"")</f>
        <v/>
      </c>
      <c r="AD95" s="0" t="str">
        <f aca="false" t="array" ref="AD95:AD95">IFERROR(CONCATENATE(TEXT(INDEX($AC$7:$AC$85,SMALL(IF($AF$7:$AF$85&lt;&gt;"",IF($AC$7:$AC$85&lt;&gt;"",ROW($AC$7:$AC$85)-MIN(ROW($AC$7:$AC$85))+1,""),""),ROW()-ROW(A$87)+1)),"##0"),","),"")</f>
        <v/>
      </c>
      <c r="AE95" s="0" t="str">
        <f aca="false" t="array" ref="AE95:AE95">IFERROR(CONCATENATE((INDEX($A$7:$A$85,SMALL(IF($AF$7:$AF$85&lt;&gt;"",IF($AC$7:$AC$85&lt;&gt;"",ROW($AC$7:$AC$85)-MIN(ROW($AC$7:$AC$85))+1,""),""),ROW()-ROW(A$87)+1))),),"")</f>
        <v/>
      </c>
      <c r="AI95" s="0" t="str">
        <f aca="false" t="array" ref="AI95:AI95">IFERROR(CONCATENATE((INDEX($AL$7:$AL$85,SMALL(IF($AL$7:$AL$85&lt;&gt;"",IF($AI$7:$AI$85&lt;&gt;"",ROW($AI$7:$AI$85)-MIN(ROW($AI$7:$AI$85))+1,""),""),ROW()-ROW(A$87)+1)))," "),"")</f>
        <v/>
      </c>
      <c r="AJ95" s="0" t="str">
        <f aca="false" t="array" ref="AJ95:AJ95">IFERROR(CONCATENATE(TEXT(INDEX($AI$7:$AI$85,SMALL(IF($AL$7:$AL$85&lt;&gt;"",IF($AI$7:$AI$85&lt;&gt;"",ROW($AI$7:$AI$85)-MIN(ROW($AI$7:$AI$85))+1,""),""),ROW()-ROW(A$87)+1)),"##0")," "),"")</f>
        <v/>
      </c>
      <c r="AK95" s="0" t="str">
        <f aca="false" t="array" ref="AK95:AK95">IFERROR(CONCATENATE((INDEX($A$7:$A$85,SMALL(IF($AL$7:$AL$85&lt;&gt;"",IF($AI$7:$AI$85&lt;&gt;"",ROW($AI$7:$AI$85)-MIN(ROW($AI$7:$AI$85))+1,""),""),ROW()-ROW(A$87)+1))),),"")</f>
        <v/>
      </c>
    </row>
    <row r="96" customFormat="false" ht="15" hidden="false" customHeight="false" outlineLevel="0" collapsed="false">
      <c r="K96" s="0" t="str">
        <f aca="false" t="array" ref="K96:K96">IFERROR(CONCATENATE(TEXT(INDEX($K$7:$K$85,SMALL(IF($N$7:$N$85&lt;&gt;"",IF($K$7:$K$85&lt;&gt;"",ROW($K$7:$K$85)-MIN(ROW($K$7:$K$85))+1,""),""),ROW()-ROW(A$87)+1)),"##0"),","),"")</f>
        <v/>
      </c>
      <c r="L96" s="0" t="str">
        <f aca="false" t="array" ref="L96:L96">IFERROR(CONCATENATE((INDEX($N$7:$N$85,SMALL(IF($N$7:$N$85&lt;&gt;"",IF($K$7:$K$85&lt;&gt;"",ROW($K$7:$K$85)-MIN(ROW($K$7:$K$85))+1,""),""),ROW()-ROW(A$87)+1))),","),"")</f>
        <v/>
      </c>
      <c r="M96" s="0" t="str">
        <f aca="false" t="array" ref="M96:M96">IFERROR(CONCATENATE((INDEX($A$7:$A$85,SMALL(IF($N$7:$N$85&lt;&gt;"",IF($K$7:$K$85&lt;&gt;"",ROW($K$7:$K$85)-MIN(ROW($K$7:$K$85))+1,""),""),ROW()-ROW(A$87)+1))),),"")</f>
        <v/>
      </c>
      <c r="Q96" s="0" t="str">
        <f aca="false" t="array" ref="Q96:Q96">IFERROR(CONCATENATE((INDEX($T$7:$T$85,SMALL(IF($T$7:$T$85&lt;&gt;"",IF($Q$7:$Q$85&lt;&gt;"",ROW($Q$7:$Q$85)-MIN(ROW($Q$7:$Q$85))+1,""),""),ROW()-ROW(A$87)+1)))," "),"")</f>
        <v/>
      </c>
      <c r="R96" s="0" t="str">
        <f aca="false" t="array" ref="R96:R96">IFERROR(CONCATENATE(TEXT(INDEX($Q$7:$Q$85,SMALL(IF($T$7:$T$85&lt;&gt;"",IF($Q$7:$Q$85&lt;&gt;"",ROW($Q$7:$Q$85)-MIN(ROW($Q$7:$Q$85))+1,""),""),ROW()-ROW(A$87)+1)),"##0")," "),"")</f>
        <v/>
      </c>
      <c r="S96" s="0" t="str">
        <f aca="false" t="array" ref="S96:S96">IFERROR(CONCATENATE((INDEX($A$7:$A$85,SMALL(IF($T$7:$T$85&lt;&gt;"",IF($Q$7:$Q$85&lt;&gt;"",ROW($Q$7:$Q$85)-MIN(ROW($Q$7:$Q$85))+1,""),""),ROW()-ROW(A$87)+1))),),"")</f>
        <v/>
      </c>
      <c r="W96" s="0" t="str">
        <f aca="false" t="array" ref="W96:W96">IFERROR(CONCATENATE((INDEX($Z$7:$Z$85,SMALL(IF($Z$7:$Z$85&lt;&gt;"",IF($W$7:$W$85&lt;&gt;"",ROW($W$7:$W$85)-MIN(ROW($W$7:$W$85))+1,""),""),ROW()-ROW(A$87)+1)))," "),"")</f>
        <v/>
      </c>
      <c r="X96" s="0" t="str">
        <f aca="false" t="array" ref="X96:X96">IFERROR(CONCATENATE(TEXT(INDEX($W$7:$W$85,SMALL(IF($Z$7:$Z$85&lt;&gt;"",IF($W$7:$W$85&lt;&gt;"",ROW($W$7:$W$85)-MIN(ROW($W$7:$W$85))+1,""),""),ROW()-ROW(A$87)+1)),"##0")," "),"")</f>
        <v/>
      </c>
      <c r="Y96" s="0" t="str">
        <f aca="false" t="array" ref="Y96:Y96">IFERROR(CONCATENATE((INDEX($A$7:$A$85,SMALL(IF($Z$7:$Z$85&lt;&gt;"",IF($W$7:$W$85&lt;&gt;"",ROW($W$7:$W$85)-MIN(ROW($W$7:$W$85))+1,""),""),ROW()-ROW(A$87)+1))),),"")</f>
        <v/>
      </c>
      <c r="AC96" s="0" t="str">
        <f aca="false" t="array" ref="AC96:AC96">IFERROR(CONCATENATE((INDEX($AF$7:$AF$85,SMALL(IF($AF$7:$AF$85&lt;&gt;"",IF($AC$7:$AC$85&lt;&gt;"",ROW($AC$7:$AC$85)-MIN(ROW($AC$7:$AC$85))+1,""),""),ROW()-ROW(A$87)+1))),","),"")</f>
        <v/>
      </c>
      <c r="AD96" s="0" t="str">
        <f aca="false" t="array" ref="AD96:AD96">IFERROR(CONCATENATE(TEXT(INDEX($AC$7:$AC$85,SMALL(IF($AF$7:$AF$85&lt;&gt;"",IF($AC$7:$AC$85&lt;&gt;"",ROW($AC$7:$AC$85)-MIN(ROW($AC$7:$AC$85))+1,""),""),ROW()-ROW(A$87)+1)),"##0"),","),"")</f>
        <v/>
      </c>
      <c r="AE96" s="0" t="str">
        <f aca="false" t="array" ref="AE96:AE96">IFERROR(CONCATENATE((INDEX($A$7:$A$85,SMALL(IF($AF$7:$AF$85&lt;&gt;"",IF($AC$7:$AC$85&lt;&gt;"",ROW($AC$7:$AC$85)-MIN(ROW($AC$7:$AC$85))+1,""),""),ROW()-ROW(A$87)+1))),),"")</f>
        <v/>
      </c>
      <c r="AI96" s="0" t="str">
        <f aca="false" t="array" ref="AI96:AI96">IFERROR(CONCATENATE((INDEX($AL$7:$AL$85,SMALL(IF($AL$7:$AL$85&lt;&gt;"",IF($AI$7:$AI$85&lt;&gt;"",ROW($AI$7:$AI$85)-MIN(ROW($AI$7:$AI$85))+1,""),""),ROW()-ROW(A$87)+1)))," "),"")</f>
        <v/>
      </c>
      <c r="AJ96" s="0" t="str">
        <f aca="false" t="array" ref="AJ96:AJ96">IFERROR(CONCATENATE(TEXT(INDEX($AI$7:$AI$85,SMALL(IF($AL$7:$AL$85&lt;&gt;"",IF($AI$7:$AI$85&lt;&gt;"",ROW($AI$7:$AI$85)-MIN(ROW($AI$7:$AI$85))+1,""),""),ROW()-ROW(A$87)+1)),"##0")," "),"")</f>
        <v/>
      </c>
      <c r="AK96" s="0" t="str">
        <f aca="false" t="array" ref="AK96:AK96">IFERROR(CONCATENATE((INDEX($A$7:$A$85,SMALL(IF($AL$7:$AL$85&lt;&gt;"",IF($AI$7:$AI$85&lt;&gt;"",ROW($AI$7:$AI$85)-MIN(ROW($AI$7:$AI$85))+1,""),""),ROW()-ROW(A$87)+1))),),"")</f>
        <v/>
      </c>
    </row>
    <row r="97" customFormat="false" ht="15" hidden="false" customHeight="false" outlineLevel="0" collapsed="false">
      <c r="K97" s="0" t="str">
        <f aca="false" t="array" ref="K97:K97">IFERROR(CONCATENATE(TEXT(INDEX($K$7:$K$85,SMALL(IF($N$7:$N$85&lt;&gt;"",IF($K$7:$K$85&lt;&gt;"",ROW($K$7:$K$85)-MIN(ROW($K$7:$K$85))+1,""),""),ROW()-ROW(A$87)+1)),"##0"),","),"")</f>
        <v/>
      </c>
      <c r="L97" s="0" t="str">
        <f aca="false" t="array" ref="L97:L97">IFERROR(CONCATENATE((INDEX($N$7:$N$85,SMALL(IF($N$7:$N$85&lt;&gt;"",IF($K$7:$K$85&lt;&gt;"",ROW($K$7:$K$85)-MIN(ROW($K$7:$K$85))+1,""),""),ROW()-ROW(A$87)+1))),","),"")</f>
        <v/>
      </c>
      <c r="M97" s="0" t="str">
        <f aca="false" t="array" ref="M97:M97">IFERROR(CONCATENATE((INDEX($A$7:$A$85,SMALL(IF($N$7:$N$85&lt;&gt;"",IF($K$7:$K$85&lt;&gt;"",ROW($K$7:$K$85)-MIN(ROW($K$7:$K$85))+1,""),""),ROW()-ROW(A$87)+1))),),"")</f>
        <v/>
      </c>
      <c r="Q97" s="0" t="str">
        <f aca="false" t="array" ref="Q97:Q97">IFERROR(CONCATENATE((INDEX($T$7:$T$85,SMALL(IF($T$7:$T$85&lt;&gt;"",IF($Q$7:$Q$85&lt;&gt;"",ROW($Q$7:$Q$85)-MIN(ROW($Q$7:$Q$85))+1,""),""),ROW()-ROW(A$87)+1)))," "),"")</f>
        <v/>
      </c>
      <c r="R97" s="0" t="str">
        <f aca="false" t="array" ref="R97:R97">IFERROR(CONCATENATE(TEXT(INDEX($Q$7:$Q$85,SMALL(IF($T$7:$T$85&lt;&gt;"",IF($Q$7:$Q$85&lt;&gt;"",ROW($Q$7:$Q$85)-MIN(ROW($Q$7:$Q$85))+1,""),""),ROW()-ROW(A$87)+1)),"##0")," "),"")</f>
        <v/>
      </c>
      <c r="S97" s="0" t="str">
        <f aca="false" t="array" ref="S97:S97">IFERROR(CONCATENATE((INDEX($A$7:$A$85,SMALL(IF($T$7:$T$85&lt;&gt;"",IF($Q$7:$Q$85&lt;&gt;"",ROW($Q$7:$Q$85)-MIN(ROW($Q$7:$Q$85))+1,""),""),ROW()-ROW(A$87)+1))),),"")</f>
        <v/>
      </c>
      <c r="W97" s="0" t="str">
        <f aca="false" t="array" ref="W97:W97">IFERROR(CONCATENATE((INDEX($Z$7:$Z$85,SMALL(IF($Z$7:$Z$85&lt;&gt;"",IF($W$7:$W$85&lt;&gt;"",ROW($W$7:$W$85)-MIN(ROW($W$7:$W$85))+1,""),""),ROW()-ROW(A$87)+1)))," "),"")</f>
        <v/>
      </c>
      <c r="X97" s="0" t="str">
        <f aca="false" t="array" ref="X97:X97">IFERROR(CONCATENATE(TEXT(INDEX($W$7:$W$85,SMALL(IF($Z$7:$Z$85&lt;&gt;"",IF($W$7:$W$85&lt;&gt;"",ROW($W$7:$W$85)-MIN(ROW($W$7:$W$85))+1,""),""),ROW()-ROW(A$87)+1)),"##0")," "),"")</f>
        <v/>
      </c>
      <c r="Y97" s="0" t="str">
        <f aca="false" t="array" ref="Y97:Y97">IFERROR(CONCATENATE((INDEX($A$7:$A$85,SMALL(IF($Z$7:$Z$85&lt;&gt;"",IF($W$7:$W$85&lt;&gt;"",ROW($W$7:$W$85)-MIN(ROW($W$7:$W$85))+1,""),""),ROW()-ROW(A$87)+1))),),"")</f>
        <v/>
      </c>
      <c r="AC97" s="0" t="str">
        <f aca="false" t="array" ref="AC97:AC97">IFERROR(CONCATENATE((INDEX($AF$7:$AF$85,SMALL(IF($AF$7:$AF$85&lt;&gt;"",IF($AC$7:$AC$85&lt;&gt;"",ROW($AC$7:$AC$85)-MIN(ROW($AC$7:$AC$85))+1,""),""),ROW()-ROW(A$87)+1))),","),"")</f>
        <v/>
      </c>
      <c r="AD97" s="0" t="str">
        <f aca="false" t="array" ref="AD97:AD97">IFERROR(CONCATENATE(TEXT(INDEX($AC$7:$AC$85,SMALL(IF($AF$7:$AF$85&lt;&gt;"",IF($AC$7:$AC$85&lt;&gt;"",ROW($AC$7:$AC$85)-MIN(ROW($AC$7:$AC$85))+1,""),""),ROW()-ROW(A$87)+1)),"##0"),","),"")</f>
        <v/>
      </c>
      <c r="AE97" s="0" t="str">
        <f aca="false" t="array" ref="AE97:AE97">IFERROR(CONCATENATE((INDEX($A$7:$A$85,SMALL(IF($AF$7:$AF$85&lt;&gt;"",IF($AC$7:$AC$85&lt;&gt;"",ROW($AC$7:$AC$85)-MIN(ROW($AC$7:$AC$85))+1,""),""),ROW()-ROW(A$87)+1))),),"")</f>
        <v/>
      </c>
      <c r="AI97" s="0" t="str">
        <f aca="false" t="array" ref="AI97:AI97">IFERROR(CONCATENATE((INDEX($AL$7:$AL$85,SMALL(IF($AL$7:$AL$85&lt;&gt;"",IF($AI$7:$AI$85&lt;&gt;"",ROW($AI$7:$AI$85)-MIN(ROW($AI$7:$AI$85))+1,""),""),ROW()-ROW(A$87)+1)))," "),"")</f>
        <v/>
      </c>
      <c r="AJ97" s="0" t="str">
        <f aca="false" t="array" ref="AJ97:AJ97">IFERROR(CONCATENATE(TEXT(INDEX($AI$7:$AI$85,SMALL(IF($AL$7:$AL$85&lt;&gt;"",IF($AI$7:$AI$85&lt;&gt;"",ROW($AI$7:$AI$85)-MIN(ROW($AI$7:$AI$85))+1,""),""),ROW()-ROW(A$87)+1)),"##0")," "),"")</f>
        <v/>
      </c>
      <c r="AK97" s="0" t="str">
        <f aca="false" t="array" ref="AK97:AK97">IFERROR(CONCATENATE((INDEX($A$7:$A$85,SMALL(IF($AL$7:$AL$85&lt;&gt;"",IF($AI$7:$AI$85&lt;&gt;"",ROW($AI$7:$AI$85)-MIN(ROW($AI$7:$AI$85))+1,""),""),ROW()-ROW(A$87)+1))),),"")</f>
        <v/>
      </c>
    </row>
    <row r="98" customFormat="false" ht="15" hidden="false" customHeight="false" outlineLevel="0" collapsed="false">
      <c r="K98" s="0" t="str">
        <f aca="false" t="array" ref="K98:K98">IFERROR(CONCATENATE(TEXT(INDEX($K$7:$K$85,SMALL(IF($N$7:$N$85&lt;&gt;"",IF($K$7:$K$85&lt;&gt;"",ROW($K$7:$K$85)-MIN(ROW($K$7:$K$85))+1,""),""),ROW()-ROW(A$87)+1)),"##0"),","),"")</f>
        <v/>
      </c>
      <c r="L98" s="0" t="str">
        <f aca="false" t="array" ref="L98:L98">IFERROR(CONCATENATE((INDEX($N$7:$N$85,SMALL(IF($N$7:$N$85&lt;&gt;"",IF($K$7:$K$85&lt;&gt;"",ROW($K$7:$K$85)-MIN(ROW($K$7:$K$85))+1,""),""),ROW()-ROW(A$87)+1))),","),"")</f>
        <v/>
      </c>
      <c r="M98" s="0" t="str">
        <f aca="false" t="array" ref="M98:M98">IFERROR(CONCATENATE((INDEX($A$7:$A$85,SMALL(IF($N$7:$N$85&lt;&gt;"",IF($K$7:$K$85&lt;&gt;"",ROW($K$7:$K$85)-MIN(ROW($K$7:$K$85))+1,""),""),ROW()-ROW(A$87)+1))),),"")</f>
        <v/>
      </c>
      <c r="Q98" s="0" t="str">
        <f aca="false" t="array" ref="Q98:Q98">IFERROR(CONCATENATE((INDEX($T$7:$T$85,SMALL(IF($T$7:$T$85&lt;&gt;"",IF($Q$7:$Q$85&lt;&gt;"",ROW($Q$7:$Q$85)-MIN(ROW($Q$7:$Q$85))+1,""),""),ROW()-ROW(A$87)+1)))," "),"")</f>
        <v/>
      </c>
      <c r="R98" s="0" t="str">
        <f aca="false" t="array" ref="R98:R98">IFERROR(CONCATENATE(TEXT(INDEX($Q$7:$Q$85,SMALL(IF($T$7:$T$85&lt;&gt;"",IF($Q$7:$Q$85&lt;&gt;"",ROW($Q$7:$Q$85)-MIN(ROW($Q$7:$Q$85))+1,""),""),ROW()-ROW(A$87)+1)),"##0")," "),"")</f>
        <v/>
      </c>
      <c r="S98" s="0" t="str">
        <f aca="false" t="array" ref="S98:S98">IFERROR(CONCATENATE((INDEX($A$7:$A$85,SMALL(IF($T$7:$T$85&lt;&gt;"",IF($Q$7:$Q$85&lt;&gt;"",ROW($Q$7:$Q$85)-MIN(ROW($Q$7:$Q$85))+1,""),""),ROW()-ROW(A$87)+1))),),"")</f>
        <v/>
      </c>
      <c r="W98" s="0" t="str">
        <f aca="false" t="array" ref="W98:W98">IFERROR(CONCATENATE((INDEX($Z$7:$Z$85,SMALL(IF($Z$7:$Z$85&lt;&gt;"",IF($W$7:$W$85&lt;&gt;"",ROW($W$7:$W$85)-MIN(ROW($W$7:$W$85))+1,""),""),ROW()-ROW(A$87)+1)))," "),"")</f>
        <v/>
      </c>
      <c r="X98" s="0" t="str">
        <f aca="false" t="array" ref="X98:X98">IFERROR(CONCATENATE(TEXT(INDEX($W$7:$W$85,SMALL(IF($Z$7:$Z$85&lt;&gt;"",IF($W$7:$W$85&lt;&gt;"",ROW($W$7:$W$85)-MIN(ROW($W$7:$W$85))+1,""),""),ROW()-ROW(A$87)+1)),"##0")," "),"")</f>
        <v/>
      </c>
      <c r="Y98" s="0" t="str">
        <f aca="false" t="array" ref="Y98:Y98">IFERROR(CONCATENATE((INDEX($A$7:$A$85,SMALL(IF($Z$7:$Z$85&lt;&gt;"",IF($W$7:$W$85&lt;&gt;"",ROW($W$7:$W$85)-MIN(ROW($W$7:$W$85))+1,""),""),ROW()-ROW(A$87)+1))),),"")</f>
        <v/>
      </c>
      <c r="AC98" s="0" t="str">
        <f aca="false" t="array" ref="AC98:AC98">IFERROR(CONCATENATE((INDEX($AF$7:$AF$85,SMALL(IF($AF$7:$AF$85&lt;&gt;"",IF($AC$7:$AC$85&lt;&gt;"",ROW($AC$7:$AC$85)-MIN(ROW($AC$7:$AC$85))+1,""),""),ROW()-ROW(A$87)+1))),","),"")</f>
        <v/>
      </c>
      <c r="AD98" s="0" t="str">
        <f aca="false" t="array" ref="AD98:AD98">IFERROR(CONCATENATE(TEXT(INDEX($AC$7:$AC$85,SMALL(IF($AF$7:$AF$85&lt;&gt;"",IF($AC$7:$AC$85&lt;&gt;"",ROW($AC$7:$AC$85)-MIN(ROW($AC$7:$AC$85))+1,""),""),ROW()-ROW(A$87)+1)),"##0"),","),"")</f>
        <v/>
      </c>
      <c r="AE98" s="0" t="str">
        <f aca="false" t="array" ref="AE98:AE98">IFERROR(CONCATENATE((INDEX($A$7:$A$85,SMALL(IF($AF$7:$AF$85&lt;&gt;"",IF($AC$7:$AC$85&lt;&gt;"",ROW($AC$7:$AC$85)-MIN(ROW($AC$7:$AC$85))+1,""),""),ROW()-ROW(A$87)+1))),),"")</f>
        <v/>
      </c>
      <c r="AI98" s="0" t="str">
        <f aca="false" t="array" ref="AI98:AI98">IFERROR(CONCATENATE((INDEX($AL$7:$AL$85,SMALL(IF($AL$7:$AL$85&lt;&gt;"",IF($AI$7:$AI$85&lt;&gt;"",ROW($AI$7:$AI$85)-MIN(ROW($AI$7:$AI$85))+1,""),""),ROW()-ROW(A$87)+1)))," "),"")</f>
        <v/>
      </c>
      <c r="AJ98" s="0" t="str">
        <f aca="false" t="array" ref="AJ98:AJ98">IFERROR(CONCATENATE(TEXT(INDEX($AI$7:$AI$85,SMALL(IF($AL$7:$AL$85&lt;&gt;"",IF($AI$7:$AI$85&lt;&gt;"",ROW($AI$7:$AI$85)-MIN(ROW($AI$7:$AI$85))+1,""),""),ROW()-ROW(A$87)+1)),"##0")," "),"")</f>
        <v/>
      </c>
      <c r="AK98" s="0" t="str">
        <f aca="false" t="array" ref="AK98:AK98">IFERROR(CONCATENATE((INDEX($A$7:$A$85,SMALL(IF($AL$7:$AL$85&lt;&gt;"",IF($AI$7:$AI$85&lt;&gt;"",ROW($AI$7:$AI$85)-MIN(ROW($AI$7:$AI$85))+1,""),""),ROW()-ROW(A$87)+1))),),"")</f>
        <v/>
      </c>
    </row>
    <row r="99" customFormat="false" ht="15" hidden="false" customHeight="false" outlineLevel="0" collapsed="false">
      <c r="K99" s="0" t="str">
        <f aca="false" t="array" ref="K99:K99">IFERROR(CONCATENATE(TEXT(INDEX($K$7:$K$85,SMALL(IF($N$7:$N$85&lt;&gt;"",IF($K$7:$K$85&lt;&gt;"",ROW($K$7:$K$85)-MIN(ROW($K$7:$K$85))+1,""),""),ROW()-ROW(A$87)+1)),"##0"),","),"")</f>
        <v/>
      </c>
      <c r="L99" s="0" t="str">
        <f aca="false" t="array" ref="L99:L99">IFERROR(CONCATENATE((INDEX($N$7:$N$85,SMALL(IF($N$7:$N$85&lt;&gt;"",IF($K$7:$K$85&lt;&gt;"",ROW($K$7:$K$85)-MIN(ROW($K$7:$K$85))+1,""),""),ROW()-ROW(A$87)+1))),","),"")</f>
        <v/>
      </c>
      <c r="M99" s="0" t="str">
        <f aca="false" t="array" ref="M99:M99">IFERROR(CONCATENATE((INDEX($A$7:$A$85,SMALL(IF($N$7:$N$85&lt;&gt;"",IF($K$7:$K$85&lt;&gt;"",ROW($K$7:$K$85)-MIN(ROW($K$7:$K$85))+1,""),""),ROW()-ROW(A$87)+1))),),"")</f>
        <v/>
      </c>
      <c r="Q99" s="0" t="str">
        <f aca="false" t="array" ref="Q99:Q99">IFERROR(CONCATENATE((INDEX($T$7:$T$85,SMALL(IF($T$7:$T$85&lt;&gt;"",IF($Q$7:$Q$85&lt;&gt;"",ROW($Q$7:$Q$85)-MIN(ROW($Q$7:$Q$85))+1,""),""),ROW()-ROW(A$87)+1)))," "),"")</f>
        <v/>
      </c>
      <c r="R99" s="0" t="str">
        <f aca="false" t="array" ref="R99:R99">IFERROR(CONCATENATE(TEXT(INDEX($Q$7:$Q$85,SMALL(IF($T$7:$T$85&lt;&gt;"",IF($Q$7:$Q$85&lt;&gt;"",ROW($Q$7:$Q$85)-MIN(ROW($Q$7:$Q$85))+1,""),""),ROW()-ROW(A$87)+1)),"##0")," "),"")</f>
        <v/>
      </c>
      <c r="S99" s="0" t="str">
        <f aca="false" t="array" ref="S99:S99">IFERROR(CONCATENATE((INDEX($A$7:$A$85,SMALL(IF($T$7:$T$85&lt;&gt;"",IF($Q$7:$Q$85&lt;&gt;"",ROW($Q$7:$Q$85)-MIN(ROW($Q$7:$Q$85))+1,""),""),ROW()-ROW(A$87)+1))),),"")</f>
        <v/>
      </c>
      <c r="W99" s="0" t="str">
        <f aca="false" t="array" ref="W99:W99">IFERROR(CONCATENATE((INDEX($Z$7:$Z$85,SMALL(IF($Z$7:$Z$85&lt;&gt;"",IF($W$7:$W$85&lt;&gt;"",ROW($W$7:$W$85)-MIN(ROW($W$7:$W$85))+1,""),""),ROW()-ROW(A$87)+1)))," "),"")</f>
        <v/>
      </c>
      <c r="X99" s="0" t="str">
        <f aca="false" t="array" ref="X99:X99">IFERROR(CONCATENATE(TEXT(INDEX($W$7:$W$85,SMALL(IF($Z$7:$Z$85&lt;&gt;"",IF($W$7:$W$85&lt;&gt;"",ROW($W$7:$W$85)-MIN(ROW($W$7:$W$85))+1,""),""),ROW()-ROW(A$87)+1)),"##0")," "),"")</f>
        <v/>
      </c>
      <c r="Y99" s="0" t="str">
        <f aca="false" t="array" ref="Y99:Y99">IFERROR(CONCATENATE((INDEX($A$7:$A$85,SMALL(IF($Z$7:$Z$85&lt;&gt;"",IF($W$7:$W$85&lt;&gt;"",ROW($W$7:$W$85)-MIN(ROW($W$7:$W$85))+1,""),""),ROW()-ROW(A$87)+1))),),"")</f>
        <v/>
      </c>
      <c r="AC99" s="0" t="str">
        <f aca="false" t="array" ref="AC99:AC99">IFERROR(CONCATENATE((INDEX($AF$7:$AF$85,SMALL(IF($AF$7:$AF$85&lt;&gt;"",IF($AC$7:$AC$85&lt;&gt;"",ROW($AC$7:$AC$85)-MIN(ROW($AC$7:$AC$85))+1,""),""),ROW()-ROW(A$87)+1))),","),"")</f>
        <v/>
      </c>
      <c r="AD99" s="0" t="str">
        <f aca="false" t="array" ref="AD99:AD99">IFERROR(CONCATENATE(TEXT(INDEX($AC$7:$AC$85,SMALL(IF($AF$7:$AF$85&lt;&gt;"",IF($AC$7:$AC$85&lt;&gt;"",ROW($AC$7:$AC$85)-MIN(ROW($AC$7:$AC$85))+1,""),""),ROW()-ROW(A$87)+1)),"##0"),","),"")</f>
        <v/>
      </c>
      <c r="AE99" s="0" t="str">
        <f aca="false" t="array" ref="AE99:AE99">IFERROR(CONCATENATE((INDEX($A$7:$A$85,SMALL(IF($AF$7:$AF$85&lt;&gt;"",IF($AC$7:$AC$85&lt;&gt;"",ROW($AC$7:$AC$85)-MIN(ROW($AC$7:$AC$85))+1,""),""),ROW()-ROW(A$87)+1))),),"")</f>
        <v/>
      </c>
      <c r="AI99" s="0" t="str">
        <f aca="false" t="array" ref="AI99:AI99">IFERROR(CONCATENATE((INDEX($AL$7:$AL$85,SMALL(IF($AL$7:$AL$85&lt;&gt;"",IF($AI$7:$AI$85&lt;&gt;"",ROW($AI$7:$AI$85)-MIN(ROW($AI$7:$AI$85))+1,""),""),ROW()-ROW(A$87)+1)))," "),"")</f>
        <v/>
      </c>
      <c r="AJ99" s="0" t="str">
        <f aca="false" t="array" ref="AJ99:AJ99">IFERROR(CONCATENATE(TEXT(INDEX($AI$7:$AI$85,SMALL(IF($AL$7:$AL$85&lt;&gt;"",IF($AI$7:$AI$85&lt;&gt;"",ROW($AI$7:$AI$85)-MIN(ROW($AI$7:$AI$85))+1,""),""),ROW()-ROW(A$87)+1)),"##0")," "),"")</f>
        <v/>
      </c>
      <c r="AK99" s="0" t="str">
        <f aca="false" t="array" ref="AK99:AK99">IFERROR(CONCATENATE((INDEX($A$7:$A$85,SMALL(IF($AL$7:$AL$85&lt;&gt;"",IF($AI$7:$AI$85&lt;&gt;"",ROW($AI$7:$AI$85)-MIN(ROW($AI$7:$AI$85))+1,""),""),ROW()-ROW(A$87)+1))),),"")</f>
        <v/>
      </c>
    </row>
    <row r="100" customFormat="false" ht="15" hidden="false" customHeight="false" outlineLevel="0" collapsed="false">
      <c r="K100" s="0" t="str">
        <f aca="false" t="array" ref="K100:K100">IFERROR(CONCATENATE(TEXT(INDEX($K$7:$K$85,SMALL(IF($N$7:$N$85&lt;&gt;"",IF($K$7:$K$85&lt;&gt;"",ROW($K$7:$K$85)-MIN(ROW($K$7:$K$85))+1,""),""),ROW()-ROW(A$87)+1)),"##0"),","),"")</f>
        <v/>
      </c>
      <c r="L100" s="0" t="str">
        <f aca="false" t="array" ref="L100:L100">IFERROR(CONCATENATE((INDEX($N$7:$N$85,SMALL(IF($N$7:$N$85&lt;&gt;"",IF($K$7:$K$85&lt;&gt;"",ROW($K$7:$K$85)-MIN(ROW($K$7:$K$85))+1,""),""),ROW()-ROW(A$87)+1))),","),"")</f>
        <v/>
      </c>
      <c r="M100" s="0" t="str">
        <f aca="false" t="array" ref="M100:M100">IFERROR(CONCATENATE((INDEX($A$7:$A$85,SMALL(IF($N$7:$N$85&lt;&gt;"",IF($K$7:$K$85&lt;&gt;"",ROW($K$7:$K$85)-MIN(ROW($K$7:$K$85))+1,""),""),ROW()-ROW(A$87)+1))),),"")</f>
        <v/>
      </c>
      <c r="Q100" s="0" t="str">
        <f aca="false" t="array" ref="Q100:Q100">IFERROR(CONCATENATE((INDEX($T$7:$T$85,SMALL(IF($T$7:$T$85&lt;&gt;"",IF($Q$7:$Q$85&lt;&gt;"",ROW($Q$7:$Q$85)-MIN(ROW($Q$7:$Q$85))+1,""),""),ROW()-ROW(A$87)+1)))," "),"")</f>
        <v/>
      </c>
      <c r="R100" s="0" t="str">
        <f aca="false" t="array" ref="R100:R100">IFERROR(CONCATENATE(TEXT(INDEX($Q$7:$Q$85,SMALL(IF($T$7:$T$85&lt;&gt;"",IF($Q$7:$Q$85&lt;&gt;"",ROW($Q$7:$Q$85)-MIN(ROW($Q$7:$Q$85))+1,""),""),ROW()-ROW(A$87)+1)),"##0")," "),"")</f>
        <v/>
      </c>
      <c r="S100" s="0" t="str">
        <f aca="false" t="array" ref="S100:S100">IFERROR(CONCATENATE((INDEX($A$7:$A$85,SMALL(IF($T$7:$T$85&lt;&gt;"",IF($Q$7:$Q$85&lt;&gt;"",ROW($Q$7:$Q$85)-MIN(ROW($Q$7:$Q$85))+1,""),""),ROW()-ROW(A$87)+1))),),"")</f>
        <v/>
      </c>
      <c r="W100" s="0" t="str">
        <f aca="false" t="array" ref="W100:W100">IFERROR(CONCATENATE((INDEX($Z$7:$Z$85,SMALL(IF($Z$7:$Z$85&lt;&gt;"",IF($W$7:$W$85&lt;&gt;"",ROW($W$7:$W$85)-MIN(ROW($W$7:$W$85))+1,""),""),ROW()-ROW(A$87)+1)))," "),"")</f>
        <v/>
      </c>
      <c r="X100" s="0" t="str">
        <f aca="false" t="array" ref="X100:X100">IFERROR(CONCATENATE(TEXT(INDEX($W$7:$W$85,SMALL(IF($Z$7:$Z$85&lt;&gt;"",IF($W$7:$W$85&lt;&gt;"",ROW($W$7:$W$85)-MIN(ROW($W$7:$W$85))+1,""),""),ROW()-ROW(A$87)+1)),"##0")," "),"")</f>
        <v/>
      </c>
      <c r="Y100" s="0" t="str">
        <f aca="false" t="array" ref="Y100:Y100">IFERROR(CONCATENATE((INDEX($A$7:$A$85,SMALL(IF($Z$7:$Z$85&lt;&gt;"",IF($W$7:$W$85&lt;&gt;"",ROW($W$7:$W$85)-MIN(ROW($W$7:$W$85))+1,""),""),ROW()-ROW(A$87)+1))),),"")</f>
        <v/>
      </c>
      <c r="AC100" s="0" t="str">
        <f aca="false" t="array" ref="AC100:AC100">IFERROR(CONCATENATE((INDEX($AF$7:$AF$85,SMALL(IF($AF$7:$AF$85&lt;&gt;"",IF($AC$7:$AC$85&lt;&gt;"",ROW($AC$7:$AC$85)-MIN(ROW($AC$7:$AC$85))+1,""),""),ROW()-ROW(A$87)+1))),","),"")</f>
        <v/>
      </c>
      <c r="AD100" s="0" t="str">
        <f aca="false" t="array" ref="AD100:AD100">IFERROR(CONCATENATE(TEXT(INDEX($AC$7:$AC$85,SMALL(IF($AF$7:$AF$85&lt;&gt;"",IF($AC$7:$AC$85&lt;&gt;"",ROW($AC$7:$AC$85)-MIN(ROW($AC$7:$AC$85))+1,""),""),ROW()-ROW(A$87)+1)),"##0"),","),"")</f>
        <v/>
      </c>
      <c r="AE100" s="0" t="str">
        <f aca="false" t="array" ref="AE100:AE100">IFERROR(CONCATENATE((INDEX($A$7:$A$85,SMALL(IF($AF$7:$AF$85&lt;&gt;"",IF($AC$7:$AC$85&lt;&gt;"",ROW($AC$7:$AC$85)-MIN(ROW($AC$7:$AC$85))+1,""),""),ROW()-ROW(A$87)+1))),),"")</f>
        <v/>
      </c>
      <c r="AI100" s="0" t="str">
        <f aca="false" t="array" ref="AI100:AI100">IFERROR(CONCATENATE((INDEX($AL$7:$AL$85,SMALL(IF($AL$7:$AL$85&lt;&gt;"",IF($AI$7:$AI$85&lt;&gt;"",ROW($AI$7:$AI$85)-MIN(ROW($AI$7:$AI$85))+1,""),""),ROW()-ROW(A$87)+1)))," "),"")</f>
        <v/>
      </c>
      <c r="AJ100" s="0" t="str">
        <f aca="false" t="array" ref="AJ100:AJ100">IFERROR(CONCATENATE(TEXT(INDEX($AI$7:$AI$85,SMALL(IF($AL$7:$AL$85&lt;&gt;"",IF($AI$7:$AI$85&lt;&gt;"",ROW($AI$7:$AI$85)-MIN(ROW($AI$7:$AI$85))+1,""),""),ROW()-ROW(A$87)+1)),"##0")," "),"")</f>
        <v/>
      </c>
      <c r="AK100" s="0" t="str">
        <f aca="false" t="array" ref="AK100:AK100">IFERROR(CONCATENATE((INDEX($A$7:$A$85,SMALL(IF($AL$7:$AL$85&lt;&gt;"",IF($AI$7:$AI$85&lt;&gt;"",ROW($AI$7:$AI$85)-MIN(ROW($AI$7:$AI$85))+1,""),""),ROW()-ROW(A$87)+1))),),"")</f>
        <v/>
      </c>
    </row>
    <row r="101" customFormat="false" ht="15" hidden="false" customHeight="false" outlineLevel="0" collapsed="false">
      <c r="K101" s="0" t="str">
        <f aca="false" t="array" ref="K101:K101">IFERROR(CONCATENATE(TEXT(INDEX($K$7:$K$85,SMALL(IF($N$7:$N$85&lt;&gt;"",IF($K$7:$K$85&lt;&gt;"",ROW($K$7:$K$85)-MIN(ROW($K$7:$K$85))+1,""),""),ROW()-ROW(A$87)+1)),"##0"),","),"")</f>
        <v/>
      </c>
      <c r="L101" s="0" t="str">
        <f aca="false" t="array" ref="L101:L101">IFERROR(CONCATENATE((INDEX($N$7:$N$85,SMALL(IF($N$7:$N$85&lt;&gt;"",IF($K$7:$K$85&lt;&gt;"",ROW($K$7:$K$85)-MIN(ROW($K$7:$K$85))+1,""),""),ROW()-ROW(A$87)+1))),","),"")</f>
        <v/>
      </c>
      <c r="M101" s="0" t="str">
        <f aca="false" t="array" ref="M101:M101">IFERROR(CONCATENATE((INDEX($A$7:$A$85,SMALL(IF($N$7:$N$85&lt;&gt;"",IF($K$7:$K$85&lt;&gt;"",ROW($K$7:$K$85)-MIN(ROW($K$7:$K$85))+1,""),""),ROW()-ROW(A$87)+1))),),"")</f>
        <v/>
      </c>
      <c r="Q101" s="0" t="str">
        <f aca="false" t="array" ref="Q101:Q101">IFERROR(CONCATENATE((INDEX($T$7:$T$85,SMALL(IF($T$7:$T$85&lt;&gt;"",IF($Q$7:$Q$85&lt;&gt;"",ROW($Q$7:$Q$85)-MIN(ROW($Q$7:$Q$85))+1,""),""),ROW()-ROW(A$87)+1)))," "),"")</f>
        <v/>
      </c>
      <c r="R101" s="0" t="str">
        <f aca="false" t="array" ref="R101:R101">IFERROR(CONCATENATE(TEXT(INDEX($Q$7:$Q$85,SMALL(IF($T$7:$T$85&lt;&gt;"",IF($Q$7:$Q$85&lt;&gt;"",ROW($Q$7:$Q$85)-MIN(ROW($Q$7:$Q$85))+1,""),""),ROW()-ROW(A$87)+1)),"##0")," "),"")</f>
        <v/>
      </c>
      <c r="S101" s="0" t="str">
        <f aca="false" t="array" ref="S101:S101">IFERROR(CONCATENATE((INDEX($A$7:$A$85,SMALL(IF($T$7:$T$85&lt;&gt;"",IF($Q$7:$Q$85&lt;&gt;"",ROW($Q$7:$Q$85)-MIN(ROW($Q$7:$Q$85))+1,""),""),ROW()-ROW(A$87)+1))),),"")</f>
        <v/>
      </c>
      <c r="W101" s="0" t="str">
        <f aca="false" t="array" ref="W101:W101">IFERROR(CONCATENATE((INDEX($Z$7:$Z$85,SMALL(IF($Z$7:$Z$85&lt;&gt;"",IF($W$7:$W$85&lt;&gt;"",ROW($W$7:$W$85)-MIN(ROW($W$7:$W$85))+1,""),""),ROW()-ROW(A$87)+1)))," "),"")</f>
        <v/>
      </c>
      <c r="X101" s="0" t="str">
        <f aca="false" t="array" ref="X101:X101">IFERROR(CONCATENATE(TEXT(INDEX($W$7:$W$85,SMALL(IF($Z$7:$Z$85&lt;&gt;"",IF($W$7:$W$85&lt;&gt;"",ROW($W$7:$W$85)-MIN(ROW($W$7:$W$85))+1,""),""),ROW()-ROW(A$87)+1)),"##0")," "),"")</f>
        <v/>
      </c>
      <c r="Y101" s="0" t="str">
        <f aca="false" t="array" ref="Y101:Y101">IFERROR(CONCATENATE((INDEX($A$7:$A$85,SMALL(IF($Z$7:$Z$85&lt;&gt;"",IF($W$7:$W$85&lt;&gt;"",ROW($W$7:$W$85)-MIN(ROW($W$7:$W$85))+1,""),""),ROW()-ROW(A$87)+1))),),"")</f>
        <v/>
      </c>
      <c r="AC101" s="0" t="str">
        <f aca="false" t="array" ref="AC101:AC101">IFERROR(CONCATENATE((INDEX($AF$7:$AF$85,SMALL(IF($AF$7:$AF$85&lt;&gt;"",IF($AC$7:$AC$85&lt;&gt;"",ROW($AC$7:$AC$85)-MIN(ROW($AC$7:$AC$85))+1,""),""),ROW()-ROW(A$87)+1))),","),"")</f>
        <v/>
      </c>
      <c r="AD101" s="0" t="str">
        <f aca="false" t="array" ref="AD101:AD101">IFERROR(CONCATENATE(TEXT(INDEX($AC$7:$AC$85,SMALL(IF($AF$7:$AF$85&lt;&gt;"",IF($AC$7:$AC$85&lt;&gt;"",ROW($AC$7:$AC$85)-MIN(ROW($AC$7:$AC$85))+1,""),""),ROW()-ROW(A$87)+1)),"##0"),","),"")</f>
        <v/>
      </c>
      <c r="AE101" s="0" t="str">
        <f aca="false" t="array" ref="AE101:AE101">IFERROR(CONCATENATE((INDEX($A$7:$A$85,SMALL(IF($AF$7:$AF$85&lt;&gt;"",IF($AC$7:$AC$85&lt;&gt;"",ROW($AC$7:$AC$85)-MIN(ROW($AC$7:$AC$85))+1,""),""),ROW()-ROW(A$87)+1))),),"")</f>
        <v/>
      </c>
      <c r="AI101" s="0" t="str">
        <f aca="false" t="array" ref="AI101:AI101">IFERROR(CONCATENATE((INDEX($AL$7:$AL$85,SMALL(IF($AL$7:$AL$85&lt;&gt;"",IF($AI$7:$AI$85&lt;&gt;"",ROW($AI$7:$AI$85)-MIN(ROW($AI$7:$AI$85))+1,""),""),ROW()-ROW(A$87)+1)))," "),"")</f>
        <v/>
      </c>
      <c r="AJ101" s="0" t="str">
        <f aca="false" t="array" ref="AJ101:AJ101">IFERROR(CONCATENATE(TEXT(INDEX($AI$7:$AI$85,SMALL(IF($AL$7:$AL$85&lt;&gt;"",IF($AI$7:$AI$85&lt;&gt;"",ROW($AI$7:$AI$85)-MIN(ROW($AI$7:$AI$85))+1,""),""),ROW()-ROW(A$87)+1)),"##0")," "),"")</f>
        <v/>
      </c>
      <c r="AK101" s="0" t="str">
        <f aca="false" t="array" ref="AK101:AK101">IFERROR(CONCATENATE((INDEX($A$7:$A$85,SMALL(IF($AL$7:$AL$85&lt;&gt;"",IF($AI$7:$AI$85&lt;&gt;"",ROW($AI$7:$AI$85)-MIN(ROW($AI$7:$AI$85))+1,""),""),ROW()-ROW(A$87)+1))),),"")</f>
        <v/>
      </c>
    </row>
    <row r="102" customFormat="false" ht="15" hidden="false" customHeight="false" outlineLevel="0" collapsed="false">
      <c r="K102" s="0" t="str">
        <f aca="false" t="array" ref="K102:K102">IFERROR(CONCATENATE(TEXT(INDEX($K$7:$K$85,SMALL(IF($N$7:$N$85&lt;&gt;"",IF($K$7:$K$85&lt;&gt;"",ROW($K$7:$K$85)-MIN(ROW($K$7:$K$85))+1,""),""),ROW()-ROW(A$87)+1)),"##0"),","),"")</f>
        <v/>
      </c>
      <c r="L102" s="0" t="str">
        <f aca="false" t="array" ref="L102:L102">IFERROR(CONCATENATE((INDEX($N$7:$N$85,SMALL(IF($N$7:$N$85&lt;&gt;"",IF($K$7:$K$85&lt;&gt;"",ROW($K$7:$K$85)-MIN(ROW($K$7:$K$85))+1,""),""),ROW()-ROW(A$87)+1))),","),"")</f>
        <v/>
      </c>
      <c r="M102" s="0" t="str">
        <f aca="false" t="array" ref="M102:M102">IFERROR(CONCATENATE((INDEX($A$7:$A$85,SMALL(IF($N$7:$N$85&lt;&gt;"",IF($K$7:$K$85&lt;&gt;"",ROW($K$7:$K$85)-MIN(ROW($K$7:$K$85))+1,""),""),ROW()-ROW(A$87)+1))),),"")</f>
        <v/>
      </c>
      <c r="Q102" s="0" t="str">
        <f aca="false" t="array" ref="Q102:Q102">IFERROR(CONCATENATE((INDEX($T$7:$T$85,SMALL(IF($T$7:$T$85&lt;&gt;"",IF($Q$7:$Q$85&lt;&gt;"",ROW($Q$7:$Q$85)-MIN(ROW($Q$7:$Q$85))+1,""),""),ROW()-ROW(A$87)+1)))," "),"")</f>
        <v/>
      </c>
      <c r="R102" s="0" t="str">
        <f aca="false" t="array" ref="R102:R102">IFERROR(CONCATENATE(TEXT(INDEX($Q$7:$Q$85,SMALL(IF($T$7:$T$85&lt;&gt;"",IF($Q$7:$Q$85&lt;&gt;"",ROW($Q$7:$Q$85)-MIN(ROW($Q$7:$Q$85))+1,""),""),ROW()-ROW(A$87)+1)),"##0")," "),"")</f>
        <v/>
      </c>
      <c r="S102" s="0" t="str">
        <f aca="false" t="array" ref="S102:S102">IFERROR(CONCATENATE((INDEX($A$7:$A$85,SMALL(IF($T$7:$T$85&lt;&gt;"",IF($Q$7:$Q$85&lt;&gt;"",ROW($Q$7:$Q$85)-MIN(ROW($Q$7:$Q$85))+1,""),""),ROW()-ROW(A$87)+1))),),"")</f>
        <v/>
      </c>
      <c r="W102" s="0" t="str">
        <f aca="false" t="array" ref="W102:W102">IFERROR(CONCATENATE((INDEX($Z$7:$Z$85,SMALL(IF($Z$7:$Z$85&lt;&gt;"",IF($W$7:$W$85&lt;&gt;"",ROW($W$7:$W$85)-MIN(ROW($W$7:$W$85))+1,""),""),ROW()-ROW(A$87)+1)))," "),"")</f>
        <v/>
      </c>
      <c r="X102" s="0" t="str">
        <f aca="false" t="array" ref="X102:X102">IFERROR(CONCATENATE(TEXT(INDEX($W$7:$W$85,SMALL(IF($Z$7:$Z$85&lt;&gt;"",IF($W$7:$W$85&lt;&gt;"",ROW($W$7:$W$85)-MIN(ROW($W$7:$W$85))+1,""),""),ROW()-ROW(A$87)+1)),"##0")," "),"")</f>
        <v/>
      </c>
      <c r="Y102" s="0" t="str">
        <f aca="false" t="array" ref="Y102:Y102">IFERROR(CONCATENATE((INDEX($A$7:$A$85,SMALL(IF($Z$7:$Z$85&lt;&gt;"",IF($W$7:$W$85&lt;&gt;"",ROW($W$7:$W$85)-MIN(ROW($W$7:$W$85))+1,""),""),ROW()-ROW(A$87)+1))),),"")</f>
        <v/>
      </c>
      <c r="AC102" s="0" t="str">
        <f aca="false" t="array" ref="AC102:AC102">IFERROR(CONCATENATE((INDEX($AF$7:$AF$85,SMALL(IF($AF$7:$AF$85&lt;&gt;"",IF($AC$7:$AC$85&lt;&gt;"",ROW($AC$7:$AC$85)-MIN(ROW($AC$7:$AC$85))+1,""),""),ROW()-ROW(A$87)+1))),","),"")</f>
        <v/>
      </c>
      <c r="AD102" s="0" t="str">
        <f aca="false" t="array" ref="AD102:AD102">IFERROR(CONCATENATE(TEXT(INDEX($AC$7:$AC$85,SMALL(IF($AF$7:$AF$85&lt;&gt;"",IF($AC$7:$AC$85&lt;&gt;"",ROW($AC$7:$AC$85)-MIN(ROW($AC$7:$AC$85))+1,""),""),ROW()-ROW(A$87)+1)),"##0"),","),"")</f>
        <v/>
      </c>
      <c r="AE102" s="0" t="str">
        <f aca="false" t="array" ref="AE102:AE102">IFERROR(CONCATENATE((INDEX($A$7:$A$85,SMALL(IF($AF$7:$AF$85&lt;&gt;"",IF($AC$7:$AC$85&lt;&gt;"",ROW($AC$7:$AC$85)-MIN(ROW($AC$7:$AC$85))+1,""),""),ROW()-ROW(A$87)+1))),),"")</f>
        <v/>
      </c>
      <c r="AI102" s="0" t="str">
        <f aca="false" t="array" ref="AI102:AI102">IFERROR(CONCATENATE((INDEX($AL$7:$AL$85,SMALL(IF($AL$7:$AL$85&lt;&gt;"",IF($AI$7:$AI$85&lt;&gt;"",ROW($AI$7:$AI$85)-MIN(ROW($AI$7:$AI$85))+1,""),""),ROW()-ROW(A$87)+1)))," "),"")</f>
        <v/>
      </c>
      <c r="AJ102" s="0" t="str">
        <f aca="false" t="array" ref="AJ102:AJ102">IFERROR(CONCATENATE(TEXT(INDEX($AI$7:$AI$85,SMALL(IF($AL$7:$AL$85&lt;&gt;"",IF($AI$7:$AI$85&lt;&gt;"",ROW($AI$7:$AI$85)-MIN(ROW($AI$7:$AI$85))+1,""),""),ROW()-ROW(A$87)+1)),"##0")," "),"")</f>
        <v/>
      </c>
      <c r="AK102" s="0" t="str">
        <f aca="false" t="array" ref="AK102:AK102">IFERROR(CONCATENATE((INDEX($A$7:$A$85,SMALL(IF($AL$7:$AL$85&lt;&gt;"",IF($AI$7:$AI$85&lt;&gt;"",ROW($AI$7:$AI$85)-MIN(ROW($AI$7:$AI$85))+1,""),""),ROW()-ROW(A$87)+1))),),"")</f>
        <v/>
      </c>
    </row>
    <row r="103" customFormat="false" ht="15" hidden="false" customHeight="false" outlineLevel="0" collapsed="false">
      <c r="K103" s="0" t="str">
        <f aca="false" t="array" ref="K103:K103">IFERROR(CONCATENATE(TEXT(INDEX($K$7:$K$85,SMALL(IF($N$7:$N$85&lt;&gt;"",IF($K$7:$K$85&lt;&gt;"",ROW($K$7:$K$85)-MIN(ROW($K$7:$K$85))+1,""),""),ROW()-ROW(A$87)+1)),"##0"),","),"")</f>
        <v/>
      </c>
      <c r="L103" s="0" t="str">
        <f aca="false" t="array" ref="L103:L103">IFERROR(CONCATENATE((INDEX($N$7:$N$85,SMALL(IF($N$7:$N$85&lt;&gt;"",IF($K$7:$K$85&lt;&gt;"",ROW($K$7:$K$85)-MIN(ROW($K$7:$K$85))+1,""),""),ROW()-ROW(A$87)+1))),","),"")</f>
        <v/>
      </c>
      <c r="M103" s="0" t="str">
        <f aca="false" t="array" ref="M103:M103">IFERROR(CONCATENATE((INDEX($A$7:$A$85,SMALL(IF($N$7:$N$85&lt;&gt;"",IF($K$7:$K$85&lt;&gt;"",ROW($K$7:$K$85)-MIN(ROW($K$7:$K$85))+1,""),""),ROW()-ROW(A$87)+1))),),"")</f>
        <v/>
      </c>
      <c r="Q103" s="0" t="str">
        <f aca="false" t="array" ref="Q103:Q103">IFERROR(CONCATENATE((INDEX($T$7:$T$85,SMALL(IF($T$7:$T$85&lt;&gt;"",IF($Q$7:$Q$85&lt;&gt;"",ROW($Q$7:$Q$85)-MIN(ROW($Q$7:$Q$85))+1,""),""),ROW()-ROW(A$87)+1)))," "),"")</f>
        <v/>
      </c>
      <c r="R103" s="0" t="str">
        <f aca="false" t="array" ref="R103:R103">IFERROR(CONCATENATE(TEXT(INDEX($Q$7:$Q$85,SMALL(IF($T$7:$T$85&lt;&gt;"",IF($Q$7:$Q$85&lt;&gt;"",ROW($Q$7:$Q$85)-MIN(ROW($Q$7:$Q$85))+1,""),""),ROW()-ROW(A$87)+1)),"##0")," "),"")</f>
        <v/>
      </c>
      <c r="S103" s="0" t="str">
        <f aca="false" t="array" ref="S103:S103">IFERROR(CONCATENATE((INDEX($A$7:$A$85,SMALL(IF($T$7:$T$85&lt;&gt;"",IF($Q$7:$Q$85&lt;&gt;"",ROW($Q$7:$Q$85)-MIN(ROW($Q$7:$Q$85))+1,""),""),ROW()-ROW(A$87)+1))),),"")</f>
        <v/>
      </c>
      <c r="W103" s="0" t="str">
        <f aca="false" t="array" ref="W103:W103">IFERROR(CONCATENATE((INDEX($Z$7:$Z$85,SMALL(IF($Z$7:$Z$85&lt;&gt;"",IF($W$7:$W$85&lt;&gt;"",ROW($W$7:$W$85)-MIN(ROW($W$7:$W$85))+1,""),""),ROW()-ROW(A$87)+1)))," "),"")</f>
        <v/>
      </c>
      <c r="X103" s="0" t="str">
        <f aca="false" t="array" ref="X103:X103">IFERROR(CONCATENATE(TEXT(INDEX($W$7:$W$85,SMALL(IF($Z$7:$Z$85&lt;&gt;"",IF($W$7:$W$85&lt;&gt;"",ROW($W$7:$W$85)-MIN(ROW($W$7:$W$85))+1,""),""),ROW()-ROW(A$87)+1)),"##0")," "),"")</f>
        <v/>
      </c>
      <c r="Y103" s="0" t="str">
        <f aca="false" t="array" ref="Y103:Y103">IFERROR(CONCATENATE((INDEX($A$7:$A$85,SMALL(IF($Z$7:$Z$85&lt;&gt;"",IF($W$7:$W$85&lt;&gt;"",ROW($W$7:$W$85)-MIN(ROW($W$7:$W$85))+1,""),""),ROW()-ROW(A$87)+1))),),"")</f>
        <v/>
      </c>
      <c r="AC103" s="0" t="str">
        <f aca="false" t="array" ref="AC103:AC103">IFERROR(CONCATENATE((INDEX($AF$7:$AF$85,SMALL(IF($AF$7:$AF$85&lt;&gt;"",IF($AC$7:$AC$85&lt;&gt;"",ROW($AC$7:$AC$85)-MIN(ROW($AC$7:$AC$85))+1,""),""),ROW()-ROW(A$87)+1))),","),"")</f>
        <v/>
      </c>
      <c r="AD103" s="0" t="str">
        <f aca="false" t="array" ref="AD103:AD103">IFERROR(CONCATENATE(TEXT(INDEX($AC$7:$AC$85,SMALL(IF($AF$7:$AF$85&lt;&gt;"",IF($AC$7:$AC$85&lt;&gt;"",ROW($AC$7:$AC$85)-MIN(ROW($AC$7:$AC$85))+1,""),""),ROW()-ROW(A$87)+1)),"##0"),","),"")</f>
        <v/>
      </c>
      <c r="AE103" s="0" t="str">
        <f aca="false" t="array" ref="AE103:AE103">IFERROR(CONCATENATE((INDEX($A$7:$A$85,SMALL(IF($AF$7:$AF$85&lt;&gt;"",IF($AC$7:$AC$85&lt;&gt;"",ROW($AC$7:$AC$85)-MIN(ROW($AC$7:$AC$85))+1,""),""),ROW()-ROW(A$87)+1))),),"")</f>
        <v/>
      </c>
      <c r="AI103" s="0" t="str">
        <f aca="false" t="array" ref="AI103:AI103">IFERROR(CONCATENATE((INDEX($AL$7:$AL$85,SMALL(IF($AL$7:$AL$85&lt;&gt;"",IF($AI$7:$AI$85&lt;&gt;"",ROW($AI$7:$AI$85)-MIN(ROW($AI$7:$AI$85))+1,""),""),ROW()-ROW(A$87)+1)))," "),"")</f>
        <v/>
      </c>
      <c r="AJ103" s="0" t="str">
        <f aca="false" t="array" ref="AJ103:AJ103">IFERROR(CONCATENATE(TEXT(INDEX($AI$7:$AI$85,SMALL(IF($AL$7:$AL$85&lt;&gt;"",IF($AI$7:$AI$85&lt;&gt;"",ROW($AI$7:$AI$85)-MIN(ROW($AI$7:$AI$85))+1,""),""),ROW()-ROW(A$87)+1)),"##0")," "),"")</f>
        <v/>
      </c>
      <c r="AK103" s="0" t="str">
        <f aca="false" t="array" ref="AK103:AK103">IFERROR(CONCATENATE((INDEX($A$7:$A$85,SMALL(IF($AL$7:$AL$85&lt;&gt;"",IF($AI$7:$AI$85&lt;&gt;"",ROW($AI$7:$AI$85)-MIN(ROW($AI$7:$AI$85))+1,""),""),ROW()-ROW(A$87)+1))),),"")</f>
        <v/>
      </c>
    </row>
    <row r="104" customFormat="false" ht="15" hidden="false" customHeight="false" outlineLevel="0" collapsed="false">
      <c r="K104" s="0" t="str">
        <f aca="false" t="array" ref="K104:K104">IFERROR(CONCATENATE(TEXT(INDEX($K$7:$K$85,SMALL(IF($N$7:$N$85&lt;&gt;"",IF($K$7:$K$85&lt;&gt;"",ROW($K$7:$K$85)-MIN(ROW($K$7:$K$85))+1,""),""),ROW()-ROW(A$87)+1)),"##0"),","),"")</f>
        <v/>
      </c>
      <c r="L104" s="0" t="str">
        <f aca="false" t="array" ref="L104:L104">IFERROR(CONCATENATE((INDEX($N$7:$N$85,SMALL(IF($N$7:$N$85&lt;&gt;"",IF($K$7:$K$85&lt;&gt;"",ROW($K$7:$K$85)-MIN(ROW($K$7:$K$85))+1,""),""),ROW()-ROW(A$87)+1))),","),"")</f>
        <v/>
      </c>
      <c r="M104" s="0" t="str">
        <f aca="false" t="array" ref="M104:M104">IFERROR(CONCATENATE((INDEX($A$7:$A$85,SMALL(IF($N$7:$N$85&lt;&gt;"",IF($K$7:$K$85&lt;&gt;"",ROW($K$7:$K$85)-MIN(ROW($K$7:$K$85))+1,""),""),ROW()-ROW(A$87)+1))),),"")</f>
        <v/>
      </c>
      <c r="Q104" s="0" t="str">
        <f aca="false" t="array" ref="Q104:Q104">IFERROR(CONCATENATE((INDEX($T$7:$T$85,SMALL(IF($T$7:$T$85&lt;&gt;"",IF($Q$7:$Q$85&lt;&gt;"",ROW($Q$7:$Q$85)-MIN(ROW($Q$7:$Q$85))+1,""),""),ROW()-ROW(A$87)+1)))," "),"")</f>
        <v/>
      </c>
      <c r="R104" s="0" t="str">
        <f aca="false" t="array" ref="R104:R104">IFERROR(CONCATENATE(TEXT(INDEX($Q$7:$Q$85,SMALL(IF($T$7:$T$85&lt;&gt;"",IF($Q$7:$Q$85&lt;&gt;"",ROW($Q$7:$Q$85)-MIN(ROW($Q$7:$Q$85))+1,""),""),ROW()-ROW(A$87)+1)),"##0")," "),"")</f>
        <v/>
      </c>
      <c r="S104" s="0" t="str">
        <f aca="false" t="array" ref="S104:S104">IFERROR(CONCATENATE((INDEX($A$7:$A$85,SMALL(IF($T$7:$T$85&lt;&gt;"",IF($Q$7:$Q$85&lt;&gt;"",ROW($Q$7:$Q$85)-MIN(ROW($Q$7:$Q$85))+1,""),""),ROW()-ROW(A$87)+1))),),"")</f>
        <v/>
      </c>
      <c r="W104" s="0" t="str">
        <f aca="false" t="array" ref="W104:W104">IFERROR(CONCATENATE((INDEX($Z$7:$Z$85,SMALL(IF($Z$7:$Z$85&lt;&gt;"",IF($W$7:$W$85&lt;&gt;"",ROW($W$7:$W$85)-MIN(ROW($W$7:$W$85))+1,""),""),ROW()-ROW(A$87)+1)))," "),"")</f>
        <v/>
      </c>
      <c r="X104" s="0" t="str">
        <f aca="false" t="array" ref="X104:X104">IFERROR(CONCATENATE(TEXT(INDEX($W$7:$W$85,SMALL(IF($Z$7:$Z$85&lt;&gt;"",IF($W$7:$W$85&lt;&gt;"",ROW($W$7:$W$85)-MIN(ROW($W$7:$W$85))+1,""),""),ROW()-ROW(A$87)+1)),"##0")," "),"")</f>
        <v/>
      </c>
      <c r="Y104" s="0" t="str">
        <f aca="false" t="array" ref="Y104:Y104">IFERROR(CONCATENATE((INDEX($A$7:$A$85,SMALL(IF($Z$7:$Z$85&lt;&gt;"",IF($W$7:$W$85&lt;&gt;"",ROW($W$7:$W$85)-MIN(ROW($W$7:$W$85))+1,""),""),ROW()-ROW(A$87)+1))),),"")</f>
        <v/>
      </c>
      <c r="AC104" s="0" t="str">
        <f aca="false" t="array" ref="AC104:AC104">IFERROR(CONCATENATE((INDEX($AF$7:$AF$85,SMALL(IF($AF$7:$AF$85&lt;&gt;"",IF($AC$7:$AC$85&lt;&gt;"",ROW($AC$7:$AC$85)-MIN(ROW($AC$7:$AC$85))+1,""),""),ROW()-ROW(A$87)+1))),","),"")</f>
        <v/>
      </c>
      <c r="AD104" s="0" t="str">
        <f aca="false" t="array" ref="AD104:AD104">IFERROR(CONCATENATE(TEXT(INDEX($AC$7:$AC$85,SMALL(IF($AF$7:$AF$85&lt;&gt;"",IF($AC$7:$AC$85&lt;&gt;"",ROW($AC$7:$AC$85)-MIN(ROW($AC$7:$AC$85))+1,""),""),ROW()-ROW(A$87)+1)),"##0"),","),"")</f>
        <v/>
      </c>
      <c r="AE104" s="0" t="str">
        <f aca="false" t="array" ref="AE104:AE104">IFERROR(CONCATENATE((INDEX($A$7:$A$85,SMALL(IF($AF$7:$AF$85&lt;&gt;"",IF($AC$7:$AC$85&lt;&gt;"",ROW($AC$7:$AC$85)-MIN(ROW($AC$7:$AC$85))+1,""),""),ROW()-ROW(A$87)+1))),),"")</f>
        <v/>
      </c>
      <c r="AI104" s="0" t="str">
        <f aca="false" t="array" ref="AI104:AI104">IFERROR(CONCATENATE((INDEX($AL$7:$AL$85,SMALL(IF($AL$7:$AL$85&lt;&gt;"",IF($AI$7:$AI$85&lt;&gt;"",ROW($AI$7:$AI$85)-MIN(ROW($AI$7:$AI$85))+1,""),""),ROW()-ROW(A$87)+1)))," "),"")</f>
        <v/>
      </c>
      <c r="AJ104" s="0" t="str">
        <f aca="false" t="array" ref="AJ104:AJ104">IFERROR(CONCATENATE(TEXT(INDEX($AI$7:$AI$85,SMALL(IF($AL$7:$AL$85&lt;&gt;"",IF($AI$7:$AI$85&lt;&gt;"",ROW($AI$7:$AI$85)-MIN(ROW($AI$7:$AI$85))+1,""),""),ROW()-ROW(A$87)+1)),"##0")," "),"")</f>
        <v/>
      </c>
      <c r="AK104" s="0" t="str">
        <f aca="false" t="array" ref="AK104:AK104">IFERROR(CONCATENATE((INDEX($A$7:$A$85,SMALL(IF($AL$7:$AL$85&lt;&gt;"",IF($AI$7:$AI$85&lt;&gt;"",ROW($AI$7:$AI$85)-MIN(ROW($AI$7:$AI$85))+1,""),""),ROW()-ROW(A$87)+1))),),"")</f>
        <v/>
      </c>
    </row>
    <row r="105" customFormat="false" ht="15" hidden="false" customHeight="false" outlineLevel="0" collapsed="false">
      <c r="K105" s="0" t="str">
        <f aca="false" t="array" ref="K105:K105">IFERROR(CONCATENATE(TEXT(INDEX($K$7:$K$85,SMALL(IF($N$7:$N$85&lt;&gt;"",IF($K$7:$K$85&lt;&gt;"",ROW($K$7:$K$85)-MIN(ROW($K$7:$K$85))+1,""),""),ROW()-ROW(A$87)+1)),"##0"),","),"")</f>
        <v/>
      </c>
      <c r="L105" s="0" t="str">
        <f aca="false" t="array" ref="L105:L105">IFERROR(CONCATENATE((INDEX($N$7:$N$85,SMALL(IF($N$7:$N$85&lt;&gt;"",IF($K$7:$K$85&lt;&gt;"",ROW($K$7:$K$85)-MIN(ROW($K$7:$K$85))+1,""),""),ROW()-ROW(A$87)+1))),","),"")</f>
        <v/>
      </c>
      <c r="M105" s="0" t="str">
        <f aca="false" t="array" ref="M105:M105">IFERROR(CONCATENATE((INDEX($A$7:$A$85,SMALL(IF($N$7:$N$85&lt;&gt;"",IF($K$7:$K$85&lt;&gt;"",ROW($K$7:$K$85)-MIN(ROW($K$7:$K$85))+1,""),""),ROW()-ROW(A$87)+1))),),"")</f>
        <v/>
      </c>
      <c r="Q105" s="0" t="str">
        <f aca="false" t="array" ref="Q105:Q105">IFERROR(CONCATENATE((INDEX($T$7:$T$85,SMALL(IF($T$7:$T$85&lt;&gt;"",IF($Q$7:$Q$85&lt;&gt;"",ROW($Q$7:$Q$85)-MIN(ROW($Q$7:$Q$85))+1,""),""),ROW()-ROW(A$87)+1)))," "),"")</f>
        <v/>
      </c>
      <c r="R105" s="0" t="str">
        <f aca="false" t="array" ref="R105:R105">IFERROR(CONCATENATE(TEXT(INDEX($Q$7:$Q$85,SMALL(IF($T$7:$T$85&lt;&gt;"",IF($Q$7:$Q$85&lt;&gt;"",ROW($Q$7:$Q$85)-MIN(ROW($Q$7:$Q$85))+1,""),""),ROW()-ROW(A$87)+1)),"##0")," "),"")</f>
        <v/>
      </c>
      <c r="S105" s="0" t="str">
        <f aca="false" t="array" ref="S105:S105">IFERROR(CONCATENATE((INDEX($A$7:$A$85,SMALL(IF($T$7:$T$85&lt;&gt;"",IF($Q$7:$Q$85&lt;&gt;"",ROW($Q$7:$Q$85)-MIN(ROW($Q$7:$Q$85))+1,""),""),ROW()-ROW(A$87)+1))),),"")</f>
        <v/>
      </c>
      <c r="W105" s="0" t="str">
        <f aca="false" t="array" ref="W105:W105">IFERROR(CONCATENATE((INDEX($Z$7:$Z$85,SMALL(IF($Z$7:$Z$85&lt;&gt;"",IF($W$7:$W$85&lt;&gt;"",ROW($W$7:$W$85)-MIN(ROW($W$7:$W$85))+1,""),""),ROW()-ROW(A$87)+1)))," "),"")</f>
        <v/>
      </c>
      <c r="X105" s="0" t="str">
        <f aca="false" t="array" ref="X105:X105">IFERROR(CONCATENATE(TEXT(INDEX($W$7:$W$85,SMALL(IF($Z$7:$Z$85&lt;&gt;"",IF($W$7:$W$85&lt;&gt;"",ROW($W$7:$W$85)-MIN(ROW($W$7:$W$85))+1,""),""),ROW()-ROW(A$87)+1)),"##0")," "),"")</f>
        <v/>
      </c>
      <c r="Y105" s="0" t="str">
        <f aca="false" t="array" ref="Y105:Y105">IFERROR(CONCATENATE((INDEX($A$7:$A$85,SMALL(IF($Z$7:$Z$85&lt;&gt;"",IF($W$7:$W$85&lt;&gt;"",ROW($W$7:$W$85)-MIN(ROW($W$7:$W$85))+1,""),""),ROW()-ROW(A$87)+1))),),"")</f>
        <v/>
      </c>
      <c r="AC105" s="0" t="str">
        <f aca="false" t="array" ref="AC105:AC105">IFERROR(CONCATENATE((INDEX($AF$7:$AF$85,SMALL(IF($AF$7:$AF$85&lt;&gt;"",IF($AC$7:$AC$85&lt;&gt;"",ROW($AC$7:$AC$85)-MIN(ROW($AC$7:$AC$85))+1,""),""),ROW()-ROW(A$87)+1))),","),"")</f>
        <v/>
      </c>
      <c r="AD105" s="0" t="str">
        <f aca="false" t="array" ref="AD105:AD105">IFERROR(CONCATENATE(TEXT(INDEX($AC$7:$AC$85,SMALL(IF($AF$7:$AF$85&lt;&gt;"",IF($AC$7:$AC$85&lt;&gt;"",ROW($AC$7:$AC$85)-MIN(ROW($AC$7:$AC$85))+1,""),""),ROW()-ROW(A$87)+1)),"##0"),","),"")</f>
        <v/>
      </c>
      <c r="AE105" s="0" t="str">
        <f aca="false" t="array" ref="AE105:AE105">IFERROR(CONCATENATE((INDEX($A$7:$A$85,SMALL(IF($AF$7:$AF$85&lt;&gt;"",IF($AC$7:$AC$85&lt;&gt;"",ROW($AC$7:$AC$85)-MIN(ROW($AC$7:$AC$85))+1,""),""),ROW()-ROW(A$87)+1))),),"")</f>
        <v/>
      </c>
      <c r="AI105" s="0" t="str">
        <f aca="false" t="array" ref="AI105:AI105">IFERROR(CONCATENATE((INDEX($AL$7:$AL$85,SMALL(IF($AL$7:$AL$85&lt;&gt;"",IF($AI$7:$AI$85&lt;&gt;"",ROW($AI$7:$AI$85)-MIN(ROW($AI$7:$AI$85))+1,""),""),ROW()-ROW(A$87)+1)))," "),"")</f>
        <v/>
      </c>
      <c r="AJ105" s="0" t="str">
        <f aca="false" t="array" ref="AJ105:AJ105">IFERROR(CONCATENATE(TEXT(INDEX($AI$7:$AI$85,SMALL(IF($AL$7:$AL$85&lt;&gt;"",IF($AI$7:$AI$85&lt;&gt;"",ROW($AI$7:$AI$85)-MIN(ROW($AI$7:$AI$85))+1,""),""),ROW()-ROW(A$87)+1)),"##0")," "),"")</f>
        <v/>
      </c>
      <c r="AK105" s="0" t="str">
        <f aca="false" t="array" ref="AK105:AK105">IFERROR(CONCATENATE((INDEX($A$7:$A$85,SMALL(IF($AL$7:$AL$85&lt;&gt;"",IF($AI$7:$AI$85&lt;&gt;"",ROW($AI$7:$AI$85)-MIN(ROW($AI$7:$AI$85))+1,""),""),ROW()-ROW(A$87)+1))),),"")</f>
        <v/>
      </c>
    </row>
    <row r="106" customFormat="false" ht="15" hidden="false" customHeight="false" outlineLevel="0" collapsed="false">
      <c r="K106" s="0" t="str">
        <f aca="false" t="array" ref="K106:K106">IFERROR(CONCATENATE(TEXT(INDEX($K$7:$K$85,SMALL(IF($N$7:$N$85&lt;&gt;"",IF($K$7:$K$85&lt;&gt;"",ROW($K$7:$K$85)-MIN(ROW($K$7:$K$85))+1,""),""),ROW()-ROW(A$87)+1)),"##0"),","),"")</f>
        <v/>
      </c>
      <c r="L106" s="0" t="str">
        <f aca="false" t="array" ref="L106:L106">IFERROR(CONCATENATE((INDEX($N$7:$N$85,SMALL(IF($N$7:$N$85&lt;&gt;"",IF($K$7:$K$85&lt;&gt;"",ROW($K$7:$K$85)-MIN(ROW($K$7:$K$85))+1,""),""),ROW()-ROW(A$87)+1))),","),"")</f>
        <v/>
      </c>
      <c r="M106" s="0" t="str">
        <f aca="false" t="array" ref="M106:M106">IFERROR(CONCATENATE((INDEX($A$7:$A$85,SMALL(IF($N$7:$N$85&lt;&gt;"",IF($K$7:$K$85&lt;&gt;"",ROW($K$7:$K$85)-MIN(ROW($K$7:$K$85))+1,""),""),ROW()-ROW(A$87)+1))),),"")</f>
        <v/>
      </c>
      <c r="Q106" s="0" t="str">
        <f aca="false" t="array" ref="Q106:Q106">IFERROR(CONCATENATE((INDEX($T$7:$T$85,SMALL(IF($T$7:$T$85&lt;&gt;"",IF($Q$7:$Q$85&lt;&gt;"",ROW($Q$7:$Q$85)-MIN(ROW($Q$7:$Q$85))+1,""),""),ROW()-ROW(A$87)+1)))," "),"")</f>
        <v/>
      </c>
      <c r="R106" s="0" t="str">
        <f aca="false" t="array" ref="R106:R106">IFERROR(CONCATENATE(TEXT(INDEX($Q$7:$Q$85,SMALL(IF($T$7:$T$85&lt;&gt;"",IF($Q$7:$Q$85&lt;&gt;"",ROW($Q$7:$Q$85)-MIN(ROW($Q$7:$Q$85))+1,""),""),ROW()-ROW(A$87)+1)),"##0")," "),"")</f>
        <v/>
      </c>
      <c r="S106" s="0" t="str">
        <f aca="false" t="array" ref="S106:S106">IFERROR(CONCATENATE((INDEX($A$7:$A$85,SMALL(IF($T$7:$T$85&lt;&gt;"",IF($Q$7:$Q$85&lt;&gt;"",ROW($Q$7:$Q$85)-MIN(ROW($Q$7:$Q$85))+1,""),""),ROW()-ROW(A$87)+1))),),"")</f>
        <v/>
      </c>
      <c r="W106" s="0" t="str">
        <f aca="false" t="array" ref="W106:W106">IFERROR(CONCATENATE((INDEX($Z$7:$Z$85,SMALL(IF($Z$7:$Z$85&lt;&gt;"",IF($W$7:$W$85&lt;&gt;"",ROW($W$7:$W$85)-MIN(ROW($W$7:$W$85))+1,""),""),ROW()-ROW(A$87)+1)))," "),"")</f>
        <v/>
      </c>
      <c r="X106" s="0" t="str">
        <f aca="false" t="array" ref="X106:X106">IFERROR(CONCATENATE(TEXT(INDEX($W$7:$W$85,SMALL(IF($Z$7:$Z$85&lt;&gt;"",IF($W$7:$W$85&lt;&gt;"",ROW($W$7:$W$85)-MIN(ROW($W$7:$W$85))+1,""),""),ROW()-ROW(A$87)+1)),"##0")," "),"")</f>
        <v/>
      </c>
      <c r="Y106" s="0" t="str">
        <f aca="false" t="array" ref="Y106:Y106">IFERROR(CONCATENATE((INDEX($A$7:$A$85,SMALL(IF($Z$7:$Z$85&lt;&gt;"",IF($W$7:$W$85&lt;&gt;"",ROW($W$7:$W$85)-MIN(ROW($W$7:$W$85))+1,""),""),ROW()-ROW(A$87)+1))),),"")</f>
        <v/>
      </c>
      <c r="AC106" s="0" t="str">
        <f aca="false" t="array" ref="AC106:AC106">IFERROR(CONCATENATE((INDEX($AF$7:$AF$85,SMALL(IF($AF$7:$AF$85&lt;&gt;"",IF($AC$7:$AC$85&lt;&gt;"",ROW($AC$7:$AC$85)-MIN(ROW($AC$7:$AC$85))+1,""),""),ROW()-ROW(A$87)+1))),","),"")</f>
        <v/>
      </c>
      <c r="AD106" s="0" t="str">
        <f aca="false" t="array" ref="AD106:AD106">IFERROR(CONCATENATE(TEXT(INDEX($AC$7:$AC$85,SMALL(IF($AF$7:$AF$85&lt;&gt;"",IF($AC$7:$AC$85&lt;&gt;"",ROW($AC$7:$AC$85)-MIN(ROW($AC$7:$AC$85))+1,""),""),ROW()-ROW(A$87)+1)),"##0"),","),"")</f>
        <v/>
      </c>
      <c r="AE106" s="0" t="str">
        <f aca="false" t="array" ref="AE106:AE106">IFERROR(CONCATENATE((INDEX($A$7:$A$85,SMALL(IF($AF$7:$AF$85&lt;&gt;"",IF($AC$7:$AC$85&lt;&gt;"",ROW($AC$7:$AC$85)-MIN(ROW($AC$7:$AC$85))+1,""),""),ROW()-ROW(A$87)+1))),),"")</f>
        <v/>
      </c>
      <c r="AI106" s="0" t="str">
        <f aca="false" t="array" ref="AI106:AI106">IFERROR(CONCATENATE((INDEX($AL$7:$AL$85,SMALL(IF($AL$7:$AL$85&lt;&gt;"",IF($AI$7:$AI$85&lt;&gt;"",ROW($AI$7:$AI$85)-MIN(ROW($AI$7:$AI$85))+1,""),""),ROW()-ROW(A$87)+1)))," "),"")</f>
        <v/>
      </c>
      <c r="AJ106" s="0" t="str">
        <f aca="false" t="array" ref="AJ106:AJ106">IFERROR(CONCATENATE(TEXT(INDEX($AI$7:$AI$85,SMALL(IF($AL$7:$AL$85&lt;&gt;"",IF($AI$7:$AI$85&lt;&gt;"",ROW($AI$7:$AI$85)-MIN(ROW($AI$7:$AI$85))+1,""),""),ROW()-ROW(A$87)+1)),"##0")," "),"")</f>
        <v/>
      </c>
      <c r="AK106" s="0" t="str">
        <f aca="false" t="array" ref="AK106:AK106">IFERROR(CONCATENATE((INDEX($A$7:$A$85,SMALL(IF($AL$7:$AL$85&lt;&gt;"",IF($AI$7:$AI$85&lt;&gt;"",ROW($AI$7:$AI$85)-MIN(ROW($AI$7:$AI$85))+1,""),""),ROW()-ROW(A$87)+1))),),"")</f>
        <v/>
      </c>
    </row>
    <row r="107" customFormat="false" ht="15" hidden="false" customHeight="false" outlineLevel="0" collapsed="false">
      <c r="K107" s="0" t="str">
        <f aca="false" t="array" ref="K107:K107">IFERROR(CONCATENATE(TEXT(INDEX($K$7:$K$85,SMALL(IF($N$7:$N$85&lt;&gt;"",IF($K$7:$K$85&lt;&gt;"",ROW($K$7:$K$85)-MIN(ROW($K$7:$K$85))+1,""),""),ROW()-ROW(A$87)+1)),"##0"),","),"")</f>
        <v/>
      </c>
      <c r="L107" s="0" t="str">
        <f aca="false" t="array" ref="L107:L107">IFERROR(CONCATENATE((INDEX($N$7:$N$85,SMALL(IF($N$7:$N$85&lt;&gt;"",IF($K$7:$K$85&lt;&gt;"",ROW($K$7:$K$85)-MIN(ROW($K$7:$K$85))+1,""),""),ROW()-ROW(A$87)+1))),","),"")</f>
        <v/>
      </c>
      <c r="M107" s="0" t="str">
        <f aca="false" t="array" ref="M107:M107">IFERROR(CONCATENATE((INDEX($A$7:$A$85,SMALL(IF($N$7:$N$85&lt;&gt;"",IF($K$7:$K$85&lt;&gt;"",ROW($K$7:$K$85)-MIN(ROW($K$7:$K$85))+1,""),""),ROW()-ROW(A$87)+1))),),"")</f>
        <v/>
      </c>
      <c r="Q107" s="0" t="str">
        <f aca="false" t="array" ref="Q107:Q107">IFERROR(CONCATENATE((INDEX($T$7:$T$85,SMALL(IF($T$7:$T$85&lt;&gt;"",IF($Q$7:$Q$85&lt;&gt;"",ROW($Q$7:$Q$85)-MIN(ROW($Q$7:$Q$85))+1,""),""),ROW()-ROW(A$87)+1)))," "),"")</f>
        <v/>
      </c>
      <c r="R107" s="0" t="str">
        <f aca="false" t="array" ref="R107:R107">IFERROR(CONCATENATE(TEXT(INDEX($Q$7:$Q$85,SMALL(IF($T$7:$T$85&lt;&gt;"",IF($Q$7:$Q$85&lt;&gt;"",ROW($Q$7:$Q$85)-MIN(ROW($Q$7:$Q$85))+1,""),""),ROW()-ROW(A$87)+1)),"##0")," "),"")</f>
        <v/>
      </c>
      <c r="S107" s="0" t="str">
        <f aca="false" t="array" ref="S107:S107">IFERROR(CONCATENATE((INDEX($A$7:$A$85,SMALL(IF($T$7:$T$85&lt;&gt;"",IF($Q$7:$Q$85&lt;&gt;"",ROW($Q$7:$Q$85)-MIN(ROW($Q$7:$Q$85))+1,""),""),ROW()-ROW(A$87)+1))),),"")</f>
        <v/>
      </c>
      <c r="W107" s="0" t="str">
        <f aca="false" t="array" ref="W107:W107">IFERROR(CONCATENATE((INDEX($Z$7:$Z$85,SMALL(IF($Z$7:$Z$85&lt;&gt;"",IF($W$7:$W$85&lt;&gt;"",ROW($W$7:$W$85)-MIN(ROW($W$7:$W$85))+1,""),""),ROW()-ROW(A$87)+1)))," "),"")</f>
        <v/>
      </c>
      <c r="X107" s="0" t="str">
        <f aca="false" t="array" ref="X107:X107">IFERROR(CONCATENATE(TEXT(INDEX($W$7:$W$85,SMALL(IF($Z$7:$Z$85&lt;&gt;"",IF($W$7:$W$85&lt;&gt;"",ROW($W$7:$W$85)-MIN(ROW($W$7:$W$85))+1,""),""),ROW()-ROW(A$87)+1)),"##0")," "),"")</f>
        <v/>
      </c>
      <c r="Y107" s="0" t="str">
        <f aca="false" t="array" ref="Y107:Y107">IFERROR(CONCATENATE((INDEX($A$7:$A$85,SMALL(IF($Z$7:$Z$85&lt;&gt;"",IF($W$7:$W$85&lt;&gt;"",ROW($W$7:$W$85)-MIN(ROW($W$7:$W$85))+1,""),""),ROW()-ROW(A$87)+1))),),"")</f>
        <v/>
      </c>
      <c r="AC107" s="0" t="str">
        <f aca="false" t="array" ref="AC107:AC107">IFERROR(CONCATENATE((INDEX($AF$7:$AF$85,SMALL(IF($AF$7:$AF$85&lt;&gt;"",IF($AC$7:$AC$85&lt;&gt;"",ROW($AC$7:$AC$85)-MIN(ROW($AC$7:$AC$85))+1,""),""),ROW()-ROW(A$87)+1))),","),"")</f>
        <v/>
      </c>
      <c r="AD107" s="0" t="str">
        <f aca="false" t="array" ref="AD107:AD107">IFERROR(CONCATENATE(TEXT(INDEX($AC$7:$AC$85,SMALL(IF($AF$7:$AF$85&lt;&gt;"",IF($AC$7:$AC$85&lt;&gt;"",ROW($AC$7:$AC$85)-MIN(ROW($AC$7:$AC$85))+1,""),""),ROW()-ROW(A$87)+1)),"##0"),","),"")</f>
        <v/>
      </c>
      <c r="AE107" s="0" t="str">
        <f aca="false" t="array" ref="AE107:AE107">IFERROR(CONCATENATE((INDEX($A$7:$A$85,SMALL(IF($AF$7:$AF$85&lt;&gt;"",IF($AC$7:$AC$85&lt;&gt;"",ROW($AC$7:$AC$85)-MIN(ROW($AC$7:$AC$85))+1,""),""),ROW()-ROW(A$87)+1))),),"")</f>
        <v/>
      </c>
      <c r="AI107" s="0" t="str">
        <f aca="false" t="array" ref="AI107:AI107">IFERROR(CONCATENATE((INDEX($AL$7:$AL$85,SMALL(IF($AL$7:$AL$85&lt;&gt;"",IF($AI$7:$AI$85&lt;&gt;"",ROW($AI$7:$AI$85)-MIN(ROW($AI$7:$AI$85))+1,""),""),ROW()-ROW(A$87)+1)))," "),"")</f>
        <v/>
      </c>
      <c r="AJ107" s="0" t="str">
        <f aca="false" t="array" ref="AJ107:AJ107">IFERROR(CONCATENATE(TEXT(INDEX($AI$7:$AI$85,SMALL(IF($AL$7:$AL$85&lt;&gt;"",IF($AI$7:$AI$85&lt;&gt;"",ROW($AI$7:$AI$85)-MIN(ROW($AI$7:$AI$85))+1,""),""),ROW()-ROW(A$87)+1)),"##0")," "),"")</f>
        <v/>
      </c>
      <c r="AK107" s="0" t="str">
        <f aca="false" t="array" ref="AK107:AK107">IFERROR(CONCATENATE((INDEX($A$7:$A$85,SMALL(IF($AL$7:$AL$85&lt;&gt;"",IF($AI$7:$AI$85&lt;&gt;"",ROW($AI$7:$AI$85)-MIN(ROW($AI$7:$AI$85))+1,""),""),ROW()-ROW(A$87)+1))),),"")</f>
        <v/>
      </c>
    </row>
    <row r="108" customFormat="false" ht="15" hidden="false" customHeight="false" outlineLevel="0" collapsed="false">
      <c r="K108" s="0" t="str">
        <f aca="false" t="array" ref="K108:K108">IFERROR(CONCATENATE(TEXT(INDEX($K$7:$K$85,SMALL(IF($N$7:$N$85&lt;&gt;"",IF($K$7:$K$85&lt;&gt;"",ROW($K$7:$K$85)-MIN(ROW($K$7:$K$85))+1,""),""),ROW()-ROW(A$87)+1)),"##0"),","),"")</f>
        <v/>
      </c>
      <c r="L108" s="0" t="str">
        <f aca="false" t="array" ref="L108:L108">IFERROR(CONCATENATE((INDEX($N$7:$N$85,SMALL(IF($N$7:$N$85&lt;&gt;"",IF($K$7:$K$85&lt;&gt;"",ROW($K$7:$K$85)-MIN(ROW($K$7:$K$85))+1,""),""),ROW()-ROW(A$87)+1))),","),"")</f>
        <v/>
      </c>
      <c r="M108" s="0" t="str">
        <f aca="false" t="array" ref="M108:M108">IFERROR(CONCATENATE((INDEX($A$7:$A$85,SMALL(IF($N$7:$N$85&lt;&gt;"",IF($K$7:$K$85&lt;&gt;"",ROW($K$7:$K$85)-MIN(ROW($K$7:$K$85))+1,""),""),ROW()-ROW(A$87)+1))),),"")</f>
        <v/>
      </c>
      <c r="Q108" s="0" t="str">
        <f aca="false" t="array" ref="Q108:Q108">IFERROR(CONCATENATE((INDEX($T$7:$T$85,SMALL(IF($T$7:$T$85&lt;&gt;"",IF($Q$7:$Q$85&lt;&gt;"",ROW($Q$7:$Q$85)-MIN(ROW($Q$7:$Q$85))+1,""),""),ROW()-ROW(A$87)+1)))," "),"")</f>
        <v/>
      </c>
      <c r="R108" s="0" t="str">
        <f aca="false" t="array" ref="R108:R108">IFERROR(CONCATENATE(TEXT(INDEX($Q$7:$Q$85,SMALL(IF($T$7:$T$85&lt;&gt;"",IF($Q$7:$Q$85&lt;&gt;"",ROW($Q$7:$Q$85)-MIN(ROW($Q$7:$Q$85))+1,""),""),ROW()-ROW(A$87)+1)),"##0")," "),"")</f>
        <v/>
      </c>
      <c r="S108" s="0" t="str">
        <f aca="false" t="array" ref="S108:S108">IFERROR(CONCATENATE((INDEX($A$7:$A$85,SMALL(IF($T$7:$T$85&lt;&gt;"",IF($Q$7:$Q$85&lt;&gt;"",ROW($Q$7:$Q$85)-MIN(ROW($Q$7:$Q$85))+1,""),""),ROW()-ROW(A$87)+1))),),"")</f>
        <v/>
      </c>
      <c r="W108" s="0" t="str">
        <f aca="false" t="array" ref="W108:W108">IFERROR(CONCATENATE((INDEX($Z$7:$Z$85,SMALL(IF($Z$7:$Z$85&lt;&gt;"",IF($W$7:$W$85&lt;&gt;"",ROW($W$7:$W$85)-MIN(ROW($W$7:$W$85))+1,""),""),ROW()-ROW(A$87)+1)))," "),"")</f>
        <v/>
      </c>
      <c r="X108" s="0" t="str">
        <f aca="false" t="array" ref="X108:X108">IFERROR(CONCATENATE(TEXT(INDEX($W$7:$W$85,SMALL(IF($Z$7:$Z$85&lt;&gt;"",IF($W$7:$W$85&lt;&gt;"",ROW($W$7:$W$85)-MIN(ROW($W$7:$W$85))+1,""),""),ROW()-ROW(A$87)+1)),"##0")," "),"")</f>
        <v/>
      </c>
      <c r="Y108" s="0" t="str">
        <f aca="false" t="array" ref="Y108:Y108">IFERROR(CONCATENATE((INDEX($A$7:$A$85,SMALL(IF($Z$7:$Z$85&lt;&gt;"",IF($W$7:$W$85&lt;&gt;"",ROW($W$7:$W$85)-MIN(ROW($W$7:$W$85))+1,""),""),ROW()-ROW(A$87)+1))),),"")</f>
        <v/>
      </c>
      <c r="AC108" s="0" t="str">
        <f aca="false" t="array" ref="AC108:AC108">IFERROR(CONCATENATE((INDEX($AF$7:$AF$85,SMALL(IF($AF$7:$AF$85&lt;&gt;"",IF($AC$7:$AC$85&lt;&gt;"",ROW($AC$7:$AC$85)-MIN(ROW($AC$7:$AC$85))+1,""),""),ROW()-ROW(A$87)+1))),","),"")</f>
        <v/>
      </c>
      <c r="AD108" s="0" t="str">
        <f aca="false" t="array" ref="AD108:AD108">IFERROR(CONCATENATE(TEXT(INDEX($AC$7:$AC$85,SMALL(IF($AF$7:$AF$85&lt;&gt;"",IF($AC$7:$AC$85&lt;&gt;"",ROW($AC$7:$AC$85)-MIN(ROW($AC$7:$AC$85))+1,""),""),ROW()-ROW(A$87)+1)),"##0"),","),"")</f>
        <v/>
      </c>
      <c r="AE108" s="0" t="str">
        <f aca="false" t="array" ref="AE108:AE108">IFERROR(CONCATENATE((INDEX($A$7:$A$85,SMALL(IF($AF$7:$AF$85&lt;&gt;"",IF($AC$7:$AC$85&lt;&gt;"",ROW($AC$7:$AC$85)-MIN(ROW($AC$7:$AC$85))+1,""),""),ROW()-ROW(A$87)+1))),),"")</f>
        <v/>
      </c>
      <c r="AI108" s="0" t="str">
        <f aca="false" t="array" ref="AI108:AI108">IFERROR(CONCATENATE((INDEX($AL$7:$AL$85,SMALL(IF($AL$7:$AL$85&lt;&gt;"",IF($AI$7:$AI$85&lt;&gt;"",ROW($AI$7:$AI$85)-MIN(ROW($AI$7:$AI$85))+1,""),""),ROW()-ROW(A$87)+1)))," "),"")</f>
        <v/>
      </c>
      <c r="AJ108" s="0" t="str">
        <f aca="false" t="array" ref="AJ108:AJ108">IFERROR(CONCATENATE(TEXT(INDEX($AI$7:$AI$85,SMALL(IF($AL$7:$AL$85&lt;&gt;"",IF($AI$7:$AI$85&lt;&gt;"",ROW($AI$7:$AI$85)-MIN(ROW($AI$7:$AI$85))+1,""),""),ROW()-ROW(A$87)+1)),"##0")," "),"")</f>
        <v/>
      </c>
      <c r="AK108" s="0" t="str">
        <f aca="false" t="array" ref="AK108:AK108">IFERROR(CONCATENATE((INDEX($A$7:$A$85,SMALL(IF($AL$7:$AL$85&lt;&gt;"",IF($AI$7:$AI$85&lt;&gt;"",ROW($AI$7:$AI$85)-MIN(ROW($AI$7:$AI$85))+1,""),""),ROW()-ROW(A$87)+1))),),"")</f>
        <v/>
      </c>
    </row>
    <row r="109" customFormat="false" ht="15" hidden="false" customHeight="false" outlineLevel="0" collapsed="false">
      <c r="K109" s="0" t="str">
        <f aca="false" t="array" ref="K109:K109">IFERROR(CONCATENATE(TEXT(INDEX($K$7:$K$85,SMALL(IF($N$7:$N$85&lt;&gt;"",IF($K$7:$K$85&lt;&gt;"",ROW($K$7:$K$85)-MIN(ROW($K$7:$K$85))+1,""),""),ROW()-ROW(A$87)+1)),"##0"),","),"")</f>
        <v/>
      </c>
      <c r="L109" s="0" t="str">
        <f aca="false" t="array" ref="L109:L109">IFERROR(CONCATENATE((INDEX($N$7:$N$85,SMALL(IF($N$7:$N$85&lt;&gt;"",IF($K$7:$K$85&lt;&gt;"",ROW($K$7:$K$85)-MIN(ROW($K$7:$K$85))+1,""),""),ROW()-ROW(A$87)+1))),","),"")</f>
        <v/>
      </c>
      <c r="M109" s="0" t="str">
        <f aca="false" t="array" ref="M109:M109">IFERROR(CONCATENATE((INDEX($A$7:$A$85,SMALL(IF($N$7:$N$85&lt;&gt;"",IF($K$7:$K$85&lt;&gt;"",ROW($K$7:$K$85)-MIN(ROW($K$7:$K$85))+1,""),""),ROW()-ROW(A$87)+1))),),"")</f>
        <v/>
      </c>
      <c r="Q109" s="0" t="str">
        <f aca="false" t="array" ref="Q109:Q109">IFERROR(CONCATENATE((INDEX($T$7:$T$85,SMALL(IF($T$7:$T$85&lt;&gt;"",IF($Q$7:$Q$85&lt;&gt;"",ROW($Q$7:$Q$85)-MIN(ROW($Q$7:$Q$85))+1,""),""),ROW()-ROW(A$87)+1)))," "),"")</f>
        <v/>
      </c>
      <c r="R109" s="0" t="str">
        <f aca="false" t="array" ref="R109:R109">IFERROR(CONCATENATE(TEXT(INDEX($Q$7:$Q$85,SMALL(IF($T$7:$T$85&lt;&gt;"",IF($Q$7:$Q$85&lt;&gt;"",ROW($Q$7:$Q$85)-MIN(ROW($Q$7:$Q$85))+1,""),""),ROW()-ROW(A$87)+1)),"##0")," "),"")</f>
        <v/>
      </c>
      <c r="S109" s="0" t="str">
        <f aca="false" t="array" ref="S109:S109">IFERROR(CONCATENATE((INDEX($A$7:$A$85,SMALL(IF($T$7:$T$85&lt;&gt;"",IF($Q$7:$Q$85&lt;&gt;"",ROW($Q$7:$Q$85)-MIN(ROW($Q$7:$Q$85))+1,""),""),ROW()-ROW(A$87)+1))),),"")</f>
        <v/>
      </c>
      <c r="W109" s="0" t="str">
        <f aca="false" t="array" ref="W109:W109">IFERROR(CONCATENATE((INDEX($Z$7:$Z$85,SMALL(IF($Z$7:$Z$85&lt;&gt;"",IF($W$7:$W$85&lt;&gt;"",ROW($W$7:$W$85)-MIN(ROW($W$7:$W$85))+1,""),""),ROW()-ROW(A$87)+1)))," "),"")</f>
        <v/>
      </c>
      <c r="X109" s="0" t="str">
        <f aca="false" t="array" ref="X109:X109">IFERROR(CONCATENATE(TEXT(INDEX($W$7:$W$85,SMALL(IF($Z$7:$Z$85&lt;&gt;"",IF($W$7:$W$85&lt;&gt;"",ROW($W$7:$W$85)-MIN(ROW($W$7:$W$85))+1,""),""),ROW()-ROW(A$87)+1)),"##0")," "),"")</f>
        <v/>
      </c>
      <c r="Y109" s="0" t="str">
        <f aca="false" t="array" ref="Y109:Y109">IFERROR(CONCATENATE((INDEX($A$7:$A$85,SMALL(IF($Z$7:$Z$85&lt;&gt;"",IF($W$7:$W$85&lt;&gt;"",ROW($W$7:$W$85)-MIN(ROW($W$7:$W$85))+1,""),""),ROW()-ROW(A$87)+1))),),"")</f>
        <v/>
      </c>
      <c r="AC109" s="0" t="str">
        <f aca="false" t="array" ref="AC109:AC109">IFERROR(CONCATENATE((INDEX($AF$7:$AF$85,SMALL(IF($AF$7:$AF$85&lt;&gt;"",IF($AC$7:$AC$85&lt;&gt;"",ROW($AC$7:$AC$85)-MIN(ROW($AC$7:$AC$85))+1,""),""),ROW()-ROW(A$87)+1))),","),"")</f>
        <v/>
      </c>
      <c r="AD109" s="0" t="str">
        <f aca="false" t="array" ref="AD109:AD109">IFERROR(CONCATENATE(TEXT(INDEX($AC$7:$AC$85,SMALL(IF($AF$7:$AF$85&lt;&gt;"",IF($AC$7:$AC$85&lt;&gt;"",ROW($AC$7:$AC$85)-MIN(ROW($AC$7:$AC$85))+1,""),""),ROW()-ROW(A$87)+1)),"##0"),","),"")</f>
        <v/>
      </c>
      <c r="AE109" s="0" t="str">
        <f aca="false" t="array" ref="AE109:AE109">IFERROR(CONCATENATE((INDEX($A$7:$A$85,SMALL(IF($AF$7:$AF$85&lt;&gt;"",IF($AC$7:$AC$85&lt;&gt;"",ROW($AC$7:$AC$85)-MIN(ROW($AC$7:$AC$85))+1,""),""),ROW()-ROW(A$87)+1))),),"")</f>
        <v/>
      </c>
      <c r="AI109" s="0" t="str">
        <f aca="false" t="array" ref="AI109:AI109">IFERROR(CONCATENATE((INDEX($AL$7:$AL$85,SMALL(IF($AL$7:$AL$85&lt;&gt;"",IF($AI$7:$AI$85&lt;&gt;"",ROW($AI$7:$AI$85)-MIN(ROW($AI$7:$AI$85))+1,""),""),ROW()-ROW(A$87)+1)))," "),"")</f>
        <v/>
      </c>
      <c r="AJ109" s="0" t="str">
        <f aca="false" t="array" ref="AJ109:AJ109">IFERROR(CONCATENATE(TEXT(INDEX($AI$7:$AI$85,SMALL(IF($AL$7:$AL$85&lt;&gt;"",IF($AI$7:$AI$85&lt;&gt;"",ROW($AI$7:$AI$85)-MIN(ROW($AI$7:$AI$85))+1,""),""),ROW()-ROW(A$87)+1)),"##0")," "),"")</f>
        <v/>
      </c>
      <c r="AK109" s="0" t="str">
        <f aca="false" t="array" ref="AK109:AK109">IFERROR(CONCATENATE((INDEX($A$7:$A$85,SMALL(IF($AL$7:$AL$85&lt;&gt;"",IF($AI$7:$AI$85&lt;&gt;"",ROW($AI$7:$AI$85)-MIN(ROW($AI$7:$AI$85))+1,""),""),ROW()-ROW(A$87)+1))),),"")</f>
        <v/>
      </c>
    </row>
    <row r="110" customFormat="false" ht="15" hidden="false" customHeight="false" outlineLevel="0" collapsed="false">
      <c r="K110" s="0" t="str">
        <f aca="false" t="array" ref="K110:K110">IFERROR(CONCATENATE(TEXT(INDEX($K$7:$K$85,SMALL(IF($N$7:$N$85&lt;&gt;"",IF($K$7:$K$85&lt;&gt;"",ROW($K$7:$K$85)-MIN(ROW($K$7:$K$85))+1,""),""),ROW()-ROW(A$87)+1)),"##0"),","),"")</f>
        <v/>
      </c>
      <c r="L110" s="0" t="str">
        <f aca="false" t="array" ref="L110:L110">IFERROR(CONCATENATE((INDEX($N$7:$N$85,SMALL(IF($N$7:$N$85&lt;&gt;"",IF($K$7:$K$85&lt;&gt;"",ROW($K$7:$K$85)-MIN(ROW($K$7:$K$85))+1,""),""),ROW()-ROW(A$87)+1))),","),"")</f>
        <v/>
      </c>
      <c r="M110" s="0" t="str">
        <f aca="false" t="array" ref="M110:M110">IFERROR(CONCATENATE((INDEX($A$7:$A$85,SMALL(IF($N$7:$N$85&lt;&gt;"",IF($K$7:$K$85&lt;&gt;"",ROW($K$7:$K$85)-MIN(ROW($K$7:$K$85))+1,""),""),ROW()-ROW(A$87)+1))),),"")</f>
        <v/>
      </c>
      <c r="Q110" s="0" t="str">
        <f aca="false" t="array" ref="Q110:Q110">IFERROR(CONCATENATE((INDEX($T$7:$T$85,SMALL(IF($T$7:$T$85&lt;&gt;"",IF($Q$7:$Q$85&lt;&gt;"",ROW($Q$7:$Q$85)-MIN(ROW($Q$7:$Q$85))+1,""),""),ROW()-ROW(A$87)+1)))," "),"")</f>
        <v/>
      </c>
      <c r="R110" s="0" t="str">
        <f aca="false" t="array" ref="R110:R110">IFERROR(CONCATENATE(TEXT(INDEX($Q$7:$Q$85,SMALL(IF($T$7:$T$85&lt;&gt;"",IF($Q$7:$Q$85&lt;&gt;"",ROW($Q$7:$Q$85)-MIN(ROW($Q$7:$Q$85))+1,""),""),ROW()-ROW(A$87)+1)),"##0")," "),"")</f>
        <v/>
      </c>
      <c r="S110" s="0" t="str">
        <f aca="false" t="array" ref="S110:S110">IFERROR(CONCATENATE((INDEX($A$7:$A$85,SMALL(IF($T$7:$T$85&lt;&gt;"",IF($Q$7:$Q$85&lt;&gt;"",ROW($Q$7:$Q$85)-MIN(ROW($Q$7:$Q$85))+1,""),""),ROW()-ROW(A$87)+1))),),"")</f>
        <v/>
      </c>
      <c r="W110" s="0" t="str">
        <f aca="false" t="array" ref="W110:W110">IFERROR(CONCATENATE((INDEX($Z$7:$Z$85,SMALL(IF($Z$7:$Z$85&lt;&gt;"",IF($W$7:$W$85&lt;&gt;"",ROW($W$7:$W$85)-MIN(ROW($W$7:$W$85))+1,""),""),ROW()-ROW(A$87)+1)))," "),"")</f>
        <v/>
      </c>
      <c r="X110" s="0" t="str">
        <f aca="false" t="array" ref="X110:X110">IFERROR(CONCATENATE(TEXT(INDEX($W$7:$W$85,SMALL(IF($Z$7:$Z$85&lt;&gt;"",IF($W$7:$W$85&lt;&gt;"",ROW($W$7:$W$85)-MIN(ROW($W$7:$W$85))+1,""),""),ROW()-ROW(A$87)+1)),"##0")," "),"")</f>
        <v/>
      </c>
      <c r="Y110" s="0" t="str">
        <f aca="false" t="array" ref="Y110:Y110">IFERROR(CONCATENATE((INDEX($A$7:$A$85,SMALL(IF($Z$7:$Z$85&lt;&gt;"",IF($W$7:$W$85&lt;&gt;"",ROW($W$7:$W$85)-MIN(ROW($W$7:$W$85))+1,""),""),ROW()-ROW(A$87)+1))),),"")</f>
        <v/>
      </c>
      <c r="AC110" s="0" t="str">
        <f aca="false" t="array" ref="AC110:AC110">IFERROR(CONCATENATE((INDEX($AF$7:$AF$85,SMALL(IF($AF$7:$AF$85&lt;&gt;"",IF($AC$7:$AC$85&lt;&gt;"",ROW($AC$7:$AC$85)-MIN(ROW($AC$7:$AC$85))+1,""),""),ROW()-ROW(A$87)+1))),","),"")</f>
        <v/>
      </c>
      <c r="AD110" s="0" t="str">
        <f aca="false" t="array" ref="AD110:AD110">IFERROR(CONCATENATE(TEXT(INDEX($AC$7:$AC$85,SMALL(IF($AF$7:$AF$85&lt;&gt;"",IF($AC$7:$AC$85&lt;&gt;"",ROW($AC$7:$AC$85)-MIN(ROW($AC$7:$AC$85))+1,""),""),ROW()-ROW(A$87)+1)),"##0"),","),"")</f>
        <v/>
      </c>
      <c r="AE110" s="0" t="str">
        <f aca="false" t="array" ref="AE110:AE110">IFERROR(CONCATENATE((INDEX($A$7:$A$85,SMALL(IF($AF$7:$AF$85&lt;&gt;"",IF($AC$7:$AC$85&lt;&gt;"",ROW($AC$7:$AC$85)-MIN(ROW($AC$7:$AC$85))+1,""),""),ROW()-ROW(A$87)+1))),),"")</f>
        <v/>
      </c>
      <c r="AI110" s="0" t="str">
        <f aca="false" t="array" ref="AI110:AI110">IFERROR(CONCATENATE((INDEX($AL$7:$AL$85,SMALL(IF($AL$7:$AL$85&lt;&gt;"",IF($AI$7:$AI$85&lt;&gt;"",ROW($AI$7:$AI$85)-MIN(ROW($AI$7:$AI$85))+1,""),""),ROW()-ROW(A$87)+1)))," "),"")</f>
        <v/>
      </c>
      <c r="AJ110" s="0" t="str">
        <f aca="false" t="array" ref="AJ110:AJ110">IFERROR(CONCATENATE(TEXT(INDEX($AI$7:$AI$85,SMALL(IF($AL$7:$AL$85&lt;&gt;"",IF($AI$7:$AI$85&lt;&gt;"",ROW($AI$7:$AI$85)-MIN(ROW($AI$7:$AI$85))+1,""),""),ROW()-ROW(A$87)+1)),"##0")," "),"")</f>
        <v/>
      </c>
      <c r="AK110" s="0" t="str">
        <f aca="false" t="array" ref="AK110:AK110">IFERROR(CONCATENATE((INDEX($A$7:$A$85,SMALL(IF($AL$7:$AL$85&lt;&gt;"",IF($AI$7:$AI$85&lt;&gt;"",ROW($AI$7:$AI$85)-MIN(ROW($AI$7:$AI$85))+1,""),""),ROW()-ROW(A$87)+1))),),"")</f>
        <v/>
      </c>
    </row>
    <row r="111" customFormat="false" ht="15" hidden="false" customHeight="false" outlineLevel="0" collapsed="false">
      <c r="K111" s="0" t="str">
        <f aca="false" t="array" ref="K111:K111">IFERROR(CONCATENATE(TEXT(INDEX($K$7:$K$85,SMALL(IF($N$7:$N$85&lt;&gt;"",IF($K$7:$K$85&lt;&gt;"",ROW($K$7:$K$85)-MIN(ROW($K$7:$K$85))+1,""),""),ROW()-ROW(A$87)+1)),"##0"),","),"")</f>
        <v/>
      </c>
      <c r="L111" s="0" t="str">
        <f aca="false" t="array" ref="L111:L111">IFERROR(CONCATENATE((INDEX($N$7:$N$85,SMALL(IF($N$7:$N$85&lt;&gt;"",IF($K$7:$K$85&lt;&gt;"",ROW($K$7:$K$85)-MIN(ROW($K$7:$K$85))+1,""),""),ROW()-ROW(A$87)+1))),","),"")</f>
        <v/>
      </c>
      <c r="M111" s="0" t="str">
        <f aca="false" t="array" ref="M111:M111">IFERROR(CONCATENATE((INDEX($A$7:$A$85,SMALL(IF($N$7:$N$85&lt;&gt;"",IF($K$7:$K$85&lt;&gt;"",ROW($K$7:$K$85)-MIN(ROW($K$7:$K$85))+1,""),""),ROW()-ROW(A$87)+1))),),"")</f>
        <v/>
      </c>
      <c r="Q111" s="0" t="str">
        <f aca="false" t="array" ref="Q111:Q111">IFERROR(CONCATENATE((INDEX($T$7:$T$85,SMALL(IF($T$7:$T$85&lt;&gt;"",IF($Q$7:$Q$85&lt;&gt;"",ROW($Q$7:$Q$85)-MIN(ROW($Q$7:$Q$85))+1,""),""),ROW()-ROW(A$87)+1)))," "),"")</f>
        <v/>
      </c>
      <c r="R111" s="0" t="str">
        <f aca="false" t="array" ref="R111:R111">IFERROR(CONCATENATE(TEXT(INDEX($Q$7:$Q$85,SMALL(IF($T$7:$T$85&lt;&gt;"",IF($Q$7:$Q$85&lt;&gt;"",ROW($Q$7:$Q$85)-MIN(ROW($Q$7:$Q$85))+1,""),""),ROW()-ROW(A$87)+1)),"##0")," "),"")</f>
        <v/>
      </c>
      <c r="S111" s="0" t="str">
        <f aca="false" t="array" ref="S111:S111">IFERROR(CONCATENATE((INDEX($A$7:$A$85,SMALL(IF($T$7:$T$85&lt;&gt;"",IF($Q$7:$Q$85&lt;&gt;"",ROW($Q$7:$Q$85)-MIN(ROW($Q$7:$Q$85))+1,""),""),ROW()-ROW(A$87)+1))),),"")</f>
        <v/>
      </c>
      <c r="W111" s="0" t="str">
        <f aca="false" t="array" ref="W111:W111">IFERROR(CONCATENATE((INDEX($Z$7:$Z$85,SMALL(IF($Z$7:$Z$85&lt;&gt;"",IF($W$7:$W$85&lt;&gt;"",ROW($W$7:$W$85)-MIN(ROW($W$7:$W$85))+1,""),""),ROW()-ROW(A$87)+1)))," "),"")</f>
        <v/>
      </c>
      <c r="X111" s="0" t="str">
        <f aca="false" t="array" ref="X111:X111">IFERROR(CONCATENATE(TEXT(INDEX($W$7:$W$85,SMALL(IF($Z$7:$Z$85&lt;&gt;"",IF($W$7:$W$85&lt;&gt;"",ROW($W$7:$W$85)-MIN(ROW($W$7:$W$85))+1,""),""),ROW()-ROW(A$87)+1)),"##0")," "),"")</f>
        <v/>
      </c>
      <c r="Y111" s="0" t="str">
        <f aca="false" t="array" ref="Y111:Y111">IFERROR(CONCATENATE((INDEX($A$7:$A$85,SMALL(IF($Z$7:$Z$85&lt;&gt;"",IF($W$7:$W$85&lt;&gt;"",ROW($W$7:$W$85)-MIN(ROW($W$7:$W$85))+1,""),""),ROW()-ROW(A$87)+1))),),"")</f>
        <v/>
      </c>
      <c r="AC111" s="0" t="str">
        <f aca="false" t="array" ref="AC111:AC111">IFERROR(CONCATENATE((INDEX($AF$7:$AF$85,SMALL(IF($AF$7:$AF$85&lt;&gt;"",IF($AC$7:$AC$85&lt;&gt;"",ROW($AC$7:$AC$85)-MIN(ROW($AC$7:$AC$85))+1,""),""),ROW()-ROW(A$87)+1))),","),"")</f>
        <v/>
      </c>
      <c r="AD111" s="0" t="str">
        <f aca="false" t="array" ref="AD111:AD111">IFERROR(CONCATENATE(TEXT(INDEX($AC$7:$AC$85,SMALL(IF($AF$7:$AF$85&lt;&gt;"",IF($AC$7:$AC$85&lt;&gt;"",ROW($AC$7:$AC$85)-MIN(ROW($AC$7:$AC$85))+1,""),""),ROW()-ROW(A$87)+1)),"##0"),","),"")</f>
        <v/>
      </c>
      <c r="AE111" s="0" t="str">
        <f aca="false" t="array" ref="AE111:AE111">IFERROR(CONCATENATE((INDEX($A$7:$A$85,SMALL(IF($AF$7:$AF$85&lt;&gt;"",IF($AC$7:$AC$85&lt;&gt;"",ROW($AC$7:$AC$85)-MIN(ROW($AC$7:$AC$85))+1,""),""),ROW()-ROW(A$87)+1))),),"")</f>
        <v/>
      </c>
      <c r="AI111" s="0" t="str">
        <f aca="false" t="array" ref="AI111:AI111">IFERROR(CONCATENATE((INDEX($AL$7:$AL$85,SMALL(IF($AL$7:$AL$85&lt;&gt;"",IF($AI$7:$AI$85&lt;&gt;"",ROW($AI$7:$AI$85)-MIN(ROW($AI$7:$AI$85))+1,""),""),ROW()-ROW(A$87)+1)))," "),"")</f>
        <v/>
      </c>
      <c r="AJ111" s="0" t="str">
        <f aca="false" t="array" ref="AJ111:AJ111">IFERROR(CONCATENATE(TEXT(INDEX($AI$7:$AI$85,SMALL(IF($AL$7:$AL$85&lt;&gt;"",IF($AI$7:$AI$85&lt;&gt;"",ROW($AI$7:$AI$85)-MIN(ROW($AI$7:$AI$85))+1,""),""),ROW()-ROW(A$87)+1)),"##0")," "),"")</f>
        <v/>
      </c>
      <c r="AK111" s="0" t="str">
        <f aca="false" t="array" ref="AK111:AK111">IFERROR(CONCATENATE((INDEX($A$7:$A$85,SMALL(IF($AL$7:$AL$85&lt;&gt;"",IF($AI$7:$AI$85&lt;&gt;"",ROW($AI$7:$AI$85)-MIN(ROW($AI$7:$AI$85))+1,""),""),ROW()-ROW(A$87)+1))),),"")</f>
        <v/>
      </c>
    </row>
    <row r="112" customFormat="false" ht="15" hidden="false" customHeight="false" outlineLevel="0" collapsed="false">
      <c r="K112" s="0" t="str">
        <f aca="false" t="array" ref="K112:K112">IFERROR(CONCATENATE(TEXT(INDEX($K$7:$K$85,SMALL(IF($N$7:$N$85&lt;&gt;"",IF($K$7:$K$85&lt;&gt;"",ROW($K$7:$K$85)-MIN(ROW($K$7:$K$85))+1,""),""),ROW()-ROW(A$87)+1)),"##0"),","),"")</f>
        <v/>
      </c>
      <c r="L112" s="0" t="str">
        <f aca="false" t="array" ref="L112:L112">IFERROR(CONCATENATE((INDEX($N$7:$N$85,SMALL(IF($N$7:$N$85&lt;&gt;"",IF($K$7:$K$85&lt;&gt;"",ROW($K$7:$K$85)-MIN(ROW($K$7:$K$85))+1,""),""),ROW()-ROW(A$87)+1))),","),"")</f>
        <v/>
      </c>
      <c r="M112" s="0" t="str">
        <f aca="false" t="array" ref="M112:M112">IFERROR(CONCATENATE((INDEX($A$7:$A$85,SMALL(IF($N$7:$N$85&lt;&gt;"",IF($K$7:$K$85&lt;&gt;"",ROW($K$7:$K$85)-MIN(ROW($K$7:$K$85))+1,""),""),ROW()-ROW(A$87)+1))),),"")</f>
        <v/>
      </c>
      <c r="Q112" s="0" t="str">
        <f aca="false" t="array" ref="Q112:Q112">IFERROR(CONCATENATE((INDEX($T$7:$T$85,SMALL(IF($T$7:$T$85&lt;&gt;"",IF($Q$7:$Q$85&lt;&gt;"",ROW($Q$7:$Q$85)-MIN(ROW($Q$7:$Q$85))+1,""),""),ROW()-ROW(A$87)+1)))," "),"")</f>
        <v/>
      </c>
      <c r="R112" s="0" t="str">
        <f aca="false" t="array" ref="R112:R112">IFERROR(CONCATENATE(TEXT(INDEX($Q$7:$Q$85,SMALL(IF($T$7:$T$85&lt;&gt;"",IF($Q$7:$Q$85&lt;&gt;"",ROW($Q$7:$Q$85)-MIN(ROW($Q$7:$Q$85))+1,""),""),ROW()-ROW(A$87)+1)),"##0")," "),"")</f>
        <v/>
      </c>
      <c r="S112" s="0" t="str">
        <f aca="false" t="array" ref="S112:S112">IFERROR(CONCATENATE((INDEX($A$7:$A$85,SMALL(IF($T$7:$T$85&lt;&gt;"",IF($Q$7:$Q$85&lt;&gt;"",ROW($Q$7:$Q$85)-MIN(ROW($Q$7:$Q$85))+1,""),""),ROW()-ROW(A$87)+1))),),"")</f>
        <v/>
      </c>
      <c r="W112" s="0" t="str">
        <f aca="false" t="array" ref="W112:W112">IFERROR(CONCATENATE((INDEX($Z$7:$Z$85,SMALL(IF($Z$7:$Z$85&lt;&gt;"",IF($W$7:$W$85&lt;&gt;"",ROW($W$7:$W$85)-MIN(ROW($W$7:$W$85))+1,""),""),ROW()-ROW(A$87)+1)))," "),"")</f>
        <v/>
      </c>
      <c r="X112" s="0" t="str">
        <f aca="false" t="array" ref="X112:X112">IFERROR(CONCATENATE(TEXT(INDEX($W$7:$W$85,SMALL(IF($Z$7:$Z$85&lt;&gt;"",IF($W$7:$W$85&lt;&gt;"",ROW($W$7:$W$85)-MIN(ROW($W$7:$W$85))+1,""),""),ROW()-ROW(A$87)+1)),"##0")," "),"")</f>
        <v/>
      </c>
      <c r="Y112" s="0" t="str">
        <f aca="false" t="array" ref="Y112:Y112">IFERROR(CONCATENATE((INDEX($A$7:$A$85,SMALL(IF($Z$7:$Z$85&lt;&gt;"",IF($W$7:$W$85&lt;&gt;"",ROW($W$7:$W$85)-MIN(ROW($W$7:$W$85))+1,""),""),ROW()-ROW(A$87)+1))),),"")</f>
        <v/>
      </c>
      <c r="AC112" s="0" t="str">
        <f aca="false" t="array" ref="AC112:AC112">IFERROR(CONCATENATE((INDEX($AF$7:$AF$85,SMALL(IF($AF$7:$AF$85&lt;&gt;"",IF($AC$7:$AC$85&lt;&gt;"",ROW($AC$7:$AC$85)-MIN(ROW($AC$7:$AC$85))+1,""),""),ROW()-ROW(A$87)+1))),","),"")</f>
        <v/>
      </c>
      <c r="AD112" s="0" t="str">
        <f aca="false" t="array" ref="AD112:AD112">IFERROR(CONCATENATE(TEXT(INDEX($AC$7:$AC$85,SMALL(IF($AF$7:$AF$85&lt;&gt;"",IF($AC$7:$AC$85&lt;&gt;"",ROW($AC$7:$AC$85)-MIN(ROW($AC$7:$AC$85))+1,""),""),ROW()-ROW(A$87)+1)),"##0"),","),"")</f>
        <v/>
      </c>
      <c r="AE112" s="0" t="str">
        <f aca="false" t="array" ref="AE112:AE112">IFERROR(CONCATENATE((INDEX($A$7:$A$85,SMALL(IF($AF$7:$AF$85&lt;&gt;"",IF($AC$7:$AC$85&lt;&gt;"",ROW($AC$7:$AC$85)-MIN(ROW($AC$7:$AC$85))+1,""),""),ROW()-ROW(A$87)+1))),),"")</f>
        <v/>
      </c>
      <c r="AI112" s="0" t="str">
        <f aca="false" t="array" ref="AI112:AI112">IFERROR(CONCATENATE((INDEX($AL$7:$AL$85,SMALL(IF($AL$7:$AL$85&lt;&gt;"",IF($AI$7:$AI$85&lt;&gt;"",ROW($AI$7:$AI$85)-MIN(ROW($AI$7:$AI$85))+1,""),""),ROW()-ROW(A$87)+1)))," "),"")</f>
        <v/>
      </c>
      <c r="AJ112" s="0" t="str">
        <f aca="false" t="array" ref="AJ112:AJ112">IFERROR(CONCATENATE(TEXT(INDEX($AI$7:$AI$85,SMALL(IF($AL$7:$AL$85&lt;&gt;"",IF($AI$7:$AI$85&lt;&gt;"",ROW($AI$7:$AI$85)-MIN(ROW($AI$7:$AI$85))+1,""),""),ROW()-ROW(A$87)+1)),"##0")," "),"")</f>
        <v/>
      </c>
      <c r="AK112" s="0" t="str">
        <f aca="false" t="array" ref="AK112:AK112">IFERROR(CONCATENATE((INDEX($A$7:$A$85,SMALL(IF($AL$7:$AL$85&lt;&gt;"",IF($AI$7:$AI$85&lt;&gt;"",ROW($AI$7:$AI$85)-MIN(ROW($AI$7:$AI$85))+1,""),""),ROW()-ROW(A$87)+1))),),"")</f>
        <v/>
      </c>
    </row>
    <row r="113" customFormat="false" ht="15" hidden="false" customHeight="false" outlineLevel="0" collapsed="false">
      <c r="K113" s="0" t="str">
        <f aca="false" t="array" ref="K113:K113">IFERROR(CONCATENATE(TEXT(INDEX($K$7:$K$85,SMALL(IF($N$7:$N$85&lt;&gt;"",IF($K$7:$K$85&lt;&gt;"",ROW($K$7:$K$85)-MIN(ROW($K$7:$K$85))+1,""),""),ROW()-ROW(A$87)+1)),"##0"),","),"")</f>
        <v/>
      </c>
      <c r="L113" s="0" t="str">
        <f aca="false" t="array" ref="L113:L113">IFERROR(CONCATENATE((INDEX($N$7:$N$85,SMALL(IF($N$7:$N$85&lt;&gt;"",IF($K$7:$K$85&lt;&gt;"",ROW($K$7:$K$85)-MIN(ROW($K$7:$K$85))+1,""),""),ROW()-ROW(A$87)+1))),","),"")</f>
        <v/>
      </c>
      <c r="M113" s="0" t="str">
        <f aca="false" t="array" ref="M113:M113">IFERROR(CONCATENATE((INDEX($A$7:$A$85,SMALL(IF($N$7:$N$85&lt;&gt;"",IF($K$7:$K$85&lt;&gt;"",ROW($K$7:$K$85)-MIN(ROW($K$7:$K$85))+1,""),""),ROW()-ROW(A$87)+1))),),"")</f>
        <v/>
      </c>
      <c r="Q113" s="0" t="str">
        <f aca="false" t="array" ref="Q113:Q113">IFERROR(CONCATENATE((INDEX($T$7:$T$85,SMALL(IF($T$7:$T$85&lt;&gt;"",IF($Q$7:$Q$85&lt;&gt;"",ROW($Q$7:$Q$85)-MIN(ROW($Q$7:$Q$85))+1,""),""),ROW()-ROW(A$87)+1)))," "),"")</f>
        <v/>
      </c>
      <c r="R113" s="0" t="str">
        <f aca="false" t="array" ref="R113:R113">IFERROR(CONCATENATE(TEXT(INDEX($Q$7:$Q$85,SMALL(IF($T$7:$T$85&lt;&gt;"",IF($Q$7:$Q$85&lt;&gt;"",ROW($Q$7:$Q$85)-MIN(ROW($Q$7:$Q$85))+1,""),""),ROW()-ROW(A$87)+1)),"##0")," "),"")</f>
        <v/>
      </c>
      <c r="S113" s="0" t="str">
        <f aca="false" t="array" ref="S113:S113">IFERROR(CONCATENATE((INDEX($A$7:$A$85,SMALL(IF($T$7:$T$85&lt;&gt;"",IF($Q$7:$Q$85&lt;&gt;"",ROW($Q$7:$Q$85)-MIN(ROW($Q$7:$Q$85))+1,""),""),ROW()-ROW(A$87)+1))),),"")</f>
        <v/>
      </c>
      <c r="W113" s="0" t="str">
        <f aca="false" t="array" ref="W113:W113">IFERROR(CONCATENATE((INDEX($Z$7:$Z$85,SMALL(IF($Z$7:$Z$85&lt;&gt;"",IF($W$7:$W$85&lt;&gt;"",ROW($W$7:$W$85)-MIN(ROW($W$7:$W$85))+1,""),""),ROW()-ROW(A$87)+1)))," "),"")</f>
        <v/>
      </c>
      <c r="X113" s="0" t="str">
        <f aca="false" t="array" ref="X113:X113">IFERROR(CONCATENATE(TEXT(INDEX($W$7:$W$85,SMALL(IF($Z$7:$Z$85&lt;&gt;"",IF($W$7:$W$85&lt;&gt;"",ROW($W$7:$W$85)-MIN(ROW($W$7:$W$85))+1,""),""),ROW()-ROW(A$87)+1)),"##0")," "),"")</f>
        <v/>
      </c>
      <c r="Y113" s="0" t="str">
        <f aca="false" t="array" ref="Y113:Y113">IFERROR(CONCATENATE((INDEX($A$7:$A$85,SMALL(IF($Z$7:$Z$85&lt;&gt;"",IF($W$7:$W$85&lt;&gt;"",ROW($W$7:$W$85)-MIN(ROW($W$7:$W$85))+1,""),""),ROW()-ROW(A$87)+1))),),"")</f>
        <v/>
      </c>
      <c r="AC113" s="0" t="str">
        <f aca="false" t="array" ref="AC113:AC113">IFERROR(CONCATENATE((INDEX($AF$7:$AF$85,SMALL(IF($AF$7:$AF$85&lt;&gt;"",IF($AC$7:$AC$85&lt;&gt;"",ROW($AC$7:$AC$85)-MIN(ROW($AC$7:$AC$85))+1,""),""),ROW()-ROW(A$87)+1))),","),"")</f>
        <v/>
      </c>
      <c r="AD113" s="0" t="str">
        <f aca="false" t="array" ref="AD113:AD113">IFERROR(CONCATENATE(TEXT(INDEX($AC$7:$AC$85,SMALL(IF($AF$7:$AF$85&lt;&gt;"",IF($AC$7:$AC$85&lt;&gt;"",ROW($AC$7:$AC$85)-MIN(ROW($AC$7:$AC$85))+1,""),""),ROW()-ROW(A$87)+1)),"##0"),","),"")</f>
        <v/>
      </c>
      <c r="AE113" s="0" t="str">
        <f aca="false" t="array" ref="AE113:AE113">IFERROR(CONCATENATE((INDEX($A$7:$A$85,SMALL(IF($AF$7:$AF$85&lt;&gt;"",IF($AC$7:$AC$85&lt;&gt;"",ROW($AC$7:$AC$85)-MIN(ROW($AC$7:$AC$85))+1,""),""),ROW()-ROW(A$87)+1))),),"")</f>
        <v/>
      </c>
      <c r="AI113" s="0" t="str">
        <f aca="false" t="array" ref="AI113:AI113">IFERROR(CONCATENATE((INDEX($AL$7:$AL$85,SMALL(IF($AL$7:$AL$85&lt;&gt;"",IF($AI$7:$AI$85&lt;&gt;"",ROW($AI$7:$AI$85)-MIN(ROW($AI$7:$AI$85))+1,""),""),ROW()-ROW(A$87)+1)))," "),"")</f>
        <v/>
      </c>
      <c r="AJ113" s="0" t="str">
        <f aca="false" t="array" ref="AJ113:AJ113">IFERROR(CONCATENATE(TEXT(INDEX($AI$7:$AI$85,SMALL(IF($AL$7:$AL$85&lt;&gt;"",IF($AI$7:$AI$85&lt;&gt;"",ROW($AI$7:$AI$85)-MIN(ROW($AI$7:$AI$85))+1,""),""),ROW()-ROW(A$87)+1)),"##0")," "),"")</f>
        <v/>
      </c>
      <c r="AK113" s="0" t="str">
        <f aca="false" t="array" ref="AK113:AK113">IFERROR(CONCATENATE((INDEX($A$7:$A$85,SMALL(IF($AL$7:$AL$85&lt;&gt;"",IF($AI$7:$AI$85&lt;&gt;"",ROW($AI$7:$AI$85)-MIN(ROW($AI$7:$AI$85))+1,""),""),ROW()-ROW(A$87)+1))),),"")</f>
        <v/>
      </c>
    </row>
    <row r="114" customFormat="false" ht="15" hidden="false" customHeight="false" outlineLevel="0" collapsed="false">
      <c r="K114" s="0" t="str">
        <f aca="false" t="array" ref="K114:K114">IFERROR(CONCATENATE(TEXT(INDEX($K$7:$K$85,SMALL(IF($N$7:$N$85&lt;&gt;"",IF($K$7:$K$85&lt;&gt;"",ROW($K$7:$K$85)-MIN(ROW($K$7:$K$85))+1,""),""),ROW()-ROW(A$87)+1)),"##0"),","),"")</f>
        <v/>
      </c>
      <c r="L114" s="0" t="str">
        <f aca="false" t="array" ref="L114:L114">IFERROR(CONCATENATE((INDEX($N$7:$N$85,SMALL(IF($N$7:$N$85&lt;&gt;"",IF($K$7:$K$85&lt;&gt;"",ROW($K$7:$K$85)-MIN(ROW($K$7:$K$85))+1,""),""),ROW()-ROW(A$87)+1))),","),"")</f>
        <v/>
      </c>
      <c r="M114" s="0" t="str">
        <f aca="false" t="array" ref="M114:M114">IFERROR(CONCATENATE((INDEX($A$7:$A$85,SMALL(IF($N$7:$N$85&lt;&gt;"",IF($K$7:$K$85&lt;&gt;"",ROW($K$7:$K$85)-MIN(ROW($K$7:$K$85))+1,""),""),ROW()-ROW(A$87)+1))),),"")</f>
        <v/>
      </c>
      <c r="Q114" s="0" t="str">
        <f aca="false" t="array" ref="Q114:Q114">IFERROR(CONCATENATE((INDEX($T$7:$T$85,SMALL(IF($T$7:$T$85&lt;&gt;"",IF($Q$7:$Q$85&lt;&gt;"",ROW($Q$7:$Q$85)-MIN(ROW($Q$7:$Q$85))+1,""),""),ROW()-ROW(A$87)+1)))," "),"")</f>
        <v/>
      </c>
      <c r="R114" s="0" t="str">
        <f aca="false" t="array" ref="R114:R114">IFERROR(CONCATENATE(TEXT(INDEX($Q$7:$Q$85,SMALL(IF($T$7:$T$85&lt;&gt;"",IF($Q$7:$Q$85&lt;&gt;"",ROW($Q$7:$Q$85)-MIN(ROW($Q$7:$Q$85))+1,""),""),ROW()-ROW(A$87)+1)),"##0")," "),"")</f>
        <v/>
      </c>
      <c r="S114" s="0" t="str">
        <f aca="false" t="array" ref="S114:S114">IFERROR(CONCATENATE((INDEX($A$7:$A$85,SMALL(IF($T$7:$T$85&lt;&gt;"",IF($Q$7:$Q$85&lt;&gt;"",ROW($Q$7:$Q$85)-MIN(ROW($Q$7:$Q$85))+1,""),""),ROW()-ROW(A$87)+1))),),"")</f>
        <v/>
      </c>
      <c r="W114" s="0" t="str">
        <f aca="false" t="array" ref="W114:W114">IFERROR(CONCATENATE((INDEX($Z$7:$Z$85,SMALL(IF($Z$7:$Z$85&lt;&gt;"",IF($W$7:$W$85&lt;&gt;"",ROW($W$7:$W$85)-MIN(ROW($W$7:$W$85))+1,""),""),ROW()-ROW(A$87)+1)))," "),"")</f>
        <v/>
      </c>
      <c r="X114" s="0" t="str">
        <f aca="false" t="array" ref="X114:X114">IFERROR(CONCATENATE(TEXT(INDEX($W$7:$W$85,SMALL(IF($Z$7:$Z$85&lt;&gt;"",IF($W$7:$W$85&lt;&gt;"",ROW($W$7:$W$85)-MIN(ROW($W$7:$W$85))+1,""),""),ROW()-ROW(A$87)+1)),"##0")," "),"")</f>
        <v/>
      </c>
      <c r="Y114" s="0" t="str">
        <f aca="false" t="array" ref="Y114:Y114">IFERROR(CONCATENATE((INDEX($A$7:$A$85,SMALL(IF($Z$7:$Z$85&lt;&gt;"",IF($W$7:$W$85&lt;&gt;"",ROW($W$7:$W$85)-MIN(ROW($W$7:$W$85))+1,""),""),ROW()-ROW(A$87)+1))),),"")</f>
        <v/>
      </c>
      <c r="AC114" s="0" t="str">
        <f aca="false" t="array" ref="AC114:AC114">IFERROR(CONCATENATE((INDEX($AF$7:$AF$85,SMALL(IF($AF$7:$AF$85&lt;&gt;"",IF($AC$7:$AC$85&lt;&gt;"",ROW($AC$7:$AC$85)-MIN(ROW($AC$7:$AC$85))+1,""),""),ROW()-ROW(A$87)+1))),","),"")</f>
        <v/>
      </c>
      <c r="AD114" s="0" t="str">
        <f aca="false" t="array" ref="AD114:AD114">IFERROR(CONCATENATE(TEXT(INDEX($AC$7:$AC$85,SMALL(IF($AF$7:$AF$85&lt;&gt;"",IF($AC$7:$AC$85&lt;&gt;"",ROW($AC$7:$AC$85)-MIN(ROW($AC$7:$AC$85))+1,""),""),ROW()-ROW(A$87)+1)),"##0"),","),"")</f>
        <v/>
      </c>
      <c r="AE114" s="0" t="str">
        <f aca="false" t="array" ref="AE114:AE114">IFERROR(CONCATENATE((INDEX($A$7:$A$85,SMALL(IF($AF$7:$AF$85&lt;&gt;"",IF($AC$7:$AC$85&lt;&gt;"",ROW($AC$7:$AC$85)-MIN(ROW($AC$7:$AC$85))+1,""),""),ROW()-ROW(A$87)+1))),),"")</f>
        <v/>
      </c>
      <c r="AI114" s="0" t="str">
        <f aca="false" t="array" ref="AI114:AI114">IFERROR(CONCATENATE((INDEX($AL$7:$AL$85,SMALL(IF($AL$7:$AL$85&lt;&gt;"",IF($AI$7:$AI$85&lt;&gt;"",ROW($AI$7:$AI$85)-MIN(ROW($AI$7:$AI$85))+1,""),""),ROW()-ROW(A$87)+1)))," "),"")</f>
        <v/>
      </c>
      <c r="AJ114" s="0" t="str">
        <f aca="false" t="array" ref="AJ114:AJ114">IFERROR(CONCATENATE(TEXT(INDEX($AI$7:$AI$85,SMALL(IF($AL$7:$AL$85&lt;&gt;"",IF($AI$7:$AI$85&lt;&gt;"",ROW($AI$7:$AI$85)-MIN(ROW($AI$7:$AI$85))+1,""),""),ROW()-ROW(A$87)+1)),"##0")," "),"")</f>
        <v/>
      </c>
      <c r="AK114" s="0" t="str">
        <f aca="false" t="array" ref="AK114:AK114">IFERROR(CONCATENATE((INDEX($A$7:$A$85,SMALL(IF($AL$7:$AL$85&lt;&gt;"",IF($AI$7:$AI$85&lt;&gt;"",ROW($AI$7:$AI$85)-MIN(ROW($AI$7:$AI$85))+1,""),""),ROW()-ROW(A$87)+1))),),"")</f>
        <v/>
      </c>
    </row>
    <row r="115" customFormat="false" ht="15" hidden="false" customHeight="false" outlineLevel="0" collapsed="false">
      <c r="K115" s="0" t="str">
        <f aca="false" t="array" ref="K115:K115">IFERROR(CONCATENATE(TEXT(INDEX($K$7:$K$85,SMALL(IF($N$7:$N$85&lt;&gt;"",IF($K$7:$K$85&lt;&gt;"",ROW($K$7:$K$85)-MIN(ROW($K$7:$K$85))+1,""),""),ROW()-ROW(A$87)+1)),"##0"),","),"")</f>
        <v/>
      </c>
      <c r="L115" s="0" t="str">
        <f aca="false" t="array" ref="L115:L115">IFERROR(CONCATENATE((INDEX($N$7:$N$85,SMALL(IF($N$7:$N$85&lt;&gt;"",IF($K$7:$K$85&lt;&gt;"",ROW($K$7:$K$85)-MIN(ROW($K$7:$K$85))+1,""),""),ROW()-ROW(A$87)+1))),","),"")</f>
        <v/>
      </c>
      <c r="M115" s="0" t="str">
        <f aca="false" t="array" ref="M115:M115">IFERROR(CONCATENATE((INDEX($A$7:$A$85,SMALL(IF($N$7:$N$85&lt;&gt;"",IF($K$7:$K$85&lt;&gt;"",ROW($K$7:$K$85)-MIN(ROW($K$7:$K$85))+1,""),""),ROW()-ROW(A$87)+1))),),"")</f>
        <v/>
      </c>
      <c r="Q115" s="0" t="str">
        <f aca="false" t="array" ref="Q115:Q115">IFERROR(CONCATENATE((INDEX($T$7:$T$85,SMALL(IF($T$7:$T$85&lt;&gt;"",IF($Q$7:$Q$85&lt;&gt;"",ROW($Q$7:$Q$85)-MIN(ROW($Q$7:$Q$85))+1,""),""),ROW()-ROW(A$87)+1)))," "),"")</f>
        <v/>
      </c>
      <c r="R115" s="0" t="str">
        <f aca="false" t="array" ref="R115:R115">IFERROR(CONCATENATE(TEXT(INDEX($Q$7:$Q$85,SMALL(IF($T$7:$T$85&lt;&gt;"",IF($Q$7:$Q$85&lt;&gt;"",ROW($Q$7:$Q$85)-MIN(ROW($Q$7:$Q$85))+1,""),""),ROW()-ROW(A$87)+1)),"##0")," "),"")</f>
        <v/>
      </c>
      <c r="S115" s="0" t="str">
        <f aca="false" t="array" ref="S115:S115">IFERROR(CONCATENATE((INDEX($A$7:$A$85,SMALL(IF($T$7:$T$85&lt;&gt;"",IF($Q$7:$Q$85&lt;&gt;"",ROW($Q$7:$Q$85)-MIN(ROW($Q$7:$Q$85))+1,""),""),ROW()-ROW(A$87)+1))),),"")</f>
        <v/>
      </c>
      <c r="W115" s="0" t="str">
        <f aca="false" t="array" ref="W115:W115">IFERROR(CONCATENATE((INDEX($Z$7:$Z$85,SMALL(IF($Z$7:$Z$85&lt;&gt;"",IF($W$7:$W$85&lt;&gt;"",ROW($W$7:$W$85)-MIN(ROW($W$7:$W$85))+1,""),""),ROW()-ROW(A$87)+1)))," "),"")</f>
        <v/>
      </c>
      <c r="X115" s="0" t="str">
        <f aca="false" t="array" ref="X115:X115">IFERROR(CONCATENATE(TEXT(INDEX($W$7:$W$85,SMALL(IF($Z$7:$Z$85&lt;&gt;"",IF($W$7:$W$85&lt;&gt;"",ROW($W$7:$W$85)-MIN(ROW($W$7:$W$85))+1,""),""),ROW()-ROW(A$87)+1)),"##0")," "),"")</f>
        <v/>
      </c>
      <c r="Y115" s="0" t="str">
        <f aca="false" t="array" ref="Y115:Y115">IFERROR(CONCATENATE((INDEX($A$7:$A$85,SMALL(IF($Z$7:$Z$85&lt;&gt;"",IF($W$7:$W$85&lt;&gt;"",ROW($W$7:$W$85)-MIN(ROW($W$7:$W$85))+1,""),""),ROW()-ROW(A$87)+1))),),"")</f>
        <v/>
      </c>
      <c r="AC115" s="0" t="str">
        <f aca="false" t="array" ref="AC115:AC115">IFERROR(CONCATENATE((INDEX($AF$7:$AF$85,SMALL(IF($AF$7:$AF$85&lt;&gt;"",IF($AC$7:$AC$85&lt;&gt;"",ROW($AC$7:$AC$85)-MIN(ROW($AC$7:$AC$85))+1,""),""),ROW()-ROW(A$87)+1))),","),"")</f>
        <v/>
      </c>
      <c r="AD115" s="0" t="str">
        <f aca="false" t="array" ref="AD115:AD115">IFERROR(CONCATENATE(TEXT(INDEX($AC$7:$AC$85,SMALL(IF($AF$7:$AF$85&lt;&gt;"",IF($AC$7:$AC$85&lt;&gt;"",ROW($AC$7:$AC$85)-MIN(ROW($AC$7:$AC$85))+1,""),""),ROW()-ROW(A$87)+1)),"##0"),","),"")</f>
        <v/>
      </c>
      <c r="AE115" s="0" t="str">
        <f aca="false" t="array" ref="AE115:AE115">IFERROR(CONCATENATE((INDEX($A$7:$A$85,SMALL(IF($AF$7:$AF$85&lt;&gt;"",IF($AC$7:$AC$85&lt;&gt;"",ROW($AC$7:$AC$85)-MIN(ROW($AC$7:$AC$85))+1,""),""),ROW()-ROW(A$87)+1))),),"")</f>
        <v/>
      </c>
      <c r="AI115" s="0" t="str">
        <f aca="false" t="array" ref="AI115:AI115">IFERROR(CONCATENATE((INDEX($AL$7:$AL$85,SMALL(IF($AL$7:$AL$85&lt;&gt;"",IF($AI$7:$AI$85&lt;&gt;"",ROW($AI$7:$AI$85)-MIN(ROW($AI$7:$AI$85))+1,""),""),ROW()-ROW(A$87)+1)))," "),"")</f>
        <v/>
      </c>
      <c r="AJ115" s="0" t="str">
        <f aca="false" t="array" ref="AJ115:AJ115">IFERROR(CONCATENATE(TEXT(INDEX($AI$7:$AI$85,SMALL(IF($AL$7:$AL$85&lt;&gt;"",IF($AI$7:$AI$85&lt;&gt;"",ROW($AI$7:$AI$85)-MIN(ROW($AI$7:$AI$85))+1,""),""),ROW()-ROW(A$87)+1)),"##0")," "),"")</f>
        <v/>
      </c>
      <c r="AK115" s="0" t="str">
        <f aca="false" t="array" ref="AK115:AK115">IFERROR(CONCATENATE((INDEX($A$7:$A$85,SMALL(IF($AL$7:$AL$85&lt;&gt;"",IF($AI$7:$AI$85&lt;&gt;"",ROW($AI$7:$AI$85)-MIN(ROW($AI$7:$AI$85))+1,""),""),ROW()-ROW(A$87)+1))),),"")</f>
        <v/>
      </c>
    </row>
    <row r="116" customFormat="false" ht="15" hidden="false" customHeight="false" outlineLevel="0" collapsed="false">
      <c r="K116" s="0" t="str">
        <f aca="false" t="array" ref="K116:K116">IFERROR(CONCATENATE(TEXT(INDEX($K$7:$K$85,SMALL(IF($N$7:$N$85&lt;&gt;"",IF($K$7:$K$85&lt;&gt;"",ROW($K$7:$K$85)-MIN(ROW($K$7:$K$85))+1,""),""),ROW()-ROW(A$87)+1)),"##0"),","),"")</f>
        <v/>
      </c>
      <c r="L116" s="0" t="str">
        <f aca="false" t="array" ref="L116:L116">IFERROR(CONCATENATE((INDEX($N$7:$N$85,SMALL(IF($N$7:$N$85&lt;&gt;"",IF($K$7:$K$85&lt;&gt;"",ROW($K$7:$K$85)-MIN(ROW($K$7:$K$85))+1,""),""),ROW()-ROW(A$87)+1))),","),"")</f>
        <v/>
      </c>
      <c r="M116" s="0" t="str">
        <f aca="false" t="array" ref="M116:M116">IFERROR(CONCATENATE((INDEX($A$7:$A$85,SMALL(IF($N$7:$N$85&lt;&gt;"",IF($K$7:$K$85&lt;&gt;"",ROW($K$7:$K$85)-MIN(ROW($K$7:$K$85))+1,""),""),ROW()-ROW(A$87)+1))),),"")</f>
        <v/>
      </c>
      <c r="Q116" s="0" t="str">
        <f aca="false" t="array" ref="Q116:Q116">IFERROR(CONCATENATE((INDEX($T$7:$T$85,SMALL(IF($T$7:$T$85&lt;&gt;"",IF($Q$7:$Q$85&lt;&gt;"",ROW($Q$7:$Q$85)-MIN(ROW($Q$7:$Q$85))+1,""),""),ROW()-ROW(A$87)+1)))," "),"")</f>
        <v/>
      </c>
      <c r="R116" s="0" t="str">
        <f aca="false" t="array" ref="R116:R116">IFERROR(CONCATENATE(TEXT(INDEX($Q$7:$Q$85,SMALL(IF($T$7:$T$85&lt;&gt;"",IF($Q$7:$Q$85&lt;&gt;"",ROW($Q$7:$Q$85)-MIN(ROW($Q$7:$Q$85))+1,""),""),ROW()-ROW(A$87)+1)),"##0")," "),"")</f>
        <v/>
      </c>
      <c r="S116" s="0" t="str">
        <f aca="false" t="array" ref="S116:S116">IFERROR(CONCATENATE((INDEX($A$7:$A$85,SMALL(IF($T$7:$T$85&lt;&gt;"",IF($Q$7:$Q$85&lt;&gt;"",ROW($Q$7:$Q$85)-MIN(ROW($Q$7:$Q$85))+1,""),""),ROW()-ROW(A$87)+1))),),"")</f>
        <v/>
      </c>
      <c r="W116" s="0" t="str">
        <f aca="false" t="array" ref="W116:W116">IFERROR(CONCATENATE((INDEX($Z$7:$Z$85,SMALL(IF($Z$7:$Z$85&lt;&gt;"",IF($W$7:$W$85&lt;&gt;"",ROW($W$7:$W$85)-MIN(ROW($W$7:$W$85))+1,""),""),ROW()-ROW(A$87)+1)))," "),"")</f>
        <v/>
      </c>
      <c r="X116" s="0" t="str">
        <f aca="false" t="array" ref="X116:X116">IFERROR(CONCATENATE(TEXT(INDEX($W$7:$W$85,SMALL(IF($Z$7:$Z$85&lt;&gt;"",IF($W$7:$W$85&lt;&gt;"",ROW($W$7:$W$85)-MIN(ROW($W$7:$W$85))+1,""),""),ROW()-ROW(A$87)+1)),"##0")," "),"")</f>
        <v/>
      </c>
      <c r="Y116" s="0" t="str">
        <f aca="false" t="array" ref="Y116:Y116">IFERROR(CONCATENATE((INDEX($A$7:$A$85,SMALL(IF($Z$7:$Z$85&lt;&gt;"",IF($W$7:$W$85&lt;&gt;"",ROW($W$7:$W$85)-MIN(ROW($W$7:$W$85))+1,""),""),ROW()-ROW(A$87)+1))),),"")</f>
        <v/>
      </c>
      <c r="AC116" s="0" t="str">
        <f aca="false" t="array" ref="AC116:AC116">IFERROR(CONCATENATE((INDEX($AF$7:$AF$85,SMALL(IF($AF$7:$AF$85&lt;&gt;"",IF($AC$7:$AC$85&lt;&gt;"",ROW($AC$7:$AC$85)-MIN(ROW($AC$7:$AC$85))+1,""),""),ROW()-ROW(A$87)+1))),","),"")</f>
        <v/>
      </c>
      <c r="AD116" s="0" t="str">
        <f aca="false" t="array" ref="AD116:AD116">IFERROR(CONCATENATE(TEXT(INDEX($AC$7:$AC$85,SMALL(IF($AF$7:$AF$85&lt;&gt;"",IF($AC$7:$AC$85&lt;&gt;"",ROW($AC$7:$AC$85)-MIN(ROW($AC$7:$AC$85))+1,""),""),ROW()-ROW(A$87)+1)),"##0"),","),"")</f>
        <v/>
      </c>
      <c r="AE116" s="0" t="str">
        <f aca="false" t="array" ref="AE116:AE116">IFERROR(CONCATENATE((INDEX($A$7:$A$85,SMALL(IF($AF$7:$AF$85&lt;&gt;"",IF($AC$7:$AC$85&lt;&gt;"",ROW($AC$7:$AC$85)-MIN(ROW($AC$7:$AC$85))+1,""),""),ROW()-ROW(A$87)+1))),),"")</f>
        <v/>
      </c>
      <c r="AI116" s="0" t="str">
        <f aca="false" t="array" ref="AI116:AI116">IFERROR(CONCATENATE((INDEX($AL$7:$AL$85,SMALL(IF($AL$7:$AL$85&lt;&gt;"",IF($AI$7:$AI$85&lt;&gt;"",ROW($AI$7:$AI$85)-MIN(ROW($AI$7:$AI$85))+1,""),""),ROW()-ROW(A$87)+1)))," "),"")</f>
        <v/>
      </c>
      <c r="AJ116" s="0" t="str">
        <f aca="false" t="array" ref="AJ116:AJ116">IFERROR(CONCATENATE(TEXT(INDEX($AI$7:$AI$85,SMALL(IF($AL$7:$AL$85&lt;&gt;"",IF($AI$7:$AI$85&lt;&gt;"",ROW($AI$7:$AI$85)-MIN(ROW($AI$7:$AI$85))+1,""),""),ROW()-ROW(A$87)+1)),"##0")," "),"")</f>
        <v/>
      </c>
      <c r="AK116" s="0" t="str">
        <f aca="false" t="array" ref="AK116:AK116">IFERROR(CONCATENATE((INDEX($A$7:$A$85,SMALL(IF($AL$7:$AL$85&lt;&gt;"",IF($AI$7:$AI$85&lt;&gt;"",ROW($AI$7:$AI$85)-MIN(ROW($AI$7:$AI$85))+1,""),""),ROW()-ROW(A$87)+1))),),"")</f>
        <v/>
      </c>
    </row>
    <row r="117" customFormat="false" ht="15" hidden="false" customHeight="false" outlineLevel="0" collapsed="false">
      <c r="K117" s="0" t="str">
        <f aca="false" t="array" ref="K117:K117">IFERROR(CONCATENATE(TEXT(INDEX($K$7:$K$85,SMALL(IF($N$7:$N$85&lt;&gt;"",IF($K$7:$K$85&lt;&gt;"",ROW($K$7:$K$85)-MIN(ROW($K$7:$K$85))+1,""),""),ROW()-ROW(A$87)+1)),"##0"),","),"")</f>
        <v/>
      </c>
      <c r="L117" s="0" t="str">
        <f aca="false" t="array" ref="L117:L117">IFERROR(CONCATENATE((INDEX($N$7:$N$85,SMALL(IF($N$7:$N$85&lt;&gt;"",IF($K$7:$K$85&lt;&gt;"",ROW($K$7:$K$85)-MIN(ROW($K$7:$K$85))+1,""),""),ROW()-ROW(A$87)+1))),","),"")</f>
        <v/>
      </c>
      <c r="M117" s="0" t="str">
        <f aca="false" t="array" ref="M117:M117">IFERROR(CONCATENATE((INDEX($A$7:$A$85,SMALL(IF($N$7:$N$85&lt;&gt;"",IF($K$7:$K$85&lt;&gt;"",ROW($K$7:$K$85)-MIN(ROW($K$7:$K$85))+1,""),""),ROW()-ROW(A$87)+1))),),"")</f>
        <v/>
      </c>
      <c r="Q117" s="0" t="str">
        <f aca="false" t="array" ref="Q117:Q117">IFERROR(CONCATENATE((INDEX($T$7:$T$85,SMALL(IF($T$7:$T$85&lt;&gt;"",IF($Q$7:$Q$85&lt;&gt;"",ROW($Q$7:$Q$85)-MIN(ROW($Q$7:$Q$85))+1,""),""),ROW()-ROW(A$87)+1)))," "),"")</f>
        <v/>
      </c>
      <c r="R117" s="0" t="str">
        <f aca="false" t="array" ref="R117:R117">IFERROR(CONCATENATE(TEXT(INDEX($Q$7:$Q$85,SMALL(IF($T$7:$T$85&lt;&gt;"",IF($Q$7:$Q$85&lt;&gt;"",ROW($Q$7:$Q$85)-MIN(ROW($Q$7:$Q$85))+1,""),""),ROW()-ROW(A$87)+1)),"##0")," "),"")</f>
        <v/>
      </c>
      <c r="S117" s="0" t="str">
        <f aca="false" t="array" ref="S117:S117">IFERROR(CONCATENATE((INDEX($A$7:$A$85,SMALL(IF($T$7:$T$85&lt;&gt;"",IF($Q$7:$Q$85&lt;&gt;"",ROW($Q$7:$Q$85)-MIN(ROW($Q$7:$Q$85))+1,""),""),ROW()-ROW(A$87)+1))),),"")</f>
        <v/>
      </c>
      <c r="W117" s="0" t="str">
        <f aca="false" t="array" ref="W117:W117">IFERROR(CONCATENATE((INDEX($Z$7:$Z$85,SMALL(IF($Z$7:$Z$85&lt;&gt;"",IF($W$7:$W$85&lt;&gt;"",ROW($W$7:$W$85)-MIN(ROW($W$7:$W$85))+1,""),""),ROW()-ROW(A$87)+1)))," "),"")</f>
        <v/>
      </c>
      <c r="X117" s="0" t="str">
        <f aca="false" t="array" ref="X117:X117">IFERROR(CONCATENATE(TEXT(INDEX($W$7:$W$85,SMALL(IF($Z$7:$Z$85&lt;&gt;"",IF($W$7:$W$85&lt;&gt;"",ROW($W$7:$W$85)-MIN(ROW($W$7:$W$85))+1,""),""),ROW()-ROW(A$87)+1)),"##0")," "),"")</f>
        <v/>
      </c>
      <c r="Y117" s="0" t="str">
        <f aca="false" t="array" ref="Y117:Y117">IFERROR(CONCATENATE((INDEX($A$7:$A$85,SMALL(IF($Z$7:$Z$85&lt;&gt;"",IF($W$7:$W$85&lt;&gt;"",ROW($W$7:$W$85)-MIN(ROW($W$7:$W$85))+1,""),""),ROW()-ROW(A$87)+1))),),"")</f>
        <v/>
      </c>
      <c r="AC117" s="0" t="str">
        <f aca="false" t="array" ref="AC117:AC117">IFERROR(CONCATENATE((INDEX($AF$7:$AF$85,SMALL(IF($AF$7:$AF$85&lt;&gt;"",IF($AC$7:$AC$85&lt;&gt;"",ROW($AC$7:$AC$85)-MIN(ROW($AC$7:$AC$85))+1,""),""),ROW()-ROW(A$87)+1))),","),"")</f>
        <v/>
      </c>
      <c r="AD117" s="0" t="str">
        <f aca="false" t="array" ref="AD117:AD117">IFERROR(CONCATENATE(TEXT(INDEX($AC$7:$AC$85,SMALL(IF($AF$7:$AF$85&lt;&gt;"",IF($AC$7:$AC$85&lt;&gt;"",ROW($AC$7:$AC$85)-MIN(ROW($AC$7:$AC$85))+1,""),""),ROW()-ROW(A$87)+1)),"##0"),","),"")</f>
        <v/>
      </c>
      <c r="AE117" s="0" t="str">
        <f aca="false" t="array" ref="AE117:AE117">IFERROR(CONCATENATE((INDEX($A$7:$A$85,SMALL(IF($AF$7:$AF$85&lt;&gt;"",IF($AC$7:$AC$85&lt;&gt;"",ROW($AC$7:$AC$85)-MIN(ROW($AC$7:$AC$85))+1,""),""),ROW()-ROW(A$87)+1))),),"")</f>
        <v/>
      </c>
      <c r="AI117" s="0" t="str">
        <f aca="false" t="array" ref="AI117:AI117">IFERROR(CONCATENATE((INDEX($AL$7:$AL$85,SMALL(IF($AL$7:$AL$85&lt;&gt;"",IF($AI$7:$AI$85&lt;&gt;"",ROW($AI$7:$AI$85)-MIN(ROW($AI$7:$AI$85))+1,""),""),ROW()-ROW(A$87)+1)))," "),"")</f>
        <v/>
      </c>
      <c r="AJ117" s="0" t="str">
        <f aca="false" t="array" ref="AJ117:AJ117">IFERROR(CONCATENATE(TEXT(INDEX($AI$7:$AI$85,SMALL(IF($AL$7:$AL$85&lt;&gt;"",IF($AI$7:$AI$85&lt;&gt;"",ROW($AI$7:$AI$85)-MIN(ROW($AI$7:$AI$85))+1,""),""),ROW()-ROW(A$87)+1)),"##0")," "),"")</f>
        <v/>
      </c>
      <c r="AK117" s="0" t="str">
        <f aca="false" t="array" ref="AK117:AK117">IFERROR(CONCATENATE((INDEX($A$7:$A$85,SMALL(IF($AL$7:$AL$85&lt;&gt;"",IF($AI$7:$AI$85&lt;&gt;"",ROW($AI$7:$AI$85)-MIN(ROW($AI$7:$AI$85))+1,""),""),ROW()-ROW(A$87)+1))),),"")</f>
        <v/>
      </c>
    </row>
    <row r="118" customFormat="false" ht="15" hidden="false" customHeight="false" outlineLevel="0" collapsed="false">
      <c r="K118" s="0" t="str">
        <f aca="false" t="array" ref="K118:K118">IFERROR(CONCATENATE(TEXT(INDEX($K$7:$K$85,SMALL(IF($N$7:$N$85&lt;&gt;"",IF($K$7:$K$85&lt;&gt;"",ROW($K$7:$K$85)-MIN(ROW($K$7:$K$85))+1,""),""),ROW()-ROW(A$87)+1)),"##0"),","),"")</f>
        <v/>
      </c>
      <c r="L118" s="0" t="str">
        <f aca="false" t="array" ref="L118:L118">IFERROR(CONCATENATE((INDEX($N$7:$N$85,SMALL(IF($N$7:$N$85&lt;&gt;"",IF($K$7:$K$85&lt;&gt;"",ROW($K$7:$K$85)-MIN(ROW($K$7:$K$85))+1,""),""),ROW()-ROW(A$87)+1))),","),"")</f>
        <v/>
      </c>
      <c r="M118" s="0" t="str">
        <f aca="false" t="array" ref="M118:M118">IFERROR(CONCATENATE((INDEX($A$7:$A$85,SMALL(IF($N$7:$N$85&lt;&gt;"",IF($K$7:$K$85&lt;&gt;"",ROW($K$7:$K$85)-MIN(ROW($K$7:$K$85))+1,""),""),ROW()-ROW(A$87)+1))),),"")</f>
        <v/>
      </c>
      <c r="Q118" s="0" t="str">
        <f aca="false" t="array" ref="Q118:Q118">IFERROR(CONCATENATE((INDEX($T$7:$T$85,SMALL(IF($T$7:$T$85&lt;&gt;"",IF($Q$7:$Q$85&lt;&gt;"",ROW($Q$7:$Q$85)-MIN(ROW($Q$7:$Q$85))+1,""),""),ROW()-ROW(A$87)+1)))," "),"")</f>
        <v/>
      </c>
      <c r="R118" s="0" t="str">
        <f aca="false" t="array" ref="R118:R118">IFERROR(CONCATENATE(TEXT(INDEX($Q$7:$Q$85,SMALL(IF($T$7:$T$85&lt;&gt;"",IF($Q$7:$Q$85&lt;&gt;"",ROW($Q$7:$Q$85)-MIN(ROW($Q$7:$Q$85))+1,""),""),ROW()-ROW(A$87)+1)),"##0")," "),"")</f>
        <v/>
      </c>
      <c r="S118" s="0" t="str">
        <f aca="false" t="array" ref="S118:S118">IFERROR(CONCATENATE((INDEX($A$7:$A$85,SMALL(IF($T$7:$T$85&lt;&gt;"",IF($Q$7:$Q$85&lt;&gt;"",ROW($Q$7:$Q$85)-MIN(ROW($Q$7:$Q$85))+1,""),""),ROW()-ROW(A$87)+1))),),"")</f>
        <v/>
      </c>
      <c r="W118" s="0" t="str">
        <f aca="false" t="array" ref="W118:W118">IFERROR(CONCATENATE((INDEX($Z$7:$Z$85,SMALL(IF($Z$7:$Z$85&lt;&gt;"",IF($W$7:$W$85&lt;&gt;"",ROW($W$7:$W$85)-MIN(ROW($W$7:$W$85))+1,""),""),ROW()-ROW(A$87)+1)))," "),"")</f>
        <v/>
      </c>
      <c r="X118" s="0" t="str">
        <f aca="false" t="array" ref="X118:X118">IFERROR(CONCATENATE(TEXT(INDEX($W$7:$W$85,SMALL(IF($Z$7:$Z$85&lt;&gt;"",IF($W$7:$W$85&lt;&gt;"",ROW($W$7:$W$85)-MIN(ROW($W$7:$W$85))+1,""),""),ROW()-ROW(A$87)+1)),"##0")," "),"")</f>
        <v/>
      </c>
      <c r="Y118" s="0" t="str">
        <f aca="false" t="array" ref="Y118:Y118">IFERROR(CONCATENATE((INDEX($A$7:$A$85,SMALL(IF($Z$7:$Z$85&lt;&gt;"",IF($W$7:$W$85&lt;&gt;"",ROW($W$7:$W$85)-MIN(ROW($W$7:$W$85))+1,""),""),ROW()-ROW(A$87)+1))),),"")</f>
        <v/>
      </c>
      <c r="AC118" s="0" t="str">
        <f aca="false" t="array" ref="AC118:AC118">IFERROR(CONCATENATE((INDEX($AF$7:$AF$85,SMALL(IF($AF$7:$AF$85&lt;&gt;"",IF($AC$7:$AC$85&lt;&gt;"",ROW($AC$7:$AC$85)-MIN(ROW($AC$7:$AC$85))+1,""),""),ROW()-ROW(A$87)+1))),","),"")</f>
        <v/>
      </c>
      <c r="AD118" s="0" t="str">
        <f aca="false" t="array" ref="AD118:AD118">IFERROR(CONCATENATE(TEXT(INDEX($AC$7:$AC$85,SMALL(IF($AF$7:$AF$85&lt;&gt;"",IF($AC$7:$AC$85&lt;&gt;"",ROW($AC$7:$AC$85)-MIN(ROW($AC$7:$AC$85))+1,""),""),ROW()-ROW(A$87)+1)),"##0"),","),"")</f>
        <v/>
      </c>
      <c r="AE118" s="0" t="str">
        <f aca="false" t="array" ref="AE118:AE118">IFERROR(CONCATENATE((INDEX($A$7:$A$85,SMALL(IF($AF$7:$AF$85&lt;&gt;"",IF($AC$7:$AC$85&lt;&gt;"",ROW($AC$7:$AC$85)-MIN(ROW($AC$7:$AC$85))+1,""),""),ROW()-ROW(A$87)+1))),),"")</f>
        <v/>
      </c>
      <c r="AI118" s="0" t="str">
        <f aca="false" t="array" ref="AI118:AI118">IFERROR(CONCATENATE((INDEX($AL$7:$AL$85,SMALL(IF($AL$7:$AL$85&lt;&gt;"",IF($AI$7:$AI$85&lt;&gt;"",ROW($AI$7:$AI$85)-MIN(ROW($AI$7:$AI$85))+1,""),""),ROW()-ROW(A$87)+1)))," "),"")</f>
        <v/>
      </c>
      <c r="AJ118" s="0" t="str">
        <f aca="false" t="array" ref="AJ118:AJ118">IFERROR(CONCATENATE(TEXT(INDEX($AI$7:$AI$85,SMALL(IF($AL$7:$AL$85&lt;&gt;"",IF($AI$7:$AI$85&lt;&gt;"",ROW($AI$7:$AI$85)-MIN(ROW($AI$7:$AI$85))+1,""),""),ROW()-ROW(A$87)+1)),"##0")," "),"")</f>
        <v/>
      </c>
      <c r="AK118" s="0" t="str">
        <f aca="false" t="array" ref="AK118:AK118">IFERROR(CONCATENATE((INDEX($A$7:$A$85,SMALL(IF($AL$7:$AL$85&lt;&gt;"",IF($AI$7:$AI$85&lt;&gt;"",ROW($AI$7:$AI$85)-MIN(ROW($AI$7:$AI$85))+1,""),""),ROW()-ROW(A$87)+1))),),"")</f>
        <v/>
      </c>
    </row>
    <row r="119" customFormat="false" ht="15" hidden="false" customHeight="false" outlineLevel="0" collapsed="false">
      <c r="K119" s="0" t="str">
        <f aca="false" t="array" ref="K119:K119">IFERROR(CONCATENATE(TEXT(INDEX($K$7:$K$85,SMALL(IF($N$7:$N$85&lt;&gt;"",IF($K$7:$K$85&lt;&gt;"",ROW($K$7:$K$85)-MIN(ROW($K$7:$K$85))+1,""),""),ROW()-ROW(A$87)+1)),"##0"),","),"")</f>
        <v/>
      </c>
      <c r="L119" s="0" t="str">
        <f aca="false" t="array" ref="L119:L119">IFERROR(CONCATENATE((INDEX($N$7:$N$85,SMALL(IF($N$7:$N$85&lt;&gt;"",IF($K$7:$K$85&lt;&gt;"",ROW($K$7:$K$85)-MIN(ROW($K$7:$K$85))+1,""),""),ROW()-ROW(A$87)+1))),","),"")</f>
        <v/>
      </c>
      <c r="M119" s="0" t="str">
        <f aca="false" t="array" ref="M119:M119">IFERROR(CONCATENATE((INDEX($A$7:$A$85,SMALL(IF($N$7:$N$85&lt;&gt;"",IF($K$7:$K$85&lt;&gt;"",ROW($K$7:$K$85)-MIN(ROW($K$7:$K$85))+1,""),""),ROW()-ROW(A$87)+1))),),"")</f>
        <v/>
      </c>
      <c r="Q119" s="0" t="str">
        <f aca="false" t="array" ref="Q119:Q119">IFERROR(CONCATENATE((INDEX($T$7:$T$85,SMALL(IF($T$7:$T$85&lt;&gt;"",IF($Q$7:$Q$85&lt;&gt;"",ROW($Q$7:$Q$85)-MIN(ROW($Q$7:$Q$85))+1,""),""),ROW()-ROW(A$87)+1)))," "),"")</f>
        <v/>
      </c>
      <c r="R119" s="0" t="str">
        <f aca="false" t="array" ref="R119:R119">IFERROR(CONCATENATE(TEXT(INDEX($Q$7:$Q$85,SMALL(IF($T$7:$T$85&lt;&gt;"",IF($Q$7:$Q$85&lt;&gt;"",ROW($Q$7:$Q$85)-MIN(ROW($Q$7:$Q$85))+1,""),""),ROW()-ROW(A$87)+1)),"##0")," "),"")</f>
        <v/>
      </c>
      <c r="S119" s="0" t="str">
        <f aca="false" t="array" ref="S119:S119">IFERROR(CONCATENATE((INDEX($A$7:$A$85,SMALL(IF($T$7:$T$85&lt;&gt;"",IF($Q$7:$Q$85&lt;&gt;"",ROW($Q$7:$Q$85)-MIN(ROW($Q$7:$Q$85))+1,""),""),ROW()-ROW(A$87)+1))),),"")</f>
        <v/>
      </c>
      <c r="W119" s="0" t="str">
        <f aca="false" t="array" ref="W119:W119">IFERROR(CONCATENATE((INDEX($Z$7:$Z$85,SMALL(IF($Z$7:$Z$85&lt;&gt;"",IF($W$7:$W$85&lt;&gt;"",ROW($W$7:$W$85)-MIN(ROW($W$7:$W$85))+1,""),""),ROW()-ROW(A$87)+1)))," "),"")</f>
        <v/>
      </c>
      <c r="X119" s="0" t="str">
        <f aca="false" t="array" ref="X119:X119">IFERROR(CONCATENATE(TEXT(INDEX($W$7:$W$85,SMALL(IF($Z$7:$Z$85&lt;&gt;"",IF($W$7:$W$85&lt;&gt;"",ROW($W$7:$W$85)-MIN(ROW($W$7:$W$85))+1,""),""),ROW()-ROW(A$87)+1)),"##0")," "),"")</f>
        <v/>
      </c>
      <c r="Y119" s="0" t="str">
        <f aca="false" t="array" ref="Y119:Y119">IFERROR(CONCATENATE((INDEX($A$7:$A$85,SMALL(IF($Z$7:$Z$85&lt;&gt;"",IF($W$7:$W$85&lt;&gt;"",ROW($W$7:$W$85)-MIN(ROW($W$7:$W$85))+1,""),""),ROW()-ROW(A$87)+1))),),"")</f>
        <v/>
      </c>
      <c r="AC119" s="0" t="str">
        <f aca="false" t="array" ref="AC119:AC119">IFERROR(CONCATENATE((INDEX($AF$7:$AF$85,SMALL(IF($AF$7:$AF$85&lt;&gt;"",IF($AC$7:$AC$85&lt;&gt;"",ROW($AC$7:$AC$85)-MIN(ROW($AC$7:$AC$85))+1,""),""),ROW()-ROW(A$87)+1))),","),"")</f>
        <v/>
      </c>
      <c r="AD119" s="0" t="str">
        <f aca="false" t="array" ref="AD119:AD119">IFERROR(CONCATENATE(TEXT(INDEX($AC$7:$AC$85,SMALL(IF($AF$7:$AF$85&lt;&gt;"",IF($AC$7:$AC$85&lt;&gt;"",ROW($AC$7:$AC$85)-MIN(ROW($AC$7:$AC$85))+1,""),""),ROW()-ROW(A$87)+1)),"##0"),","),"")</f>
        <v/>
      </c>
      <c r="AE119" s="0" t="str">
        <f aca="false" t="array" ref="AE119:AE119">IFERROR(CONCATENATE((INDEX($A$7:$A$85,SMALL(IF($AF$7:$AF$85&lt;&gt;"",IF($AC$7:$AC$85&lt;&gt;"",ROW($AC$7:$AC$85)-MIN(ROW($AC$7:$AC$85))+1,""),""),ROW()-ROW(A$87)+1))),),"")</f>
        <v/>
      </c>
      <c r="AI119" s="0" t="str">
        <f aca="false" t="array" ref="AI119:AI119">IFERROR(CONCATENATE((INDEX($AL$7:$AL$85,SMALL(IF($AL$7:$AL$85&lt;&gt;"",IF($AI$7:$AI$85&lt;&gt;"",ROW($AI$7:$AI$85)-MIN(ROW($AI$7:$AI$85))+1,""),""),ROW()-ROW(A$87)+1)))," "),"")</f>
        <v/>
      </c>
      <c r="AJ119" s="0" t="str">
        <f aca="false" t="array" ref="AJ119:AJ119">IFERROR(CONCATENATE(TEXT(INDEX($AI$7:$AI$85,SMALL(IF($AL$7:$AL$85&lt;&gt;"",IF($AI$7:$AI$85&lt;&gt;"",ROW($AI$7:$AI$85)-MIN(ROW($AI$7:$AI$85))+1,""),""),ROW()-ROW(A$87)+1)),"##0")," "),"")</f>
        <v/>
      </c>
      <c r="AK119" s="0" t="str">
        <f aca="false" t="array" ref="AK119:AK119">IFERROR(CONCATENATE((INDEX($A$7:$A$85,SMALL(IF($AL$7:$AL$85&lt;&gt;"",IF($AI$7:$AI$85&lt;&gt;"",ROW($AI$7:$AI$85)-MIN(ROW($AI$7:$AI$85))+1,""),""),ROW()-ROW(A$87)+1))),),"")</f>
        <v/>
      </c>
    </row>
    <row r="120" customFormat="false" ht="15" hidden="false" customHeight="false" outlineLevel="0" collapsed="false">
      <c r="K120" s="0" t="str">
        <f aca="false" t="array" ref="K120:K120">IFERROR(CONCATENATE(TEXT(INDEX($K$7:$K$85,SMALL(IF($N$7:$N$85&lt;&gt;"",IF($K$7:$K$85&lt;&gt;"",ROW($K$7:$K$85)-MIN(ROW($K$7:$K$85))+1,""),""),ROW()-ROW(A$87)+1)),"##0"),","),"")</f>
        <v/>
      </c>
      <c r="L120" s="0" t="str">
        <f aca="false" t="array" ref="L120:L120">IFERROR(CONCATENATE((INDEX($N$7:$N$85,SMALL(IF($N$7:$N$85&lt;&gt;"",IF($K$7:$K$85&lt;&gt;"",ROW($K$7:$K$85)-MIN(ROW($K$7:$K$85))+1,""),""),ROW()-ROW(A$87)+1))),","),"")</f>
        <v/>
      </c>
      <c r="M120" s="0" t="str">
        <f aca="false" t="array" ref="M120:M120">IFERROR(CONCATENATE((INDEX($A$7:$A$85,SMALL(IF($N$7:$N$85&lt;&gt;"",IF($K$7:$K$85&lt;&gt;"",ROW($K$7:$K$85)-MIN(ROW($K$7:$K$85))+1,""),""),ROW()-ROW(A$87)+1))),),"")</f>
        <v/>
      </c>
      <c r="Q120" s="0" t="str">
        <f aca="false" t="array" ref="Q120:Q120">IFERROR(CONCATENATE((INDEX($T$7:$T$85,SMALL(IF($T$7:$T$85&lt;&gt;"",IF($Q$7:$Q$85&lt;&gt;"",ROW($Q$7:$Q$85)-MIN(ROW($Q$7:$Q$85))+1,""),""),ROW()-ROW(A$87)+1)))," "),"")</f>
        <v/>
      </c>
      <c r="R120" s="0" t="str">
        <f aca="false" t="array" ref="R120:R120">IFERROR(CONCATENATE(TEXT(INDEX($Q$7:$Q$85,SMALL(IF($T$7:$T$85&lt;&gt;"",IF($Q$7:$Q$85&lt;&gt;"",ROW($Q$7:$Q$85)-MIN(ROW($Q$7:$Q$85))+1,""),""),ROW()-ROW(A$87)+1)),"##0")," "),"")</f>
        <v/>
      </c>
      <c r="S120" s="0" t="str">
        <f aca="false" t="array" ref="S120:S120">IFERROR(CONCATENATE((INDEX($A$7:$A$85,SMALL(IF($T$7:$T$85&lt;&gt;"",IF($Q$7:$Q$85&lt;&gt;"",ROW($Q$7:$Q$85)-MIN(ROW($Q$7:$Q$85))+1,""),""),ROW()-ROW(A$87)+1))),),"")</f>
        <v/>
      </c>
      <c r="W120" s="0" t="str">
        <f aca="false" t="array" ref="W120:W120">IFERROR(CONCATENATE((INDEX($Z$7:$Z$85,SMALL(IF($Z$7:$Z$85&lt;&gt;"",IF($W$7:$W$85&lt;&gt;"",ROW($W$7:$W$85)-MIN(ROW($W$7:$W$85))+1,""),""),ROW()-ROW(A$87)+1)))," "),"")</f>
        <v/>
      </c>
      <c r="X120" s="0" t="str">
        <f aca="false" t="array" ref="X120:X120">IFERROR(CONCATENATE(TEXT(INDEX($W$7:$W$85,SMALL(IF($Z$7:$Z$85&lt;&gt;"",IF($W$7:$W$85&lt;&gt;"",ROW($W$7:$W$85)-MIN(ROW($W$7:$W$85))+1,""),""),ROW()-ROW(A$87)+1)),"##0")," "),"")</f>
        <v/>
      </c>
      <c r="Y120" s="0" t="str">
        <f aca="false" t="array" ref="Y120:Y120">IFERROR(CONCATENATE((INDEX($A$7:$A$85,SMALL(IF($Z$7:$Z$85&lt;&gt;"",IF($W$7:$W$85&lt;&gt;"",ROW($W$7:$W$85)-MIN(ROW($W$7:$W$85))+1,""),""),ROW()-ROW(A$87)+1))),),"")</f>
        <v/>
      </c>
      <c r="AC120" s="0" t="str">
        <f aca="false" t="array" ref="AC120:AC120">IFERROR(CONCATENATE((INDEX($AF$7:$AF$85,SMALL(IF($AF$7:$AF$85&lt;&gt;"",IF($AC$7:$AC$85&lt;&gt;"",ROW($AC$7:$AC$85)-MIN(ROW($AC$7:$AC$85))+1,""),""),ROW()-ROW(A$87)+1))),","),"")</f>
        <v/>
      </c>
      <c r="AD120" s="0" t="str">
        <f aca="false" t="array" ref="AD120:AD120">IFERROR(CONCATENATE(TEXT(INDEX($AC$7:$AC$85,SMALL(IF($AF$7:$AF$85&lt;&gt;"",IF($AC$7:$AC$85&lt;&gt;"",ROW($AC$7:$AC$85)-MIN(ROW($AC$7:$AC$85))+1,""),""),ROW()-ROW(A$87)+1)),"##0"),","),"")</f>
        <v/>
      </c>
      <c r="AE120" s="0" t="str">
        <f aca="false" t="array" ref="AE120:AE120">IFERROR(CONCATENATE((INDEX($A$7:$A$85,SMALL(IF($AF$7:$AF$85&lt;&gt;"",IF($AC$7:$AC$85&lt;&gt;"",ROW($AC$7:$AC$85)-MIN(ROW($AC$7:$AC$85))+1,""),""),ROW()-ROW(A$87)+1))),),"")</f>
        <v/>
      </c>
      <c r="AI120" s="0" t="str">
        <f aca="false" t="array" ref="AI120:AI120">IFERROR(CONCATENATE((INDEX($AL$7:$AL$85,SMALL(IF($AL$7:$AL$85&lt;&gt;"",IF($AI$7:$AI$85&lt;&gt;"",ROW($AI$7:$AI$85)-MIN(ROW($AI$7:$AI$85))+1,""),""),ROW()-ROW(A$87)+1)))," "),"")</f>
        <v/>
      </c>
      <c r="AJ120" s="0" t="str">
        <f aca="false" t="array" ref="AJ120:AJ120">IFERROR(CONCATENATE(TEXT(INDEX($AI$7:$AI$85,SMALL(IF($AL$7:$AL$85&lt;&gt;"",IF($AI$7:$AI$85&lt;&gt;"",ROW($AI$7:$AI$85)-MIN(ROW($AI$7:$AI$85))+1,""),""),ROW()-ROW(A$87)+1)),"##0")," "),"")</f>
        <v/>
      </c>
      <c r="AK120" s="0" t="str">
        <f aca="false" t="array" ref="AK120:AK120">IFERROR(CONCATENATE((INDEX($A$7:$A$85,SMALL(IF($AL$7:$AL$85&lt;&gt;"",IF($AI$7:$AI$85&lt;&gt;"",ROW($AI$7:$AI$85)-MIN(ROW($AI$7:$AI$85))+1,""),""),ROW()-ROW(A$87)+1))),),"")</f>
        <v/>
      </c>
    </row>
    <row r="121" customFormat="false" ht="15" hidden="false" customHeight="false" outlineLevel="0" collapsed="false">
      <c r="K121" s="0" t="str">
        <f aca="false" t="array" ref="K121:K121">IFERROR(CONCATENATE(TEXT(INDEX($K$7:$K$85,SMALL(IF($N$7:$N$85&lt;&gt;"",IF($K$7:$K$85&lt;&gt;"",ROW($K$7:$K$85)-MIN(ROW($K$7:$K$85))+1,""),""),ROW()-ROW(A$87)+1)),"##0"),","),"")</f>
        <v/>
      </c>
      <c r="L121" s="0" t="str">
        <f aca="false" t="array" ref="L121:L121">IFERROR(CONCATENATE((INDEX($N$7:$N$85,SMALL(IF($N$7:$N$85&lt;&gt;"",IF($K$7:$K$85&lt;&gt;"",ROW($K$7:$K$85)-MIN(ROW($K$7:$K$85))+1,""),""),ROW()-ROW(A$87)+1))),","),"")</f>
        <v/>
      </c>
      <c r="M121" s="0" t="str">
        <f aca="false" t="array" ref="M121:M121">IFERROR(CONCATENATE((INDEX($A$7:$A$85,SMALL(IF($N$7:$N$85&lt;&gt;"",IF($K$7:$K$85&lt;&gt;"",ROW($K$7:$K$85)-MIN(ROW($K$7:$K$85))+1,""),""),ROW()-ROW(A$87)+1))),),"")</f>
        <v/>
      </c>
      <c r="Q121" s="0" t="str">
        <f aca="false" t="array" ref="Q121:Q121">IFERROR(CONCATENATE((INDEX($T$7:$T$85,SMALL(IF($T$7:$T$85&lt;&gt;"",IF($Q$7:$Q$85&lt;&gt;"",ROW($Q$7:$Q$85)-MIN(ROW($Q$7:$Q$85))+1,""),""),ROW()-ROW(A$87)+1)))," "),"")</f>
        <v/>
      </c>
      <c r="R121" s="0" t="str">
        <f aca="false" t="array" ref="R121:R121">IFERROR(CONCATENATE(TEXT(INDEX($Q$7:$Q$85,SMALL(IF($T$7:$T$85&lt;&gt;"",IF($Q$7:$Q$85&lt;&gt;"",ROW($Q$7:$Q$85)-MIN(ROW($Q$7:$Q$85))+1,""),""),ROW()-ROW(A$87)+1)),"##0")," "),"")</f>
        <v/>
      </c>
      <c r="S121" s="0" t="str">
        <f aca="false" t="array" ref="S121:S121">IFERROR(CONCATENATE((INDEX($A$7:$A$85,SMALL(IF($T$7:$T$85&lt;&gt;"",IF($Q$7:$Q$85&lt;&gt;"",ROW($Q$7:$Q$85)-MIN(ROW($Q$7:$Q$85))+1,""),""),ROW()-ROW(A$87)+1))),),"")</f>
        <v/>
      </c>
      <c r="W121" s="0" t="str">
        <f aca="false" t="array" ref="W121:W121">IFERROR(CONCATENATE((INDEX($Z$7:$Z$85,SMALL(IF($Z$7:$Z$85&lt;&gt;"",IF($W$7:$W$85&lt;&gt;"",ROW($W$7:$W$85)-MIN(ROW($W$7:$W$85))+1,""),""),ROW()-ROW(A$87)+1)))," "),"")</f>
        <v/>
      </c>
      <c r="X121" s="0" t="str">
        <f aca="false" t="array" ref="X121:X121">IFERROR(CONCATENATE(TEXT(INDEX($W$7:$W$85,SMALL(IF($Z$7:$Z$85&lt;&gt;"",IF($W$7:$W$85&lt;&gt;"",ROW($W$7:$W$85)-MIN(ROW($W$7:$W$85))+1,""),""),ROW()-ROW(A$87)+1)),"##0")," "),"")</f>
        <v/>
      </c>
      <c r="Y121" s="0" t="str">
        <f aca="false" t="array" ref="Y121:Y121">IFERROR(CONCATENATE((INDEX($A$7:$A$85,SMALL(IF($Z$7:$Z$85&lt;&gt;"",IF($W$7:$W$85&lt;&gt;"",ROW($W$7:$W$85)-MIN(ROW($W$7:$W$85))+1,""),""),ROW()-ROW(A$87)+1))),),"")</f>
        <v/>
      </c>
      <c r="AC121" s="0" t="str">
        <f aca="false" t="array" ref="AC121:AC121">IFERROR(CONCATENATE((INDEX($AF$7:$AF$85,SMALL(IF($AF$7:$AF$85&lt;&gt;"",IF($AC$7:$AC$85&lt;&gt;"",ROW($AC$7:$AC$85)-MIN(ROW($AC$7:$AC$85))+1,""),""),ROW()-ROW(A$87)+1))),","),"")</f>
        <v/>
      </c>
      <c r="AD121" s="0" t="str">
        <f aca="false" t="array" ref="AD121:AD121">IFERROR(CONCATENATE(TEXT(INDEX($AC$7:$AC$85,SMALL(IF($AF$7:$AF$85&lt;&gt;"",IF($AC$7:$AC$85&lt;&gt;"",ROW($AC$7:$AC$85)-MIN(ROW($AC$7:$AC$85))+1,""),""),ROW()-ROW(A$87)+1)),"##0"),","),"")</f>
        <v/>
      </c>
      <c r="AE121" s="0" t="str">
        <f aca="false" t="array" ref="AE121:AE121">IFERROR(CONCATENATE((INDEX($A$7:$A$85,SMALL(IF($AF$7:$AF$85&lt;&gt;"",IF($AC$7:$AC$85&lt;&gt;"",ROW($AC$7:$AC$85)-MIN(ROW($AC$7:$AC$85))+1,""),""),ROW()-ROW(A$87)+1))),),"")</f>
        <v/>
      </c>
      <c r="AI121" s="0" t="str">
        <f aca="false" t="array" ref="AI121:AI121">IFERROR(CONCATENATE((INDEX($AL$7:$AL$85,SMALL(IF($AL$7:$AL$85&lt;&gt;"",IF($AI$7:$AI$85&lt;&gt;"",ROW($AI$7:$AI$85)-MIN(ROW($AI$7:$AI$85))+1,""),""),ROW()-ROW(A$87)+1)))," "),"")</f>
        <v/>
      </c>
      <c r="AJ121" s="0" t="str">
        <f aca="false" t="array" ref="AJ121:AJ121">IFERROR(CONCATENATE(TEXT(INDEX($AI$7:$AI$85,SMALL(IF($AL$7:$AL$85&lt;&gt;"",IF($AI$7:$AI$85&lt;&gt;"",ROW($AI$7:$AI$85)-MIN(ROW($AI$7:$AI$85))+1,""),""),ROW()-ROW(A$87)+1)),"##0")," "),"")</f>
        <v/>
      </c>
      <c r="AK121" s="0" t="str">
        <f aca="false" t="array" ref="AK121:AK121">IFERROR(CONCATENATE((INDEX($A$7:$A$85,SMALL(IF($AL$7:$AL$85&lt;&gt;"",IF($AI$7:$AI$85&lt;&gt;"",ROW($AI$7:$AI$85)-MIN(ROW($AI$7:$AI$85))+1,""),""),ROW()-ROW(A$87)+1))),),"")</f>
        <v/>
      </c>
    </row>
    <row r="122" customFormat="false" ht="15" hidden="false" customHeight="false" outlineLevel="0" collapsed="false">
      <c r="K122" s="0" t="str">
        <f aca="false" t="array" ref="K122:K122">IFERROR(CONCATENATE(TEXT(INDEX($K$7:$K$85,SMALL(IF($N$7:$N$85&lt;&gt;"",IF($K$7:$K$85&lt;&gt;"",ROW($K$7:$K$85)-MIN(ROW($K$7:$K$85))+1,""),""),ROW()-ROW(A$87)+1)),"##0"),","),"")</f>
        <v/>
      </c>
      <c r="L122" s="0" t="str">
        <f aca="false" t="array" ref="L122:L122">IFERROR(CONCATENATE((INDEX($N$7:$N$85,SMALL(IF($N$7:$N$85&lt;&gt;"",IF($K$7:$K$85&lt;&gt;"",ROW($K$7:$K$85)-MIN(ROW($K$7:$K$85))+1,""),""),ROW()-ROW(A$87)+1))),","),"")</f>
        <v/>
      </c>
      <c r="M122" s="0" t="str">
        <f aca="false" t="array" ref="M122:M122">IFERROR(CONCATENATE((INDEX($A$7:$A$85,SMALL(IF($N$7:$N$85&lt;&gt;"",IF($K$7:$K$85&lt;&gt;"",ROW($K$7:$K$85)-MIN(ROW($K$7:$K$85))+1,""),""),ROW()-ROW(A$87)+1))),),"")</f>
        <v/>
      </c>
      <c r="Q122" s="0" t="str">
        <f aca="false" t="array" ref="Q122:Q122">IFERROR(CONCATENATE((INDEX($T$7:$T$85,SMALL(IF($T$7:$T$85&lt;&gt;"",IF($Q$7:$Q$85&lt;&gt;"",ROW($Q$7:$Q$85)-MIN(ROW($Q$7:$Q$85))+1,""),""),ROW()-ROW(A$87)+1)))," "),"")</f>
        <v/>
      </c>
      <c r="R122" s="0" t="str">
        <f aca="false" t="array" ref="R122:R122">IFERROR(CONCATENATE(TEXT(INDEX($Q$7:$Q$85,SMALL(IF($T$7:$T$85&lt;&gt;"",IF($Q$7:$Q$85&lt;&gt;"",ROW($Q$7:$Q$85)-MIN(ROW($Q$7:$Q$85))+1,""),""),ROW()-ROW(A$87)+1)),"##0")," "),"")</f>
        <v/>
      </c>
      <c r="S122" s="0" t="str">
        <f aca="false" t="array" ref="S122:S122">IFERROR(CONCATENATE((INDEX($A$7:$A$85,SMALL(IF($T$7:$T$85&lt;&gt;"",IF($Q$7:$Q$85&lt;&gt;"",ROW($Q$7:$Q$85)-MIN(ROW($Q$7:$Q$85))+1,""),""),ROW()-ROW(A$87)+1))),),"")</f>
        <v/>
      </c>
      <c r="W122" s="0" t="str">
        <f aca="false" t="array" ref="W122:W122">IFERROR(CONCATENATE((INDEX($Z$7:$Z$85,SMALL(IF($Z$7:$Z$85&lt;&gt;"",IF($W$7:$W$85&lt;&gt;"",ROW($W$7:$W$85)-MIN(ROW($W$7:$W$85))+1,""),""),ROW()-ROW(A$87)+1)))," "),"")</f>
        <v/>
      </c>
      <c r="X122" s="0" t="str">
        <f aca="false" t="array" ref="X122:X122">IFERROR(CONCATENATE(TEXT(INDEX($W$7:$W$85,SMALL(IF($Z$7:$Z$85&lt;&gt;"",IF($W$7:$W$85&lt;&gt;"",ROW($W$7:$W$85)-MIN(ROW($W$7:$W$85))+1,""),""),ROW()-ROW(A$87)+1)),"##0")," "),"")</f>
        <v/>
      </c>
      <c r="Y122" s="0" t="str">
        <f aca="false" t="array" ref="Y122:Y122">IFERROR(CONCATENATE((INDEX($A$7:$A$85,SMALL(IF($Z$7:$Z$85&lt;&gt;"",IF($W$7:$W$85&lt;&gt;"",ROW($W$7:$W$85)-MIN(ROW($W$7:$W$85))+1,""),""),ROW()-ROW(A$87)+1))),),"")</f>
        <v/>
      </c>
      <c r="AC122" s="0" t="str">
        <f aca="false" t="array" ref="AC122:AC122">IFERROR(CONCATENATE((INDEX($AF$7:$AF$85,SMALL(IF($AF$7:$AF$85&lt;&gt;"",IF($AC$7:$AC$85&lt;&gt;"",ROW($AC$7:$AC$85)-MIN(ROW($AC$7:$AC$85))+1,""),""),ROW()-ROW(A$87)+1))),","),"")</f>
        <v/>
      </c>
      <c r="AD122" s="0" t="str">
        <f aca="false" t="array" ref="AD122:AD122">IFERROR(CONCATENATE(TEXT(INDEX($AC$7:$AC$85,SMALL(IF($AF$7:$AF$85&lt;&gt;"",IF($AC$7:$AC$85&lt;&gt;"",ROW($AC$7:$AC$85)-MIN(ROW($AC$7:$AC$85))+1,""),""),ROW()-ROW(A$87)+1)),"##0"),","),"")</f>
        <v/>
      </c>
      <c r="AE122" s="0" t="str">
        <f aca="false" t="array" ref="AE122:AE122">IFERROR(CONCATENATE((INDEX($A$7:$A$85,SMALL(IF($AF$7:$AF$85&lt;&gt;"",IF($AC$7:$AC$85&lt;&gt;"",ROW($AC$7:$AC$85)-MIN(ROW($AC$7:$AC$85))+1,""),""),ROW()-ROW(A$87)+1))),),"")</f>
        <v/>
      </c>
      <c r="AI122" s="0" t="str">
        <f aca="false" t="array" ref="AI122:AI122">IFERROR(CONCATENATE((INDEX($AL$7:$AL$85,SMALL(IF($AL$7:$AL$85&lt;&gt;"",IF($AI$7:$AI$85&lt;&gt;"",ROW($AI$7:$AI$85)-MIN(ROW($AI$7:$AI$85))+1,""),""),ROW()-ROW(A$87)+1)))," "),"")</f>
        <v/>
      </c>
      <c r="AJ122" s="0" t="str">
        <f aca="false" t="array" ref="AJ122:AJ122">IFERROR(CONCATENATE(TEXT(INDEX($AI$7:$AI$85,SMALL(IF($AL$7:$AL$85&lt;&gt;"",IF($AI$7:$AI$85&lt;&gt;"",ROW($AI$7:$AI$85)-MIN(ROW($AI$7:$AI$85))+1,""),""),ROW()-ROW(A$87)+1)),"##0")," "),"")</f>
        <v/>
      </c>
      <c r="AK122" s="0" t="str">
        <f aca="false" t="array" ref="AK122:AK122">IFERROR(CONCATENATE((INDEX($A$7:$A$85,SMALL(IF($AL$7:$AL$85&lt;&gt;"",IF($AI$7:$AI$85&lt;&gt;"",ROW($AI$7:$AI$85)-MIN(ROW($AI$7:$AI$85))+1,""),""),ROW()-ROW(A$87)+1))),),"")</f>
        <v/>
      </c>
    </row>
    <row r="123" customFormat="false" ht="15" hidden="false" customHeight="false" outlineLevel="0" collapsed="false">
      <c r="K123" s="0" t="str">
        <f aca="false" t="array" ref="K123:K123">IFERROR(CONCATENATE(TEXT(INDEX($K$7:$K$85,SMALL(IF($N$7:$N$85&lt;&gt;"",IF($K$7:$K$85&lt;&gt;"",ROW($K$7:$K$85)-MIN(ROW($K$7:$K$85))+1,""),""),ROW()-ROW(A$87)+1)),"##0"),","),"")</f>
        <v/>
      </c>
      <c r="L123" s="0" t="str">
        <f aca="false" t="array" ref="L123:L123">IFERROR(CONCATENATE((INDEX($N$7:$N$85,SMALL(IF($N$7:$N$85&lt;&gt;"",IF($K$7:$K$85&lt;&gt;"",ROW($K$7:$K$85)-MIN(ROW($K$7:$K$85))+1,""),""),ROW()-ROW(A$87)+1))),","),"")</f>
        <v/>
      </c>
      <c r="M123" s="0" t="str">
        <f aca="false" t="array" ref="M123:M123">IFERROR(CONCATENATE((INDEX($A$7:$A$85,SMALL(IF($N$7:$N$85&lt;&gt;"",IF($K$7:$K$85&lt;&gt;"",ROW($K$7:$K$85)-MIN(ROW($K$7:$K$85))+1,""),""),ROW()-ROW(A$87)+1))),),"")</f>
        <v/>
      </c>
      <c r="Q123" s="0" t="str">
        <f aca="false" t="array" ref="Q123:Q123">IFERROR(CONCATENATE((INDEX($T$7:$T$85,SMALL(IF($T$7:$T$85&lt;&gt;"",IF($Q$7:$Q$85&lt;&gt;"",ROW($Q$7:$Q$85)-MIN(ROW($Q$7:$Q$85))+1,""),""),ROW()-ROW(A$87)+1)))," "),"")</f>
        <v/>
      </c>
      <c r="R123" s="0" t="str">
        <f aca="false" t="array" ref="R123:R123">IFERROR(CONCATENATE(TEXT(INDEX($Q$7:$Q$85,SMALL(IF($T$7:$T$85&lt;&gt;"",IF($Q$7:$Q$85&lt;&gt;"",ROW($Q$7:$Q$85)-MIN(ROW($Q$7:$Q$85))+1,""),""),ROW()-ROW(A$87)+1)),"##0")," "),"")</f>
        <v/>
      </c>
      <c r="S123" s="0" t="str">
        <f aca="false" t="array" ref="S123:S123">IFERROR(CONCATENATE((INDEX($A$7:$A$85,SMALL(IF($T$7:$T$85&lt;&gt;"",IF($Q$7:$Q$85&lt;&gt;"",ROW($Q$7:$Q$85)-MIN(ROW($Q$7:$Q$85))+1,""),""),ROW()-ROW(A$87)+1))),),"")</f>
        <v/>
      </c>
      <c r="W123" s="0" t="str">
        <f aca="false" t="array" ref="W123:W123">IFERROR(CONCATENATE((INDEX($Z$7:$Z$85,SMALL(IF($Z$7:$Z$85&lt;&gt;"",IF($W$7:$W$85&lt;&gt;"",ROW($W$7:$W$85)-MIN(ROW($W$7:$W$85))+1,""),""),ROW()-ROW(A$87)+1)))," "),"")</f>
        <v/>
      </c>
      <c r="X123" s="0" t="str">
        <f aca="false" t="array" ref="X123:X123">IFERROR(CONCATENATE(TEXT(INDEX($W$7:$W$85,SMALL(IF($Z$7:$Z$85&lt;&gt;"",IF($W$7:$W$85&lt;&gt;"",ROW($W$7:$W$85)-MIN(ROW($W$7:$W$85))+1,""),""),ROW()-ROW(A$87)+1)),"##0")," "),"")</f>
        <v/>
      </c>
      <c r="Y123" s="0" t="str">
        <f aca="false" t="array" ref="Y123:Y123">IFERROR(CONCATENATE((INDEX($A$7:$A$85,SMALL(IF($Z$7:$Z$85&lt;&gt;"",IF($W$7:$W$85&lt;&gt;"",ROW($W$7:$W$85)-MIN(ROW($W$7:$W$85))+1,""),""),ROW()-ROW(A$87)+1))),),"")</f>
        <v/>
      </c>
      <c r="AC123" s="0" t="str">
        <f aca="false" t="array" ref="AC123:AC123">IFERROR(CONCATENATE((INDEX($AF$7:$AF$85,SMALL(IF($AF$7:$AF$85&lt;&gt;"",IF($AC$7:$AC$85&lt;&gt;"",ROW($AC$7:$AC$85)-MIN(ROW($AC$7:$AC$85))+1,""),""),ROW()-ROW(A$87)+1))),","),"")</f>
        <v/>
      </c>
      <c r="AD123" s="0" t="str">
        <f aca="false" t="array" ref="AD123:AD123">IFERROR(CONCATENATE(TEXT(INDEX($AC$7:$AC$85,SMALL(IF($AF$7:$AF$85&lt;&gt;"",IF($AC$7:$AC$85&lt;&gt;"",ROW($AC$7:$AC$85)-MIN(ROW($AC$7:$AC$85))+1,""),""),ROW()-ROW(A$87)+1)),"##0"),","),"")</f>
        <v/>
      </c>
      <c r="AE123" s="0" t="str">
        <f aca="false" t="array" ref="AE123:AE123">IFERROR(CONCATENATE((INDEX($A$7:$A$85,SMALL(IF($AF$7:$AF$85&lt;&gt;"",IF($AC$7:$AC$85&lt;&gt;"",ROW($AC$7:$AC$85)-MIN(ROW($AC$7:$AC$85))+1,""),""),ROW()-ROW(A$87)+1))),),"")</f>
        <v/>
      </c>
      <c r="AI123" s="0" t="str">
        <f aca="false" t="array" ref="AI123:AI123">IFERROR(CONCATENATE((INDEX($AL$7:$AL$85,SMALL(IF($AL$7:$AL$85&lt;&gt;"",IF($AI$7:$AI$85&lt;&gt;"",ROW($AI$7:$AI$85)-MIN(ROW($AI$7:$AI$85))+1,""),""),ROW()-ROW(A$87)+1)))," "),"")</f>
        <v/>
      </c>
      <c r="AJ123" s="0" t="str">
        <f aca="false" t="array" ref="AJ123:AJ123">IFERROR(CONCATENATE(TEXT(INDEX($AI$7:$AI$85,SMALL(IF($AL$7:$AL$85&lt;&gt;"",IF($AI$7:$AI$85&lt;&gt;"",ROW($AI$7:$AI$85)-MIN(ROW($AI$7:$AI$85))+1,""),""),ROW()-ROW(A$87)+1)),"##0")," "),"")</f>
        <v/>
      </c>
      <c r="AK123" s="0" t="str">
        <f aca="false" t="array" ref="AK123:AK123">IFERROR(CONCATENATE((INDEX($A$7:$A$85,SMALL(IF($AL$7:$AL$85&lt;&gt;"",IF($AI$7:$AI$85&lt;&gt;"",ROW($AI$7:$AI$85)-MIN(ROW($AI$7:$AI$85))+1,""),""),ROW()-ROW(A$87)+1))),),"")</f>
        <v/>
      </c>
    </row>
    <row r="124" customFormat="false" ht="15" hidden="false" customHeight="false" outlineLevel="0" collapsed="false">
      <c r="K124" s="0" t="str">
        <f aca="false" t="array" ref="K124:K124">IFERROR(CONCATENATE(TEXT(INDEX($K$7:$K$85,SMALL(IF($N$7:$N$85&lt;&gt;"",IF($K$7:$K$85&lt;&gt;"",ROW($K$7:$K$85)-MIN(ROW($K$7:$K$85))+1,""),""),ROW()-ROW(A$87)+1)),"##0"),","),"")</f>
        <v/>
      </c>
      <c r="L124" s="0" t="str">
        <f aca="false" t="array" ref="L124:L124">IFERROR(CONCATENATE((INDEX($N$7:$N$85,SMALL(IF($N$7:$N$85&lt;&gt;"",IF($K$7:$K$85&lt;&gt;"",ROW($K$7:$K$85)-MIN(ROW($K$7:$K$85))+1,""),""),ROW()-ROW(A$87)+1))),","),"")</f>
        <v/>
      </c>
      <c r="M124" s="0" t="str">
        <f aca="false" t="array" ref="M124:M124">IFERROR(CONCATENATE((INDEX($A$7:$A$85,SMALL(IF($N$7:$N$85&lt;&gt;"",IF($K$7:$K$85&lt;&gt;"",ROW($K$7:$K$85)-MIN(ROW($K$7:$K$85))+1,""),""),ROW()-ROW(A$87)+1))),),"")</f>
        <v/>
      </c>
      <c r="Q124" s="0" t="str">
        <f aca="false" t="array" ref="Q124:Q124">IFERROR(CONCATENATE((INDEX($T$7:$T$85,SMALL(IF($T$7:$T$85&lt;&gt;"",IF($Q$7:$Q$85&lt;&gt;"",ROW($Q$7:$Q$85)-MIN(ROW($Q$7:$Q$85))+1,""),""),ROW()-ROW(A$87)+1)))," "),"")</f>
        <v/>
      </c>
      <c r="R124" s="0" t="str">
        <f aca="false" t="array" ref="R124:R124">IFERROR(CONCATENATE(TEXT(INDEX($Q$7:$Q$85,SMALL(IF($T$7:$T$85&lt;&gt;"",IF($Q$7:$Q$85&lt;&gt;"",ROW($Q$7:$Q$85)-MIN(ROW($Q$7:$Q$85))+1,""),""),ROW()-ROW(A$87)+1)),"##0")," "),"")</f>
        <v/>
      </c>
      <c r="S124" s="0" t="str">
        <f aca="false" t="array" ref="S124:S124">IFERROR(CONCATENATE((INDEX($A$7:$A$85,SMALL(IF($T$7:$T$85&lt;&gt;"",IF($Q$7:$Q$85&lt;&gt;"",ROW($Q$7:$Q$85)-MIN(ROW($Q$7:$Q$85))+1,""),""),ROW()-ROW(A$87)+1))),),"")</f>
        <v/>
      </c>
      <c r="W124" s="0" t="str">
        <f aca="false" t="array" ref="W124:W124">IFERROR(CONCATENATE((INDEX($Z$7:$Z$85,SMALL(IF($Z$7:$Z$85&lt;&gt;"",IF($W$7:$W$85&lt;&gt;"",ROW($W$7:$W$85)-MIN(ROW($W$7:$W$85))+1,""),""),ROW()-ROW(A$87)+1)))," "),"")</f>
        <v/>
      </c>
      <c r="X124" s="0" t="str">
        <f aca="false" t="array" ref="X124:X124">IFERROR(CONCATENATE(TEXT(INDEX($W$7:$W$85,SMALL(IF($Z$7:$Z$85&lt;&gt;"",IF($W$7:$W$85&lt;&gt;"",ROW($W$7:$W$85)-MIN(ROW($W$7:$W$85))+1,""),""),ROW()-ROW(A$87)+1)),"##0")," "),"")</f>
        <v/>
      </c>
      <c r="Y124" s="0" t="str">
        <f aca="false" t="array" ref="Y124:Y124">IFERROR(CONCATENATE((INDEX($A$7:$A$85,SMALL(IF($Z$7:$Z$85&lt;&gt;"",IF($W$7:$W$85&lt;&gt;"",ROW($W$7:$W$85)-MIN(ROW($W$7:$W$85))+1,""),""),ROW()-ROW(A$87)+1))),),"")</f>
        <v/>
      </c>
      <c r="AC124" s="0" t="str">
        <f aca="false" t="array" ref="AC124:AC124">IFERROR(CONCATENATE((INDEX($AF$7:$AF$85,SMALL(IF($AF$7:$AF$85&lt;&gt;"",IF($AC$7:$AC$85&lt;&gt;"",ROW($AC$7:$AC$85)-MIN(ROW($AC$7:$AC$85))+1,""),""),ROW()-ROW(A$87)+1))),","),"")</f>
        <v/>
      </c>
      <c r="AD124" s="0" t="str">
        <f aca="false" t="array" ref="AD124:AD124">IFERROR(CONCATENATE(TEXT(INDEX($AC$7:$AC$85,SMALL(IF($AF$7:$AF$85&lt;&gt;"",IF($AC$7:$AC$85&lt;&gt;"",ROW($AC$7:$AC$85)-MIN(ROW($AC$7:$AC$85))+1,""),""),ROW()-ROW(A$87)+1)),"##0"),","),"")</f>
        <v/>
      </c>
      <c r="AE124" s="0" t="str">
        <f aca="false" t="array" ref="AE124:AE124">IFERROR(CONCATENATE((INDEX($A$7:$A$85,SMALL(IF($AF$7:$AF$85&lt;&gt;"",IF($AC$7:$AC$85&lt;&gt;"",ROW($AC$7:$AC$85)-MIN(ROW($AC$7:$AC$85))+1,""),""),ROW()-ROW(A$87)+1))),),"")</f>
        <v/>
      </c>
      <c r="AI124" s="0" t="str">
        <f aca="false" t="array" ref="AI124:AI124">IFERROR(CONCATENATE((INDEX($AL$7:$AL$85,SMALL(IF($AL$7:$AL$85&lt;&gt;"",IF($AI$7:$AI$85&lt;&gt;"",ROW($AI$7:$AI$85)-MIN(ROW($AI$7:$AI$85))+1,""),""),ROW()-ROW(A$87)+1)))," "),"")</f>
        <v/>
      </c>
      <c r="AJ124" s="0" t="str">
        <f aca="false" t="array" ref="AJ124:AJ124">IFERROR(CONCATENATE(TEXT(INDEX($AI$7:$AI$85,SMALL(IF($AL$7:$AL$85&lt;&gt;"",IF($AI$7:$AI$85&lt;&gt;"",ROW($AI$7:$AI$85)-MIN(ROW($AI$7:$AI$85))+1,""),""),ROW()-ROW(A$87)+1)),"##0")," "),"")</f>
        <v/>
      </c>
      <c r="AK124" s="0" t="str">
        <f aca="false" t="array" ref="AK124:AK124">IFERROR(CONCATENATE((INDEX($A$7:$A$85,SMALL(IF($AL$7:$AL$85&lt;&gt;"",IF($AI$7:$AI$85&lt;&gt;"",ROW($AI$7:$AI$85)-MIN(ROW($AI$7:$AI$85))+1,""),""),ROW()-ROW(A$87)+1))),),"")</f>
        <v/>
      </c>
    </row>
    <row r="125" customFormat="false" ht="15" hidden="false" customHeight="false" outlineLevel="0" collapsed="false">
      <c r="K125" s="0" t="str">
        <f aca="false" t="array" ref="K125:K125">IFERROR(CONCATENATE(TEXT(INDEX($K$7:$K$85,SMALL(IF($N$7:$N$85&lt;&gt;"",IF($K$7:$K$85&lt;&gt;"",ROW($K$7:$K$85)-MIN(ROW($K$7:$K$85))+1,""),""),ROW()-ROW(A$87)+1)),"##0"),","),"")</f>
        <v/>
      </c>
      <c r="L125" s="0" t="str">
        <f aca="false" t="array" ref="L125:L125">IFERROR(CONCATENATE((INDEX($N$7:$N$85,SMALL(IF($N$7:$N$85&lt;&gt;"",IF($K$7:$K$85&lt;&gt;"",ROW($K$7:$K$85)-MIN(ROW($K$7:$K$85))+1,""),""),ROW()-ROW(A$87)+1))),","),"")</f>
        <v/>
      </c>
      <c r="M125" s="0" t="str">
        <f aca="false" t="array" ref="M125:M125">IFERROR(CONCATENATE((INDEX($A$7:$A$85,SMALL(IF($N$7:$N$85&lt;&gt;"",IF($K$7:$K$85&lt;&gt;"",ROW($K$7:$K$85)-MIN(ROW($K$7:$K$85))+1,""),""),ROW()-ROW(A$87)+1))),),"")</f>
        <v/>
      </c>
      <c r="Q125" s="0" t="str">
        <f aca="false" t="array" ref="Q125:Q125">IFERROR(CONCATENATE((INDEX($T$7:$T$85,SMALL(IF($T$7:$T$85&lt;&gt;"",IF($Q$7:$Q$85&lt;&gt;"",ROW($Q$7:$Q$85)-MIN(ROW($Q$7:$Q$85))+1,""),""),ROW()-ROW(A$87)+1)))," "),"")</f>
        <v/>
      </c>
      <c r="R125" s="0" t="str">
        <f aca="false" t="array" ref="R125:R125">IFERROR(CONCATENATE(TEXT(INDEX($Q$7:$Q$85,SMALL(IF($T$7:$T$85&lt;&gt;"",IF($Q$7:$Q$85&lt;&gt;"",ROW($Q$7:$Q$85)-MIN(ROW($Q$7:$Q$85))+1,""),""),ROW()-ROW(A$87)+1)),"##0")," "),"")</f>
        <v/>
      </c>
      <c r="S125" s="0" t="str">
        <f aca="false" t="array" ref="S125:S125">IFERROR(CONCATENATE((INDEX($A$7:$A$85,SMALL(IF($T$7:$T$85&lt;&gt;"",IF($Q$7:$Q$85&lt;&gt;"",ROW($Q$7:$Q$85)-MIN(ROW($Q$7:$Q$85))+1,""),""),ROW()-ROW(A$87)+1))),),"")</f>
        <v/>
      </c>
      <c r="W125" s="0" t="str">
        <f aca="false" t="array" ref="W125:W125">IFERROR(CONCATENATE((INDEX($Z$7:$Z$85,SMALL(IF($Z$7:$Z$85&lt;&gt;"",IF($W$7:$W$85&lt;&gt;"",ROW($W$7:$W$85)-MIN(ROW($W$7:$W$85))+1,""),""),ROW()-ROW(A$87)+1)))," "),"")</f>
        <v/>
      </c>
      <c r="X125" s="0" t="str">
        <f aca="false" t="array" ref="X125:X125">IFERROR(CONCATENATE(TEXT(INDEX($W$7:$W$85,SMALL(IF($Z$7:$Z$85&lt;&gt;"",IF($W$7:$W$85&lt;&gt;"",ROW($W$7:$W$85)-MIN(ROW($W$7:$W$85))+1,""),""),ROW()-ROW(A$87)+1)),"##0")," "),"")</f>
        <v/>
      </c>
      <c r="Y125" s="0" t="str">
        <f aca="false" t="array" ref="Y125:Y125">IFERROR(CONCATENATE((INDEX($A$7:$A$85,SMALL(IF($Z$7:$Z$85&lt;&gt;"",IF($W$7:$W$85&lt;&gt;"",ROW($W$7:$W$85)-MIN(ROW($W$7:$W$85))+1,""),""),ROW()-ROW(A$87)+1))),),"")</f>
        <v/>
      </c>
      <c r="AC125" s="0" t="str">
        <f aca="false" t="array" ref="AC125:AC125">IFERROR(CONCATENATE((INDEX($AF$7:$AF$85,SMALL(IF($AF$7:$AF$85&lt;&gt;"",IF($AC$7:$AC$85&lt;&gt;"",ROW($AC$7:$AC$85)-MIN(ROW($AC$7:$AC$85))+1,""),""),ROW()-ROW(A$87)+1))),","),"")</f>
        <v/>
      </c>
      <c r="AD125" s="0" t="str">
        <f aca="false" t="array" ref="AD125:AD125">IFERROR(CONCATENATE(TEXT(INDEX($AC$7:$AC$85,SMALL(IF($AF$7:$AF$85&lt;&gt;"",IF($AC$7:$AC$85&lt;&gt;"",ROW($AC$7:$AC$85)-MIN(ROW($AC$7:$AC$85))+1,""),""),ROW()-ROW(A$87)+1)),"##0"),","),"")</f>
        <v/>
      </c>
      <c r="AE125" s="0" t="str">
        <f aca="false" t="array" ref="AE125:AE125">IFERROR(CONCATENATE((INDEX($A$7:$A$85,SMALL(IF($AF$7:$AF$85&lt;&gt;"",IF($AC$7:$AC$85&lt;&gt;"",ROW($AC$7:$AC$85)-MIN(ROW($AC$7:$AC$85))+1,""),""),ROW()-ROW(A$87)+1))),),"")</f>
        <v/>
      </c>
      <c r="AI125" s="0" t="str">
        <f aca="false" t="array" ref="AI125:AI125">IFERROR(CONCATENATE((INDEX($AL$7:$AL$85,SMALL(IF($AL$7:$AL$85&lt;&gt;"",IF($AI$7:$AI$85&lt;&gt;"",ROW($AI$7:$AI$85)-MIN(ROW($AI$7:$AI$85))+1,""),""),ROW()-ROW(A$87)+1)))," "),"")</f>
        <v/>
      </c>
      <c r="AJ125" s="0" t="str">
        <f aca="false" t="array" ref="AJ125:AJ125">IFERROR(CONCATENATE(TEXT(INDEX($AI$7:$AI$85,SMALL(IF($AL$7:$AL$85&lt;&gt;"",IF($AI$7:$AI$85&lt;&gt;"",ROW($AI$7:$AI$85)-MIN(ROW($AI$7:$AI$85))+1,""),""),ROW()-ROW(A$87)+1)),"##0")," "),"")</f>
        <v/>
      </c>
      <c r="AK125" s="0" t="str">
        <f aca="false" t="array" ref="AK125:AK125">IFERROR(CONCATENATE((INDEX($A$7:$A$85,SMALL(IF($AL$7:$AL$85&lt;&gt;"",IF($AI$7:$AI$85&lt;&gt;"",ROW($AI$7:$AI$85)-MIN(ROW($AI$7:$AI$85))+1,""),""),ROW()-ROW(A$87)+1))),),"")</f>
        <v/>
      </c>
    </row>
    <row r="126" customFormat="false" ht="15" hidden="false" customHeight="false" outlineLevel="0" collapsed="false">
      <c r="K126" s="0" t="str">
        <f aca="false" t="array" ref="K126:K126">IFERROR(CONCATENATE(TEXT(INDEX($K$7:$K$85,SMALL(IF($N$7:$N$85&lt;&gt;"",IF($K$7:$K$85&lt;&gt;"",ROW($K$7:$K$85)-MIN(ROW($K$7:$K$85))+1,""),""),ROW()-ROW(A$87)+1)),"##0"),","),"")</f>
        <v/>
      </c>
      <c r="L126" s="0" t="str">
        <f aca="false" t="array" ref="L126:L126">IFERROR(CONCATENATE((INDEX($N$7:$N$85,SMALL(IF($N$7:$N$85&lt;&gt;"",IF($K$7:$K$85&lt;&gt;"",ROW($K$7:$K$85)-MIN(ROW($K$7:$K$85))+1,""),""),ROW()-ROW(A$87)+1))),","),"")</f>
        <v/>
      </c>
      <c r="M126" s="0" t="str">
        <f aca="false" t="array" ref="M126:M126">IFERROR(CONCATENATE((INDEX($A$7:$A$85,SMALL(IF($N$7:$N$85&lt;&gt;"",IF($K$7:$K$85&lt;&gt;"",ROW($K$7:$K$85)-MIN(ROW($K$7:$K$85))+1,""),""),ROW()-ROW(A$87)+1))),),"")</f>
        <v/>
      </c>
      <c r="Q126" s="0" t="str">
        <f aca="false" t="array" ref="Q126:Q126">IFERROR(CONCATENATE((INDEX($T$7:$T$85,SMALL(IF($T$7:$T$85&lt;&gt;"",IF($Q$7:$Q$85&lt;&gt;"",ROW($Q$7:$Q$85)-MIN(ROW($Q$7:$Q$85))+1,""),""),ROW()-ROW(A$87)+1)))," "),"")</f>
        <v/>
      </c>
      <c r="R126" s="0" t="str">
        <f aca="false" t="array" ref="R126:R126">IFERROR(CONCATENATE(TEXT(INDEX($Q$7:$Q$85,SMALL(IF($T$7:$T$85&lt;&gt;"",IF($Q$7:$Q$85&lt;&gt;"",ROW($Q$7:$Q$85)-MIN(ROW($Q$7:$Q$85))+1,""),""),ROW()-ROW(A$87)+1)),"##0")," "),"")</f>
        <v/>
      </c>
      <c r="S126" s="0" t="str">
        <f aca="false" t="array" ref="S126:S126">IFERROR(CONCATENATE((INDEX($A$7:$A$85,SMALL(IF($T$7:$T$85&lt;&gt;"",IF($Q$7:$Q$85&lt;&gt;"",ROW($Q$7:$Q$85)-MIN(ROW($Q$7:$Q$85))+1,""),""),ROW()-ROW(A$87)+1))),),"")</f>
        <v/>
      </c>
      <c r="W126" s="0" t="str">
        <f aca="false" t="array" ref="W126:W126">IFERROR(CONCATENATE((INDEX($Z$7:$Z$85,SMALL(IF($Z$7:$Z$85&lt;&gt;"",IF($W$7:$W$85&lt;&gt;"",ROW($W$7:$W$85)-MIN(ROW($W$7:$W$85))+1,""),""),ROW()-ROW(A$87)+1)))," "),"")</f>
        <v/>
      </c>
      <c r="X126" s="0" t="str">
        <f aca="false" t="array" ref="X126:X126">IFERROR(CONCATENATE(TEXT(INDEX($W$7:$W$85,SMALL(IF($Z$7:$Z$85&lt;&gt;"",IF($W$7:$W$85&lt;&gt;"",ROW($W$7:$W$85)-MIN(ROW($W$7:$W$85))+1,""),""),ROW()-ROW(A$87)+1)),"##0")," "),"")</f>
        <v/>
      </c>
      <c r="Y126" s="0" t="str">
        <f aca="false" t="array" ref="Y126:Y126">IFERROR(CONCATENATE((INDEX($A$7:$A$85,SMALL(IF($Z$7:$Z$85&lt;&gt;"",IF($W$7:$W$85&lt;&gt;"",ROW($W$7:$W$85)-MIN(ROW($W$7:$W$85))+1,""),""),ROW()-ROW(A$87)+1))),),"")</f>
        <v/>
      </c>
      <c r="AC126" s="0" t="str">
        <f aca="false" t="array" ref="AC126:AC126">IFERROR(CONCATENATE((INDEX($AF$7:$AF$85,SMALL(IF($AF$7:$AF$85&lt;&gt;"",IF($AC$7:$AC$85&lt;&gt;"",ROW($AC$7:$AC$85)-MIN(ROW($AC$7:$AC$85))+1,""),""),ROW()-ROW(A$87)+1))),","),"")</f>
        <v/>
      </c>
      <c r="AD126" s="0" t="str">
        <f aca="false" t="array" ref="AD126:AD126">IFERROR(CONCATENATE(TEXT(INDEX($AC$7:$AC$85,SMALL(IF($AF$7:$AF$85&lt;&gt;"",IF($AC$7:$AC$85&lt;&gt;"",ROW($AC$7:$AC$85)-MIN(ROW($AC$7:$AC$85))+1,""),""),ROW()-ROW(A$87)+1)),"##0"),","),"")</f>
        <v/>
      </c>
      <c r="AE126" s="0" t="str">
        <f aca="false" t="array" ref="AE126:AE126">IFERROR(CONCATENATE((INDEX($A$7:$A$85,SMALL(IF($AF$7:$AF$85&lt;&gt;"",IF($AC$7:$AC$85&lt;&gt;"",ROW($AC$7:$AC$85)-MIN(ROW($AC$7:$AC$85))+1,""),""),ROW()-ROW(A$87)+1))),),"")</f>
        <v/>
      </c>
      <c r="AI126" s="0" t="str">
        <f aca="false" t="array" ref="AI126:AI126">IFERROR(CONCATENATE((INDEX($AL$7:$AL$85,SMALL(IF($AL$7:$AL$85&lt;&gt;"",IF($AI$7:$AI$85&lt;&gt;"",ROW($AI$7:$AI$85)-MIN(ROW($AI$7:$AI$85))+1,""),""),ROW()-ROW(A$87)+1)))," "),"")</f>
        <v/>
      </c>
      <c r="AJ126" s="0" t="str">
        <f aca="false" t="array" ref="AJ126:AJ126">IFERROR(CONCATENATE(TEXT(INDEX($AI$7:$AI$85,SMALL(IF($AL$7:$AL$85&lt;&gt;"",IF($AI$7:$AI$85&lt;&gt;"",ROW($AI$7:$AI$85)-MIN(ROW($AI$7:$AI$85))+1,""),""),ROW()-ROW(A$87)+1)),"##0")," "),"")</f>
        <v/>
      </c>
      <c r="AK126" s="0" t="str">
        <f aca="false" t="array" ref="AK126:AK126">IFERROR(CONCATENATE((INDEX($A$7:$A$85,SMALL(IF($AL$7:$AL$85&lt;&gt;"",IF($AI$7:$AI$85&lt;&gt;"",ROW($AI$7:$AI$85)-MIN(ROW($AI$7:$AI$85))+1,""),""),ROW()-ROW(A$87)+1))),),"")</f>
        <v/>
      </c>
    </row>
    <row r="127" customFormat="false" ht="15" hidden="false" customHeight="false" outlineLevel="0" collapsed="false">
      <c r="K127" s="0" t="str">
        <f aca="false" t="array" ref="K127:K127">IFERROR(CONCATENATE(TEXT(INDEX($K$7:$K$85,SMALL(IF($N$7:$N$85&lt;&gt;"",IF($K$7:$K$85&lt;&gt;"",ROW($K$7:$K$85)-MIN(ROW($K$7:$K$85))+1,""),""),ROW()-ROW(A$87)+1)),"##0"),","),"")</f>
        <v/>
      </c>
      <c r="L127" s="0" t="str">
        <f aca="false" t="array" ref="L127:L127">IFERROR(CONCATENATE((INDEX($N$7:$N$85,SMALL(IF($N$7:$N$85&lt;&gt;"",IF($K$7:$K$85&lt;&gt;"",ROW($K$7:$K$85)-MIN(ROW($K$7:$K$85))+1,""),""),ROW()-ROW(A$87)+1))),","),"")</f>
        <v/>
      </c>
      <c r="M127" s="0" t="str">
        <f aca="false" t="array" ref="M127:M127">IFERROR(CONCATENATE((INDEX($A$7:$A$85,SMALL(IF($N$7:$N$85&lt;&gt;"",IF($K$7:$K$85&lt;&gt;"",ROW($K$7:$K$85)-MIN(ROW($K$7:$K$85))+1,""),""),ROW()-ROW(A$87)+1))),),"")</f>
        <v/>
      </c>
      <c r="Q127" s="0" t="str">
        <f aca="false" t="array" ref="Q127:Q127">IFERROR(CONCATENATE((INDEX($T$7:$T$85,SMALL(IF($T$7:$T$85&lt;&gt;"",IF($Q$7:$Q$85&lt;&gt;"",ROW($Q$7:$Q$85)-MIN(ROW($Q$7:$Q$85))+1,""),""),ROW()-ROW(A$87)+1)))," "),"")</f>
        <v/>
      </c>
      <c r="R127" s="0" t="str">
        <f aca="false" t="array" ref="R127:R127">IFERROR(CONCATENATE(TEXT(INDEX($Q$7:$Q$85,SMALL(IF($T$7:$T$85&lt;&gt;"",IF($Q$7:$Q$85&lt;&gt;"",ROW($Q$7:$Q$85)-MIN(ROW($Q$7:$Q$85))+1,""),""),ROW()-ROW(A$87)+1)),"##0")," "),"")</f>
        <v/>
      </c>
      <c r="S127" s="0" t="str">
        <f aca="false" t="array" ref="S127:S127">IFERROR(CONCATENATE((INDEX($A$7:$A$85,SMALL(IF($T$7:$T$85&lt;&gt;"",IF($Q$7:$Q$85&lt;&gt;"",ROW($Q$7:$Q$85)-MIN(ROW($Q$7:$Q$85))+1,""),""),ROW()-ROW(A$87)+1))),),"")</f>
        <v/>
      </c>
      <c r="W127" s="0" t="str">
        <f aca="false" t="array" ref="W127:W127">IFERROR(CONCATENATE((INDEX($Z$7:$Z$85,SMALL(IF($Z$7:$Z$85&lt;&gt;"",IF($W$7:$W$85&lt;&gt;"",ROW($W$7:$W$85)-MIN(ROW($W$7:$W$85))+1,""),""),ROW()-ROW(A$87)+1)))," "),"")</f>
        <v/>
      </c>
      <c r="X127" s="0" t="str">
        <f aca="false" t="array" ref="X127:X127">IFERROR(CONCATENATE(TEXT(INDEX($W$7:$W$85,SMALL(IF($Z$7:$Z$85&lt;&gt;"",IF($W$7:$W$85&lt;&gt;"",ROW($W$7:$W$85)-MIN(ROW($W$7:$W$85))+1,""),""),ROW()-ROW(A$87)+1)),"##0")," "),"")</f>
        <v/>
      </c>
      <c r="Y127" s="0" t="str">
        <f aca="false" t="array" ref="Y127:Y127">IFERROR(CONCATENATE((INDEX($A$7:$A$85,SMALL(IF($Z$7:$Z$85&lt;&gt;"",IF($W$7:$W$85&lt;&gt;"",ROW($W$7:$W$85)-MIN(ROW($W$7:$W$85))+1,""),""),ROW()-ROW(A$87)+1))),),"")</f>
        <v/>
      </c>
      <c r="AC127" s="0" t="str">
        <f aca="false" t="array" ref="AC127:AC127">IFERROR(CONCATENATE((INDEX($AF$7:$AF$85,SMALL(IF($AF$7:$AF$85&lt;&gt;"",IF($AC$7:$AC$85&lt;&gt;"",ROW($AC$7:$AC$85)-MIN(ROW($AC$7:$AC$85))+1,""),""),ROW()-ROW(A$87)+1))),","),"")</f>
        <v/>
      </c>
      <c r="AD127" s="0" t="str">
        <f aca="false" t="array" ref="AD127:AD127">IFERROR(CONCATENATE(TEXT(INDEX($AC$7:$AC$85,SMALL(IF($AF$7:$AF$85&lt;&gt;"",IF($AC$7:$AC$85&lt;&gt;"",ROW($AC$7:$AC$85)-MIN(ROW($AC$7:$AC$85))+1,""),""),ROW()-ROW(A$87)+1)),"##0"),","),"")</f>
        <v/>
      </c>
      <c r="AE127" s="0" t="str">
        <f aca="false" t="array" ref="AE127:AE127">IFERROR(CONCATENATE((INDEX($A$7:$A$85,SMALL(IF($AF$7:$AF$85&lt;&gt;"",IF($AC$7:$AC$85&lt;&gt;"",ROW($AC$7:$AC$85)-MIN(ROW($AC$7:$AC$85))+1,""),""),ROW()-ROW(A$87)+1))),),"")</f>
        <v/>
      </c>
      <c r="AI127" s="0" t="str">
        <f aca="false" t="array" ref="AI127:AI127">IFERROR(CONCATENATE((INDEX($AL$7:$AL$85,SMALL(IF($AL$7:$AL$85&lt;&gt;"",IF($AI$7:$AI$85&lt;&gt;"",ROW($AI$7:$AI$85)-MIN(ROW($AI$7:$AI$85))+1,""),""),ROW()-ROW(A$87)+1)))," "),"")</f>
        <v/>
      </c>
      <c r="AJ127" s="0" t="str">
        <f aca="false" t="array" ref="AJ127:AJ127">IFERROR(CONCATENATE(TEXT(INDEX($AI$7:$AI$85,SMALL(IF($AL$7:$AL$85&lt;&gt;"",IF($AI$7:$AI$85&lt;&gt;"",ROW($AI$7:$AI$85)-MIN(ROW($AI$7:$AI$85))+1,""),""),ROW()-ROW(A$87)+1)),"##0")," "),"")</f>
        <v/>
      </c>
      <c r="AK127" s="0" t="str">
        <f aca="false" t="array" ref="AK127:AK127">IFERROR(CONCATENATE((INDEX($A$7:$A$85,SMALL(IF($AL$7:$AL$85&lt;&gt;"",IF($AI$7:$AI$85&lt;&gt;"",ROW($AI$7:$AI$85)-MIN(ROW($AI$7:$AI$85))+1,""),""),ROW()-ROW(A$87)+1))),),"")</f>
        <v/>
      </c>
    </row>
    <row r="128" customFormat="false" ht="15" hidden="false" customHeight="false" outlineLevel="0" collapsed="false">
      <c r="K128" s="0" t="str">
        <f aca="false" t="array" ref="K128:K128">IFERROR(CONCATENATE(TEXT(INDEX($K$7:$K$85,SMALL(IF($N$7:$N$85&lt;&gt;"",IF($K$7:$K$85&lt;&gt;"",ROW($K$7:$K$85)-MIN(ROW($K$7:$K$85))+1,""),""),ROW()-ROW(A$87)+1)),"##0"),","),"")</f>
        <v/>
      </c>
      <c r="L128" s="0" t="str">
        <f aca="false" t="array" ref="L128:L128">IFERROR(CONCATENATE((INDEX($N$7:$N$85,SMALL(IF($N$7:$N$85&lt;&gt;"",IF($K$7:$K$85&lt;&gt;"",ROW($K$7:$K$85)-MIN(ROW($K$7:$K$85))+1,""),""),ROW()-ROW(A$87)+1))),","),"")</f>
        <v/>
      </c>
      <c r="M128" s="0" t="str">
        <f aca="false" t="array" ref="M128:M128">IFERROR(CONCATENATE((INDEX($A$7:$A$85,SMALL(IF($N$7:$N$85&lt;&gt;"",IF($K$7:$K$85&lt;&gt;"",ROW($K$7:$K$85)-MIN(ROW($K$7:$K$85))+1,""),""),ROW()-ROW(A$87)+1))),),"")</f>
        <v/>
      </c>
      <c r="Q128" s="0" t="str">
        <f aca="false" t="array" ref="Q128:Q128">IFERROR(CONCATENATE((INDEX($T$7:$T$85,SMALL(IF($T$7:$T$85&lt;&gt;"",IF($Q$7:$Q$85&lt;&gt;"",ROW($Q$7:$Q$85)-MIN(ROW($Q$7:$Q$85))+1,""),""),ROW()-ROW(A$87)+1)))," "),"")</f>
        <v/>
      </c>
      <c r="R128" s="0" t="str">
        <f aca="false" t="array" ref="R128:R128">IFERROR(CONCATENATE(TEXT(INDEX($Q$7:$Q$85,SMALL(IF($T$7:$T$85&lt;&gt;"",IF($Q$7:$Q$85&lt;&gt;"",ROW($Q$7:$Q$85)-MIN(ROW($Q$7:$Q$85))+1,""),""),ROW()-ROW(A$87)+1)),"##0")," "),"")</f>
        <v/>
      </c>
      <c r="S128" s="0" t="str">
        <f aca="false" t="array" ref="S128:S128">IFERROR(CONCATENATE((INDEX($A$7:$A$85,SMALL(IF($T$7:$T$85&lt;&gt;"",IF($Q$7:$Q$85&lt;&gt;"",ROW($Q$7:$Q$85)-MIN(ROW($Q$7:$Q$85))+1,""),""),ROW()-ROW(A$87)+1))),),"")</f>
        <v/>
      </c>
      <c r="W128" s="0" t="str">
        <f aca="false" t="array" ref="W128:W128">IFERROR(CONCATENATE((INDEX($Z$7:$Z$85,SMALL(IF($Z$7:$Z$85&lt;&gt;"",IF($W$7:$W$85&lt;&gt;"",ROW($W$7:$W$85)-MIN(ROW($W$7:$W$85))+1,""),""),ROW()-ROW(A$87)+1)))," "),"")</f>
        <v/>
      </c>
      <c r="X128" s="0" t="str">
        <f aca="false" t="array" ref="X128:X128">IFERROR(CONCATENATE(TEXT(INDEX($W$7:$W$85,SMALL(IF($Z$7:$Z$85&lt;&gt;"",IF($W$7:$W$85&lt;&gt;"",ROW($W$7:$W$85)-MIN(ROW($W$7:$W$85))+1,""),""),ROW()-ROW(A$87)+1)),"##0")," "),"")</f>
        <v/>
      </c>
      <c r="Y128" s="0" t="str">
        <f aca="false" t="array" ref="Y128:Y128">IFERROR(CONCATENATE((INDEX($A$7:$A$85,SMALL(IF($Z$7:$Z$85&lt;&gt;"",IF($W$7:$W$85&lt;&gt;"",ROW($W$7:$W$85)-MIN(ROW($W$7:$W$85))+1,""),""),ROW()-ROW(A$87)+1))),),"")</f>
        <v/>
      </c>
      <c r="AC128" s="0" t="str">
        <f aca="false" t="array" ref="AC128:AC128">IFERROR(CONCATENATE((INDEX($AF$7:$AF$85,SMALL(IF($AF$7:$AF$85&lt;&gt;"",IF($AC$7:$AC$85&lt;&gt;"",ROW($AC$7:$AC$85)-MIN(ROW($AC$7:$AC$85))+1,""),""),ROW()-ROW(A$87)+1))),","),"")</f>
        <v/>
      </c>
      <c r="AD128" s="0" t="str">
        <f aca="false" t="array" ref="AD128:AD128">IFERROR(CONCATENATE(TEXT(INDEX($AC$7:$AC$85,SMALL(IF($AF$7:$AF$85&lt;&gt;"",IF($AC$7:$AC$85&lt;&gt;"",ROW($AC$7:$AC$85)-MIN(ROW($AC$7:$AC$85))+1,""),""),ROW()-ROW(A$87)+1)),"##0"),","),"")</f>
        <v/>
      </c>
      <c r="AE128" s="0" t="str">
        <f aca="false" t="array" ref="AE128:AE128">IFERROR(CONCATENATE((INDEX($A$7:$A$85,SMALL(IF($AF$7:$AF$85&lt;&gt;"",IF($AC$7:$AC$85&lt;&gt;"",ROW($AC$7:$AC$85)-MIN(ROW($AC$7:$AC$85))+1,""),""),ROW()-ROW(A$87)+1))),),"")</f>
        <v/>
      </c>
      <c r="AI128" s="0" t="str">
        <f aca="false" t="array" ref="AI128:AI128">IFERROR(CONCATENATE((INDEX($AL$7:$AL$85,SMALL(IF($AL$7:$AL$85&lt;&gt;"",IF($AI$7:$AI$85&lt;&gt;"",ROW($AI$7:$AI$85)-MIN(ROW($AI$7:$AI$85))+1,""),""),ROW()-ROW(A$87)+1)))," "),"")</f>
        <v/>
      </c>
      <c r="AJ128" s="0" t="str">
        <f aca="false" t="array" ref="AJ128:AJ128">IFERROR(CONCATENATE(TEXT(INDEX($AI$7:$AI$85,SMALL(IF($AL$7:$AL$85&lt;&gt;"",IF($AI$7:$AI$85&lt;&gt;"",ROW($AI$7:$AI$85)-MIN(ROW($AI$7:$AI$85))+1,""),""),ROW()-ROW(A$87)+1)),"##0")," "),"")</f>
        <v/>
      </c>
      <c r="AK128" s="0" t="str">
        <f aca="false" t="array" ref="AK128:AK128">IFERROR(CONCATENATE((INDEX($A$7:$A$85,SMALL(IF($AL$7:$AL$85&lt;&gt;"",IF($AI$7:$AI$85&lt;&gt;"",ROW($AI$7:$AI$85)-MIN(ROW($AI$7:$AI$85))+1,""),""),ROW()-ROW(A$87)+1))),),"")</f>
        <v/>
      </c>
    </row>
    <row r="129" customFormat="false" ht="15" hidden="false" customHeight="false" outlineLevel="0" collapsed="false">
      <c r="K129" s="0" t="str">
        <f aca="false" t="array" ref="K129:K129">IFERROR(CONCATENATE(TEXT(INDEX($K$7:$K$85,SMALL(IF($N$7:$N$85&lt;&gt;"",IF($K$7:$K$85&lt;&gt;"",ROW($K$7:$K$85)-MIN(ROW($K$7:$K$85))+1,""),""),ROW()-ROW(A$87)+1)),"##0"),","),"")</f>
        <v/>
      </c>
      <c r="L129" s="0" t="str">
        <f aca="false" t="array" ref="L129:L129">IFERROR(CONCATENATE((INDEX($N$7:$N$85,SMALL(IF($N$7:$N$85&lt;&gt;"",IF($K$7:$K$85&lt;&gt;"",ROW($K$7:$K$85)-MIN(ROW($K$7:$K$85))+1,""),""),ROW()-ROW(A$87)+1))),","),"")</f>
        <v/>
      </c>
      <c r="M129" s="0" t="str">
        <f aca="false" t="array" ref="M129:M129">IFERROR(CONCATENATE((INDEX($A$7:$A$85,SMALL(IF($N$7:$N$85&lt;&gt;"",IF($K$7:$K$85&lt;&gt;"",ROW($K$7:$K$85)-MIN(ROW($K$7:$K$85))+1,""),""),ROW()-ROW(A$87)+1))),),"")</f>
        <v/>
      </c>
      <c r="Q129" s="0" t="str">
        <f aca="false" t="array" ref="Q129:Q129">IFERROR(CONCATENATE((INDEX($T$7:$T$85,SMALL(IF($T$7:$T$85&lt;&gt;"",IF($Q$7:$Q$85&lt;&gt;"",ROW($Q$7:$Q$85)-MIN(ROW($Q$7:$Q$85))+1,""),""),ROW()-ROW(A$87)+1)))," "),"")</f>
        <v/>
      </c>
      <c r="R129" s="0" t="str">
        <f aca="false" t="array" ref="R129:R129">IFERROR(CONCATENATE(TEXT(INDEX($Q$7:$Q$85,SMALL(IF($T$7:$T$85&lt;&gt;"",IF($Q$7:$Q$85&lt;&gt;"",ROW($Q$7:$Q$85)-MIN(ROW($Q$7:$Q$85))+1,""),""),ROW()-ROW(A$87)+1)),"##0")," "),"")</f>
        <v/>
      </c>
      <c r="S129" s="0" t="str">
        <f aca="false" t="array" ref="S129:S129">IFERROR(CONCATENATE((INDEX($A$7:$A$85,SMALL(IF($T$7:$T$85&lt;&gt;"",IF($Q$7:$Q$85&lt;&gt;"",ROW($Q$7:$Q$85)-MIN(ROW($Q$7:$Q$85))+1,""),""),ROW()-ROW(A$87)+1))),),"")</f>
        <v/>
      </c>
      <c r="W129" s="0" t="str">
        <f aca="false" t="array" ref="W129:W129">IFERROR(CONCATENATE((INDEX($Z$7:$Z$85,SMALL(IF($Z$7:$Z$85&lt;&gt;"",IF($W$7:$W$85&lt;&gt;"",ROW($W$7:$W$85)-MIN(ROW($W$7:$W$85))+1,""),""),ROW()-ROW(A$87)+1)))," "),"")</f>
        <v/>
      </c>
      <c r="X129" s="0" t="str">
        <f aca="false" t="array" ref="X129:X129">IFERROR(CONCATENATE(TEXT(INDEX($W$7:$W$85,SMALL(IF($Z$7:$Z$85&lt;&gt;"",IF($W$7:$W$85&lt;&gt;"",ROW($W$7:$W$85)-MIN(ROW($W$7:$W$85))+1,""),""),ROW()-ROW(A$87)+1)),"##0")," "),"")</f>
        <v/>
      </c>
      <c r="Y129" s="0" t="str">
        <f aca="false" t="array" ref="Y129:Y129">IFERROR(CONCATENATE((INDEX($A$7:$A$85,SMALL(IF($Z$7:$Z$85&lt;&gt;"",IF($W$7:$W$85&lt;&gt;"",ROW($W$7:$W$85)-MIN(ROW($W$7:$W$85))+1,""),""),ROW()-ROW(A$87)+1))),),"")</f>
        <v/>
      </c>
      <c r="AC129" s="0" t="str">
        <f aca="false" t="array" ref="AC129:AC129">IFERROR(CONCATENATE((INDEX($AF$7:$AF$85,SMALL(IF($AF$7:$AF$85&lt;&gt;"",IF($AC$7:$AC$85&lt;&gt;"",ROW($AC$7:$AC$85)-MIN(ROW($AC$7:$AC$85))+1,""),""),ROW()-ROW(A$87)+1))),","),"")</f>
        <v/>
      </c>
      <c r="AD129" s="0" t="str">
        <f aca="false" t="array" ref="AD129:AD129">IFERROR(CONCATENATE(TEXT(INDEX($AC$7:$AC$85,SMALL(IF($AF$7:$AF$85&lt;&gt;"",IF($AC$7:$AC$85&lt;&gt;"",ROW($AC$7:$AC$85)-MIN(ROW($AC$7:$AC$85))+1,""),""),ROW()-ROW(A$87)+1)),"##0"),","),"")</f>
        <v/>
      </c>
      <c r="AE129" s="0" t="str">
        <f aca="false" t="array" ref="AE129:AE129">IFERROR(CONCATENATE((INDEX($A$7:$A$85,SMALL(IF($AF$7:$AF$85&lt;&gt;"",IF($AC$7:$AC$85&lt;&gt;"",ROW($AC$7:$AC$85)-MIN(ROW($AC$7:$AC$85))+1,""),""),ROW()-ROW(A$87)+1))),),"")</f>
        <v/>
      </c>
      <c r="AI129" s="0" t="str">
        <f aca="false" t="array" ref="AI129:AI129">IFERROR(CONCATENATE((INDEX($AL$7:$AL$85,SMALL(IF($AL$7:$AL$85&lt;&gt;"",IF($AI$7:$AI$85&lt;&gt;"",ROW($AI$7:$AI$85)-MIN(ROW($AI$7:$AI$85))+1,""),""),ROW()-ROW(A$87)+1)))," "),"")</f>
        <v/>
      </c>
      <c r="AJ129" s="0" t="str">
        <f aca="false" t="array" ref="AJ129:AJ129">IFERROR(CONCATENATE(TEXT(INDEX($AI$7:$AI$85,SMALL(IF($AL$7:$AL$85&lt;&gt;"",IF($AI$7:$AI$85&lt;&gt;"",ROW($AI$7:$AI$85)-MIN(ROW($AI$7:$AI$85))+1,""),""),ROW()-ROW(A$87)+1)),"##0")," "),"")</f>
        <v/>
      </c>
      <c r="AK129" s="0" t="str">
        <f aca="false" t="array" ref="AK129:AK129">IFERROR(CONCATENATE((INDEX($A$7:$A$85,SMALL(IF($AL$7:$AL$85&lt;&gt;"",IF($AI$7:$AI$85&lt;&gt;"",ROW($AI$7:$AI$85)-MIN(ROW($AI$7:$AI$85))+1,""),""),ROW()-ROW(A$87)+1))),),"")</f>
        <v/>
      </c>
    </row>
    <row r="130" customFormat="false" ht="15" hidden="false" customHeight="false" outlineLevel="0" collapsed="false">
      <c r="K130" s="0" t="str">
        <f aca="false" t="array" ref="K130:K130">IFERROR(CONCATENATE(TEXT(INDEX($K$7:$K$85,SMALL(IF($N$7:$N$85&lt;&gt;"",IF($K$7:$K$85&lt;&gt;"",ROW($K$7:$K$85)-MIN(ROW($K$7:$K$85))+1,""),""),ROW()-ROW(A$87)+1)),"##0"),","),"")</f>
        <v/>
      </c>
      <c r="L130" s="0" t="str">
        <f aca="false" t="array" ref="L130:L130">IFERROR(CONCATENATE((INDEX($N$7:$N$85,SMALL(IF($N$7:$N$85&lt;&gt;"",IF($K$7:$K$85&lt;&gt;"",ROW($K$7:$K$85)-MIN(ROW($K$7:$K$85))+1,""),""),ROW()-ROW(A$87)+1))),","),"")</f>
        <v/>
      </c>
      <c r="M130" s="0" t="str">
        <f aca="false" t="array" ref="M130:M130">IFERROR(CONCATENATE((INDEX($A$7:$A$85,SMALL(IF($N$7:$N$85&lt;&gt;"",IF($K$7:$K$85&lt;&gt;"",ROW($K$7:$K$85)-MIN(ROW($K$7:$K$85))+1,""),""),ROW()-ROW(A$87)+1))),),"")</f>
        <v/>
      </c>
      <c r="Q130" s="0" t="str">
        <f aca="false" t="array" ref="Q130:Q130">IFERROR(CONCATENATE((INDEX($T$7:$T$85,SMALL(IF($T$7:$T$85&lt;&gt;"",IF($Q$7:$Q$85&lt;&gt;"",ROW($Q$7:$Q$85)-MIN(ROW($Q$7:$Q$85))+1,""),""),ROW()-ROW(A$87)+1)))," "),"")</f>
        <v/>
      </c>
      <c r="R130" s="0" t="str">
        <f aca="false" t="array" ref="R130:R130">IFERROR(CONCATENATE(TEXT(INDEX($Q$7:$Q$85,SMALL(IF($T$7:$T$85&lt;&gt;"",IF($Q$7:$Q$85&lt;&gt;"",ROW($Q$7:$Q$85)-MIN(ROW($Q$7:$Q$85))+1,""),""),ROW()-ROW(A$87)+1)),"##0")," "),"")</f>
        <v/>
      </c>
      <c r="S130" s="0" t="str">
        <f aca="false" t="array" ref="S130:S130">IFERROR(CONCATENATE((INDEX($A$7:$A$85,SMALL(IF($T$7:$T$85&lt;&gt;"",IF($Q$7:$Q$85&lt;&gt;"",ROW($Q$7:$Q$85)-MIN(ROW($Q$7:$Q$85))+1,""),""),ROW()-ROW(A$87)+1))),),"")</f>
        <v/>
      </c>
      <c r="W130" s="0" t="str">
        <f aca="false" t="array" ref="W130:W130">IFERROR(CONCATENATE((INDEX($Z$7:$Z$85,SMALL(IF($Z$7:$Z$85&lt;&gt;"",IF($W$7:$W$85&lt;&gt;"",ROW($W$7:$W$85)-MIN(ROW($W$7:$W$85))+1,""),""),ROW()-ROW(A$87)+1)))," "),"")</f>
        <v/>
      </c>
      <c r="X130" s="0" t="str">
        <f aca="false" t="array" ref="X130:X130">IFERROR(CONCATENATE(TEXT(INDEX($W$7:$W$85,SMALL(IF($Z$7:$Z$85&lt;&gt;"",IF($W$7:$W$85&lt;&gt;"",ROW($W$7:$W$85)-MIN(ROW($W$7:$W$85))+1,""),""),ROW()-ROW(A$87)+1)),"##0")," "),"")</f>
        <v/>
      </c>
      <c r="Y130" s="0" t="str">
        <f aca="false" t="array" ref="Y130:Y130">IFERROR(CONCATENATE((INDEX($A$7:$A$85,SMALL(IF($Z$7:$Z$85&lt;&gt;"",IF($W$7:$W$85&lt;&gt;"",ROW($W$7:$W$85)-MIN(ROW($W$7:$W$85))+1,""),""),ROW()-ROW(A$87)+1))),),"")</f>
        <v/>
      </c>
      <c r="AC130" s="0" t="str">
        <f aca="false" t="array" ref="AC130:AC130">IFERROR(CONCATENATE((INDEX($AF$7:$AF$85,SMALL(IF($AF$7:$AF$85&lt;&gt;"",IF($AC$7:$AC$85&lt;&gt;"",ROW($AC$7:$AC$85)-MIN(ROW($AC$7:$AC$85))+1,""),""),ROW()-ROW(A$87)+1))),","),"")</f>
        <v/>
      </c>
      <c r="AD130" s="0" t="str">
        <f aca="false" t="array" ref="AD130:AD130">IFERROR(CONCATENATE(TEXT(INDEX($AC$7:$AC$85,SMALL(IF($AF$7:$AF$85&lt;&gt;"",IF($AC$7:$AC$85&lt;&gt;"",ROW($AC$7:$AC$85)-MIN(ROW($AC$7:$AC$85))+1,""),""),ROW()-ROW(A$87)+1)),"##0"),","),"")</f>
        <v/>
      </c>
      <c r="AE130" s="0" t="str">
        <f aca="false" t="array" ref="AE130:AE130">IFERROR(CONCATENATE((INDEX($A$7:$A$85,SMALL(IF($AF$7:$AF$85&lt;&gt;"",IF($AC$7:$AC$85&lt;&gt;"",ROW($AC$7:$AC$85)-MIN(ROW($AC$7:$AC$85))+1,""),""),ROW()-ROW(A$87)+1))),),"")</f>
        <v/>
      </c>
      <c r="AI130" s="0" t="str">
        <f aca="false" t="array" ref="AI130:AI130">IFERROR(CONCATENATE((INDEX($AL$7:$AL$85,SMALL(IF($AL$7:$AL$85&lt;&gt;"",IF($AI$7:$AI$85&lt;&gt;"",ROW($AI$7:$AI$85)-MIN(ROW($AI$7:$AI$85))+1,""),""),ROW()-ROW(A$87)+1)))," "),"")</f>
        <v/>
      </c>
      <c r="AJ130" s="0" t="str">
        <f aca="false" t="array" ref="AJ130:AJ130">IFERROR(CONCATENATE(TEXT(INDEX($AI$7:$AI$85,SMALL(IF($AL$7:$AL$85&lt;&gt;"",IF($AI$7:$AI$85&lt;&gt;"",ROW($AI$7:$AI$85)-MIN(ROW($AI$7:$AI$85))+1,""),""),ROW()-ROW(A$87)+1)),"##0")," "),"")</f>
        <v/>
      </c>
      <c r="AK130" s="0" t="str">
        <f aca="false" t="array" ref="AK130:AK130">IFERROR(CONCATENATE((INDEX($A$7:$A$85,SMALL(IF($AL$7:$AL$85&lt;&gt;"",IF($AI$7:$AI$85&lt;&gt;"",ROW($AI$7:$AI$85)-MIN(ROW($AI$7:$AI$85))+1,""),""),ROW()-ROW(A$87)+1))),),"")</f>
        <v/>
      </c>
    </row>
    <row r="131" customFormat="false" ht="15" hidden="false" customHeight="false" outlineLevel="0" collapsed="false">
      <c r="K131" s="0" t="str">
        <f aca="false" t="array" ref="K131:K131">IFERROR(CONCATENATE(TEXT(INDEX($K$7:$K$85,SMALL(IF($N$7:$N$85&lt;&gt;"",IF($K$7:$K$85&lt;&gt;"",ROW($K$7:$K$85)-MIN(ROW($K$7:$K$85))+1,""),""),ROW()-ROW(A$87)+1)),"##0"),","),"")</f>
        <v/>
      </c>
      <c r="L131" s="0" t="str">
        <f aca="false" t="array" ref="L131:L131">IFERROR(CONCATENATE((INDEX($N$7:$N$85,SMALL(IF($N$7:$N$85&lt;&gt;"",IF($K$7:$K$85&lt;&gt;"",ROW($K$7:$K$85)-MIN(ROW($K$7:$K$85))+1,""),""),ROW()-ROW(A$87)+1))),","),"")</f>
        <v/>
      </c>
      <c r="M131" s="0" t="str">
        <f aca="false" t="array" ref="M131:M131">IFERROR(CONCATENATE((INDEX($A$7:$A$85,SMALL(IF($N$7:$N$85&lt;&gt;"",IF($K$7:$K$85&lt;&gt;"",ROW($K$7:$K$85)-MIN(ROW($K$7:$K$85))+1,""),""),ROW()-ROW(A$87)+1))),),"")</f>
        <v/>
      </c>
      <c r="Q131" s="0" t="str">
        <f aca="false" t="array" ref="Q131:Q131">IFERROR(CONCATENATE((INDEX($T$7:$T$85,SMALL(IF($T$7:$T$85&lt;&gt;"",IF($Q$7:$Q$85&lt;&gt;"",ROW($Q$7:$Q$85)-MIN(ROW($Q$7:$Q$85))+1,""),""),ROW()-ROW(A$87)+1)))," "),"")</f>
        <v/>
      </c>
      <c r="R131" s="0" t="str">
        <f aca="false" t="array" ref="R131:R131">IFERROR(CONCATENATE(TEXT(INDEX($Q$7:$Q$85,SMALL(IF($T$7:$T$85&lt;&gt;"",IF($Q$7:$Q$85&lt;&gt;"",ROW($Q$7:$Q$85)-MIN(ROW($Q$7:$Q$85))+1,""),""),ROW()-ROW(A$87)+1)),"##0")," "),"")</f>
        <v/>
      </c>
      <c r="S131" s="0" t="str">
        <f aca="false" t="array" ref="S131:S131">IFERROR(CONCATENATE((INDEX($A$7:$A$85,SMALL(IF($T$7:$T$85&lt;&gt;"",IF($Q$7:$Q$85&lt;&gt;"",ROW($Q$7:$Q$85)-MIN(ROW($Q$7:$Q$85))+1,""),""),ROW()-ROW(A$87)+1))),),"")</f>
        <v/>
      </c>
      <c r="W131" s="0" t="str">
        <f aca="false" t="array" ref="W131:W131">IFERROR(CONCATENATE((INDEX($Z$7:$Z$85,SMALL(IF($Z$7:$Z$85&lt;&gt;"",IF($W$7:$W$85&lt;&gt;"",ROW($W$7:$W$85)-MIN(ROW($W$7:$W$85))+1,""),""),ROW()-ROW(A$87)+1)))," "),"")</f>
        <v/>
      </c>
      <c r="X131" s="0" t="str">
        <f aca="false" t="array" ref="X131:X131">IFERROR(CONCATENATE(TEXT(INDEX($W$7:$W$85,SMALL(IF($Z$7:$Z$85&lt;&gt;"",IF($W$7:$W$85&lt;&gt;"",ROW($W$7:$W$85)-MIN(ROW($W$7:$W$85))+1,""),""),ROW()-ROW(A$87)+1)),"##0")," "),"")</f>
        <v/>
      </c>
      <c r="Y131" s="0" t="str">
        <f aca="false" t="array" ref="Y131:Y131">IFERROR(CONCATENATE((INDEX($A$7:$A$85,SMALL(IF($Z$7:$Z$85&lt;&gt;"",IF($W$7:$W$85&lt;&gt;"",ROW($W$7:$W$85)-MIN(ROW($W$7:$W$85))+1,""),""),ROW()-ROW(A$87)+1))),),"")</f>
        <v/>
      </c>
      <c r="AC131" s="0" t="str">
        <f aca="false" t="array" ref="AC131:AC131">IFERROR(CONCATENATE((INDEX($AF$7:$AF$85,SMALL(IF($AF$7:$AF$85&lt;&gt;"",IF($AC$7:$AC$85&lt;&gt;"",ROW($AC$7:$AC$85)-MIN(ROW($AC$7:$AC$85))+1,""),""),ROW()-ROW(A$87)+1))),","),"")</f>
        <v/>
      </c>
      <c r="AD131" s="0" t="str">
        <f aca="false" t="array" ref="AD131:AD131">IFERROR(CONCATENATE(TEXT(INDEX($AC$7:$AC$85,SMALL(IF($AF$7:$AF$85&lt;&gt;"",IF($AC$7:$AC$85&lt;&gt;"",ROW($AC$7:$AC$85)-MIN(ROW($AC$7:$AC$85))+1,""),""),ROW()-ROW(A$87)+1)),"##0"),","),"")</f>
        <v/>
      </c>
      <c r="AE131" s="0" t="str">
        <f aca="false" t="array" ref="AE131:AE131">IFERROR(CONCATENATE((INDEX($A$7:$A$85,SMALL(IF($AF$7:$AF$85&lt;&gt;"",IF($AC$7:$AC$85&lt;&gt;"",ROW($AC$7:$AC$85)-MIN(ROW($AC$7:$AC$85))+1,""),""),ROW()-ROW(A$87)+1))),),"")</f>
        <v/>
      </c>
      <c r="AI131" s="0" t="str">
        <f aca="false" t="array" ref="AI131:AI131">IFERROR(CONCATENATE((INDEX($AL$7:$AL$85,SMALL(IF($AL$7:$AL$85&lt;&gt;"",IF($AI$7:$AI$85&lt;&gt;"",ROW($AI$7:$AI$85)-MIN(ROW($AI$7:$AI$85))+1,""),""),ROW()-ROW(A$87)+1)))," "),"")</f>
        <v/>
      </c>
      <c r="AJ131" s="0" t="str">
        <f aca="false" t="array" ref="AJ131:AJ131">IFERROR(CONCATENATE(TEXT(INDEX($AI$7:$AI$85,SMALL(IF($AL$7:$AL$85&lt;&gt;"",IF($AI$7:$AI$85&lt;&gt;"",ROW($AI$7:$AI$85)-MIN(ROW($AI$7:$AI$85))+1,""),""),ROW()-ROW(A$87)+1)),"##0")," "),"")</f>
        <v/>
      </c>
      <c r="AK131" s="0" t="str">
        <f aca="false" t="array" ref="AK131:AK131">IFERROR(CONCATENATE((INDEX($A$7:$A$85,SMALL(IF($AL$7:$AL$85&lt;&gt;"",IF($AI$7:$AI$85&lt;&gt;"",ROW($AI$7:$AI$85)-MIN(ROW($AI$7:$AI$85))+1,""),""),ROW()-ROW(A$87)+1))),),"")</f>
        <v/>
      </c>
    </row>
    <row r="132" customFormat="false" ht="15" hidden="false" customHeight="false" outlineLevel="0" collapsed="false">
      <c r="K132" s="0" t="str">
        <f aca="false" t="array" ref="K132:K132">IFERROR(CONCATENATE(TEXT(INDEX($K$7:$K$85,SMALL(IF($N$7:$N$85&lt;&gt;"",IF($K$7:$K$85&lt;&gt;"",ROW($K$7:$K$85)-MIN(ROW($K$7:$K$85))+1,""),""),ROW()-ROW(A$87)+1)),"##0"),","),"")</f>
        <v/>
      </c>
      <c r="L132" s="0" t="str">
        <f aca="false" t="array" ref="L132:L132">IFERROR(CONCATENATE((INDEX($N$7:$N$85,SMALL(IF($N$7:$N$85&lt;&gt;"",IF($K$7:$K$85&lt;&gt;"",ROW($K$7:$K$85)-MIN(ROW($K$7:$K$85))+1,""),""),ROW()-ROW(A$87)+1))),","),"")</f>
        <v/>
      </c>
      <c r="M132" s="0" t="str">
        <f aca="false" t="array" ref="M132:M132">IFERROR(CONCATENATE((INDEX($A$7:$A$85,SMALL(IF($N$7:$N$85&lt;&gt;"",IF($K$7:$K$85&lt;&gt;"",ROW($K$7:$K$85)-MIN(ROW($K$7:$K$85))+1,""),""),ROW()-ROW(A$87)+1))),),"")</f>
        <v/>
      </c>
      <c r="Q132" s="0" t="str">
        <f aca="false" t="array" ref="Q132:Q132">IFERROR(CONCATENATE((INDEX($T$7:$T$85,SMALL(IF($T$7:$T$85&lt;&gt;"",IF($Q$7:$Q$85&lt;&gt;"",ROW($Q$7:$Q$85)-MIN(ROW($Q$7:$Q$85))+1,""),""),ROW()-ROW(A$87)+1)))," "),"")</f>
        <v/>
      </c>
      <c r="R132" s="0" t="str">
        <f aca="false" t="array" ref="R132:R132">IFERROR(CONCATENATE(TEXT(INDEX($Q$7:$Q$85,SMALL(IF($T$7:$T$85&lt;&gt;"",IF($Q$7:$Q$85&lt;&gt;"",ROW($Q$7:$Q$85)-MIN(ROW($Q$7:$Q$85))+1,""),""),ROW()-ROW(A$87)+1)),"##0")," "),"")</f>
        <v/>
      </c>
      <c r="S132" s="0" t="str">
        <f aca="false" t="array" ref="S132:S132">IFERROR(CONCATENATE((INDEX($A$7:$A$85,SMALL(IF($T$7:$T$85&lt;&gt;"",IF($Q$7:$Q$85&lt;&gt;"",ROW($Q$7:$Q$85)-MIN(ROW($Q$7:$Q$85))+1,""),""),ROW()-ROW(A$87)+1))),),"")</f>
        <v/>
      </c>
      <c r="W132" s="0" t="str">
        <f aca="false" t="array" ref="W132:W132">IFERROR(CONCATENATE((INDEX($Z$7:$Z$85,SMALL(IF($Z$7:$Z$85&lt;&gt;"",IF($W$7:$W$85&lt;&gt;"",ROW($W$7:$W$85)-MIN(ROW($W$7:$W$85))+1,""),""),ROW()-ROW(A$87)+1)))," "),"")</f>
        <v/>
      </c>
      <c r="X132" s="0" t="str">
        <f aca="false" t="array" ref="X132:X132">IFERROR(CONCATENATE(TEXT(INDEX($W$7:$W$85,SMALL(IF($Z$7:$Z$85&lt;&gt;"",IF($W$7:$W$85&lt;&gt;"",ROW($W$7:$W$85)-MIN(ROW($W$7:$W$85))+1,""),""),ROW()-ROW(A$87)+1)),"##0")," "),"")</f>
        <v/>
      </c>
      <c r="Y132" s="0" t="str">
        <f aca="false" t="array" ref="Y132:Y132">IFERROR(CONCATENATE((INDEX($A$7:$A$85,SMALL(IF($Z$7:$Z$85&lt;&gt;"",IF($W$7:$W$85&lt;&gt;"",ROW($W$7:$W$85)-MIN(ROW($W$7:$W$85))+1,""),""),ROW()-ROW(A$87)+1))),),"")</f>
        <v/>
      </c>
      <c r="AC132" s="0" t="str">
        <f aca="false" t="array" ref="AC132:AC132">IFERROR(CONCATENATE((INDEX($AF$7:$AF$85,SMALL(IF($AF$7:$AF$85&lt;&gt;"",IF($AC$7:$AC$85&lt;&gt;"",ROW($AC$7:$AC$85)-MIN(ROW($AC$7:$AC$85))+1,""),""),ROW()-ROW(A$87)+1))),","),"")</f>
        <v/>
      </c>
      <c r="AD132" s="0" t="str">
        <f aca="false" t="array" ref="AD132:AD132">IFERROR(CONCATENATE(TEXT(INDEX($AC$7:$AC$85,SMALL(IF($AF$7:$AF$85&lt;&gt;"",IF($AC$7:$AC$85&lt;&gt;"",ROW($AC$7:$AC$85)-MIN(ROW($AC$7:$AC$85))+1,""),""),ROW()-ROW(A$87)+1)),"##0"),","),"")</f>
        <v/>
      </c>
      <c r="AE132" s="0" t="str">
        <f aca="false" t="array" ref="AE132:AE132">IFERROR(CONCATENATE((INDEX($A$7:$A$85,SMALL(IF($AF$7:$AF$85&lt;&gt;"",IF($AC$7:$AC$85&lt;&gt;"",ROW($AC$7:$AC$85)-MIN(ROW($AC$7:$AC$85))+1,""),""),ROW()-ROW(A$87)+1))),),"")</f>
        <v/>
      </c>
      <c r="AI132" s="0" t="str">
        <f aca="false" t="array" ref="AI132:AI132">IFERROR(CONCATENATE((INDEX($AL$7:$AL$85,SMALL(IF($AL$7:$AL$85&lt;&gt;"",IF($AI$7:$AI$85&lt;&gt;"",ROW($AI$7:$AI$85)-MIN(ROW($AI$7:$AI$85))+1,""),""),ROW()-ROW(A$87)+1)))," "),"")</f>
        <v/>
      </c>
      <c r="AJ132" s="0" t="str">
        <f aca="false" t="array" ref="AJ132:AJ132">IFERROR(CONCATENATE(TEXT(INDEX($AI$7:$AI$85,SMALL(IF($AL$7:$AL$85&lt;&gt;"",IF($AI$7:$AI$85&lt;&gt;"",ROW($AI$7:$AI$85)-MIN(ROW($AI$7:$AI$85))+1,""),""),ROW()-ROW(A$87)+1)),"##0")," "),"")</f>
        <v/>
      </c>
      <c r="AK132" s="0" t="str">
        <f aca="false" t="array" ref="AK132:AK132">IFERROR(CONCATENATE((INDEX($A$7:$A$85,SMALL(IF($AL$7:$AL$85&lt;&gt;"",IF($AI$7:$AI$85&lt;&gt;"",ROW($AI$7:$AI$85)-MIN(ROW($AI$7:$AI$85))+1,""),""),ROW()-ROW(A$87)+1))),),"")</f>
        <v/>
      </c>
    </row>
    <row r="133" customFormat="false" ht="15" hidden="false" customHeight="false" outlineLevel="0" collapsed="false">
      <c r="K133" s="0" t="str">
        <f aca="false" t="array" ref="K133:K133">IFERROR(CONCATENATE(TEXT(INDEX($K$7:$K$85,SMALL(IF($N$7:$N$85&lt;&gt;"",IF($K$7:$K$85&lt;&gt;"",ROW($K$7:$K$85)-MIN(ROW($K$7:$K$85))+1,""),""),ROW()-ROW(A$87)+1)),"##0"),","),"")</f>
        <v/>
      </c>
      <c r="L133" s="0" t="str">
        <f aca="false" t="array" ref="L133:L133">IFERROR(CONCATENATE((INDEX($N$7:$N$85,SMALL(IF($N$7:$N$85&lt;&gt;"",IF($K$7:$K$85&lt;&gt;"",ROW($K$7:$K$85)-MIN(ROW($K$7:$K$85))+1,""),""),ROW()-ROW(A$87)+1))),","),"")</f>
        <v/>
      </c>
      <c r="M133" s="0" t="str">
        <f aca="false" t="array" ref="M133:M133">IFERROR(CONCATENATE((INDEX($A$7:$A$85,SMALL(IF($N$7:$N$85&lt;&gt;"",IF($K$7:$K$85&lt;&gt;"",ROW($K$7:$K$85)-MIN(ROW($K$7:$K$85))+1,""),""),ROW()-ROW(A$87)+1))),),"")</f>
        <v/>
      </c>
      <c r="Q133" s="0" t="str">
        <f aca="false" t="array" ref="Q133:Q133">IFERROR(CONCATENATE((INDEX($T$7:$T$85,SMALL(IF($T$7:$T$85&lt;&gt;"",IF($Q$7:$Q$85&lt;&gt;"",ROW($Q$7:$Q$85)-MIN(ROW($Q$7:$Q$85))+1,""),""),ROW()-ROW(A$87)+1)))," "),"")</f>
        <v/>
      </c>
      <c r="R133" s="0" t="str">
        <f aca="false" t="array" ref="R133:R133">IFERROR(CONCATENATE(TEXT(INDEX($Q$7:$Q$85,SMALL(IF($T$7:$T$85&lt;&gt;"",IF($Q$7:$Q$85&lt;&gt;"",ROW($Q$7:$Q$85)-MIN(ROW($Q$7:$Q$85))+1,""),""),ROW()-ROW(A$87)+1)),"##0")," "),"")</f>
        <v/>
      </c>
      <c r="S133" s="0" t="str">
        <f aca="false" t="array" ref="S133:S133">IFERROR(CONCATENATE((INDEX($A$7:$A$85,SMALL(IF($T$7:$T$85&lt;&gt;"",IF($Q$7:$Q$85&lt;&gt;"",ROW($Q$7:$Q$85)-MIN(ROW($Q$7:$Q$85))+1,""),""),ROW()-ROW(A$87)+1))),),"")</f>
        <v/>
      </c>
      <c r="W133" s="0" t="str">
        <f aca="false" t="array" ref="W133:W133">IFERROR(CONCATENATE((INDEX($Z$7:$Z$85,SMALL(IF($Z$7:$Z$85&lt;&gt;"",IF($W$7:$W$85&lt;&gt;"",ROW($W$7:$W$85)-MIN(ROW($W$7:$W$85))+1,""),""),ROW()-ROW(A$87)+1)))," "),"")</f>
        <v/>
      </c>
      <c r="X133" s="0" t="str">
        <f aca="false" t="array" ref="X133:X133">IFERROR(CONCATENATE(TEXT(INDEX($W$7:$W$85,SMALL(IF($Z$7:$Z$85&lt;&gt;"",IF($W$7:$W$85&lt;&gt;"",ROW($W$7:$W$85)-MIN(ROW($W$7:$W$85))+1,""),""),ROW()-ROW(A$87)+1)),"##0")," "),"")</f>
        <v/>
      </c>
      <c r="Y133" s="0" t="str">
        <f aca="false" t="array" ref="Y133:Y133">IFERROR(CONCATENATE((INDEX($A$7:$A$85,SMALL(IF($Z$7:$Z$85&lt;&gt;"",IF($W$7:$W$85&lt;&gt;"",ROW($W$7:$W$85)-MIN(ROW($W$7:$W$85))+1,""),""),ROW()-ROW(A$87)+1))),),"")</f>
        <v/>
      </c>
      <c r="AC133" s="0" t="str">
        <f aca="false" t="array" ref="AC133:AC133">IFERROR(CONCATENATE((INDEX($AF$7:$AF$85,SMALL(IF($AF$7:$AF$85&lt;&gt;"",IF($AC$7:$AC$85&lt;&gt;"",ROW($AC$7:$AC$85)-MIN(ROW($AC$7:$AC$85))+1,""),""),ROW()-ROW(A$87)+1))),","),"")</f>
        <v/>
      </c>
      <c r="AD133" s="0" t="str">
        <f aca="false" t="array" ref="AD133:AD133">IFERROR(CONCATENATE(TEXT(INDEX($AC$7:$AC$85,SMALL(IF($AF$7:$AF$85&lt;&gt;"",IF($AC$7:$AC$85&lt;&gt;"",ROW($AC$7:$AC$85)-MIN(ROW($AC$7:$AC$85))+1,""),""),ROW()-ROW(A$87)+1)),"##0"),","),"")</f>
        <v/>
      </c>
      <c r="AE133" s="0" t="str">
        <f aca="false" t="array" ref="AE133:AE133">IFERROR(CONCATENATE((INDEX($A$7:$A$85,SMALL(IF($AF$7:$AF$85&lt;&gt;"",IF($AC$7:$AC$85&lt;&gt;"",ROW($AC$7:$AC$85)-MIN(ROW($AC$7:$AC$85))+1,""),""),ROW()-ROW(A$87)+1))),),"")</f>
        <v/>
      </c>
      <c r="AI133" s="0" t="str">
        <f aca="false" t="array" ref="AI133:AI133">IFERROR(CONCATENATE((INDEX($AL$7:$AL$85,SMALL(IF($AL$7:$AL$85&lt;&gt;"",IF($AI$7:$AI$85&lt;&gt;"",ROW($AI$7:$AI$85)-MIN(ROW($AI$7:$AI$85))+1,""),""),ROW()-ROW(A$87)+1)))," "),"")</f>
        <v/>
      </c>
      <c r="AJ133" s="0" t="str">
        <f aca="false" t="array" ref="AJ133:AJ133">IFERROR(CONCATENATE(TEXT(INDEX($AI$7:$AI$85,SMALL(IF($AL$7:$AL$85&lt;&gt;"",IF($AI$7:$AI$85&lt;&gt;"",ROW($AI$7:$AI$85)-MIN(ROW($AI$7:$AI$85))+1,""),""),ROW()-ROW(A$87)+1)),"##0")," "),"")</f>
        <v/>
      </c>
      <c r="AK133" s="0" t="str">
        <f aca="false" t="array" ref="AK133:AK133">IFERROR(CONCATENATE((INDEX($A$7:$A$85,SMALL(IF($AL$7:$AL$85&lt;&gt;"",IF($AI$7:$AI$85&lt;&gt;"",ROW($AI$7:$AI$85)-MIN(ROW($AI$7:$AI$85))+1,""),""),ROW()-ROW(A$87)+1))),),"")</f>
        <v/>
      </c>
    </row>
    <row r="134" customFormat="false" ht="15" hidden="false" customHeight="false" outlineLevel="0" collapsed="false">
      <c r="K134" s="0" t="str">
        <f aca="false" t="array" ref="K134:K134">IFERROR(CONCATENATE(TEXT(INDEX($K$7:$K$85,SMALL(IF($N$7:$N$85&lt;&gt;"",IF($K$7:$K$85&lt;&gt;"",ROW($K$7:$K$85)-MIN(ROW($K$7:$K$85))+1,""),""),ROW()-ROW(A$87)+1)),"##0"),","),"")</f>
        <v/>
      </c>
      <c r="L134" s="0" t="str">
        <f aca="false" t="array" ref="L134:L134">IFERROR(CONCATENATE((INDEX($N$7:$N$85,SMALL(IF($N$7:$N$85&lt;&gt;"",IF($K$7:$K$85&lt;&gt;"",ROW($K$7:$K$85)-MIN(ROW($K$7:$K$85))+1,""),""),ROW()-ROW(A$87)+1))),","),"")</f>
        <v/>
      </c>
      <c r="M134" s="0" t="str">
        <f aca="false" t="array" ref="M134:M134">IFERROR(CONCATENATE((INDEX($A$7:$A$85,SMALL(IF($N$7:$N$85&lt;&gt;"",IF($K$7:$K$85&lt;&gt;"",ROW($K$7:$K$85)-MIN(ROW($K$7:$K$85))+1,""),""),ROW()-ROW(A$87)+1))),),"")</f>
        <v/>
      </c>
      <c r="Q134" s="0" t="str">
        <f aca="false" t="array" ref="Q134:Q134">IFERROR(CONCATENATE((INDEX($T$7:$T$85,SMALL(IF($T$7:$T$85&lt;&gt;"",IF($Q$7:$Q$85&lt;&gt;"",ROW($Q$7:$Q$85)-MIN(ROW($Q$7:$Q$85))+1,""),""),ROW()-ROW(A$87)+1)))," "),"")</f>
        <v/>
      </c>
      <c r="R134" s="0" t="str">
        <f aca="false" t="array" ref="R134:R134">IFERROR(CONCATENATE(TEXT(INDEX($Q$7:$Q$85,SMALL(IF($T$7:$T$85&lt;&gt;"",IF($Q$7:$Q$85&lt;&gt;"",ROW($Q$7:$Q$85)-MIN(ROW($Q$7:$Q$85))+1,""),""),ROW()-ROW(A$87)+1)),"##0")," "),"")</f>
        <v/>
      </c>
      <c r="S134" s="0" t="str">
        <f aca="false" t="array" ref="S134:S134">IFERROR(CONCATENATE((INDEX($A$7:$A$85,SMALL(IF($T$7:$T$85&lt;&gt;"",IF($Q$7:$Q$85&lt;&gt;"",ROW($Q$7:$Q$85)-MIN(ROW($Q$7:$Q$85))+1,""),""),ROW()-ROW(A$87)+1))),),"")</f>
        <v/>
      </c>
      <c r="W134" s="0" t="str">
        <f aca="false" t="array" ref="W134:W134">IFERROR(CONCATENATE((INDEX($Z$7:$Z$85,SMALL(IF($Z$7:$Z$85&lt;&gt;"",IF($W$7:$W$85&lt;&gt;"",ROW($W$7:$W$85)-MIN(ROW($W$7:$W$85))+1,""),""),ROW()-ROW(A$87)+1)))," "),"")</f>
        <v/>
      </c>
      <c r="X134" s="0" t="str">
        <f aca="false" t="array" ref="X134:X134">IFERROR(CONCATENATE(TEXT(INDEX($W$7:$W$85,SMALL(IF($Z$7:$Z$85&lt;&gt;"",IF($W$7:$W$85&lt;&gt;"",ROW($W$7:$W$85)-MIN(ROW($W$7:$W$85))+1,""),""),ROW()-ROW(A$87)+1)),"##0")," "),"")</f>
        <v/>
      </c>
      <c r="Y134" s="0" t="str">
        <f aca="false" t="array" ref="Y134:Y134">IFERROR(CONCATENATE((INDEX($A$7:$A$85,SMALL(IF($Z$7:$Z$85&lt;&gt;"",IF($W$7:$W$85&lt;&gt;"",ROW($W$7:$W$85)-MIN(ROW($W$7:$W$85))+1,""),""),ROW()-ROW(A$87)+1))),),"")</f>
        <v/>
      </c>
      <c r="AC134" s="0" t="str">
        <f aca="false" t="array" ref="AC134:AC134">IFERROR(CONCATENATE((INDEX($AF$7:$AF$85,SMALL(IF($AF$7:$AF$85&lt;&gt;"",IF($AC$7:$AC$85&lt;&gt;"",ROW($AC$7:$AC$85)-MIN(ROW($AC$7:$AC$85))+1,""),""),ROW()-ROW(A$87)+1))),","),"")</f>
        <v/>
      </c>
      <c r="AD134" s="0" t="str">
        <f aca="false" t="array" ref="AD134:AD134">IFERROR(CONCATENATE(TEXT(INDEX($AC$7:$AC$85,SMALL(IF($AF$7:$AF$85&lt;&gt;"",IF($AC$7:$AC$85&lt;&gt;"",ROW($AC$7:$AC$85)-MIN(ROW($AC$7:$AC$85))+1,""),""),ROW()-ROW(A$87)+1)),"##0"),","),"")</f>
        <v/>
      </c>
      <c r="AE134" s="0" t="str">
        <f aca="false" t="array" ref="AE134:AE134">IFERROR(CONCATENATE((INDEX($A$7:$A$85,SMALL(IF($AF$7:$AF$85&lt;&gt;"",IF($AC$7:$AC$85&lt;&gt;"",ROW($AC$7:$AC$85)-MIN(ROW($AC$7:$AC$85))+1,""),""),ROW()-ROW(A$87)+1))),),"")</f>
        <v/>
      </c>
      <c r="AI134" s="0" t="str">
        <f aca="false" t="array" ref="AI134:AI134">IFERROR(CONCATENATE((INDEX($AL$7:$AL$85,SMALL(IF($AL$7:$AL$85&lt;&gt;"",IF($AI$7:$AI$85&lt;&gt;"",ROW($AI$7:$AI$85)-MIN(ROW($AI$7:$AI$85))+1,""),""),ROW()-ROW(A$87)+1)))," "),"")</f>
        <v/>
      </c>
      <c r="AJ134" s="0" t="str">
        <f aca="false" t="array" ref="AJ134:AJ134">IFERROR(CONCATENATE(TEXT(INDEX($AI$7:$AI$85,SMALL(IF($AL$7:$AL$85&lt;&gt;"",IF($AI$7:$AI$85&lt;&gt;"",ROW($AI$7:$AI$85)-MIN(ROW($AI$7:$AI$85))+1,""),""),ROW()-ROW(A$87)+1)),"##0")," "),"")</f>
        <v/>
      </c>
      <c r="AK134" s="0" t="str">
        <f aca="false" t="array" ref="AK134:AK134">IFERROR(CONCATENATE((INDEX($A$7:$A$85,SMALL(IF($AL$7:$AL$85&lt;&gt;"",IF($AI$7:$AI$85&lt;&gt;"",ROW($AI$7:$AI$85)-MIN(ROW($AI$7:$AI$85))+1,""),""),ROW()-ROW(A$87)+1))),),"")</f>
        <v/>
      </c>
    </row>
    <row r="135" customFormat="false" ht="15" hidden="false" customHeight="false" outlineLevel="0" collapsed="false">
      <c r="K135" s="0" t="str">
        <f aca="false" t="array" ref="K135:K135">IFERROR(CONCATENATE(TEXT(INDEX($K$7:$K$85,SMALL(IF($N$7:$N$85&lt;&gt;"",IF($K$7:$K$85&lt;&gt;"",ROW($K$7:$K$85)-MIN(ROW($K$7:$K$85))+1,""),""),ROW()-ROW(A$87)+1)),"##0"),","),"")</f>
        <v/>
      </c>
      <c r="L135" s="0" t="str">
        <f aca="false" t="array" ref="L135:L135">IFERROR(CONCATENATE((INDEX($N$7:$N$85,SMALL(IF($N$7:$N$85&lt;&gt;"",IF($K$7:$K$85&lt;&gt;"",ROW($K$7:$K$85)-MIN(ROW($K$7:$K$85))+1,""),""),ROW()-ROW(A$87)+1))),","),"")</f>
        <v/>
      </c>
      <c r="M135" s="0" t="str">
        <f aca="false" t="array" ref="M135:M135">IFERROR(CONCATENATE((INDEX($A$7:$A$85,SMALL(IF($N$7:$N$85&lt;&gt;"",IF($K$7:$K$85&lt;&gt;"",ROW($K$7:$K$85)-MIN(ROW($K$7:$K$85))+1,""),""),ROW()-ROW(A$87)+1))),),"")</f>
        <v/>
      </c>
      <c r="Q135" s="0" t="str">
        <f aca="false" t="array" ref="Q135:Q135">IFERROR(CONCATENATE((INDEX($T$7:$T$85,SMALL(IF($T$7:$T$85&lt;&gt;"",IF($Q$7:$Q$85&lt;&gt;"",ROW($Q$7:$Q$85)-MIN(ROW($Q$7:$Q$85))+1,""),""),ROW()-ROW(A$87)+1)))," "),"")</f>
        <v/>
      </c>
      <c r="R135" s="0" t="str">
        <f aca="false" t="array" ref="R135:R135">IFERROR(CONCATENATE(TEXT(INDEX($Q$7:$Q$85,SMALL(IF($T$7:$T$85&lt;&gt;"",IF($Q$7:$Q$85&lt;&gt;"",ROW($Q$7:$Q$85)-MIN(ROW($Q$7:$Q$85))+1,""),""),ROW()-ROW(A$87)+1)),"##0")," "),"")</f>
        <v/>
      </c>
      <c r="S135" s="0" t="str">
        <f aca="false" t="array" ref="S135:S135">IFERROR(CONCATENATE((INDEX($A$7:$A$85,SMALL(IF($T$7:$T$85&lt;&gt;"",IF($Q$7:$Q$85&lt;&gt;"",ROW($Q$7:$Q$85)-MIN(ROW($Q$7:$Q$85))+1,""),""),ROW()-ROW(A$87)+1))),),"")</f>
        <v/>
      </c>
      <c r="W135" s="0" t="str">
        <f aca="false" t="array" ref="W135:W135">IFERROR(CONCATENATE((INDEX($Z$7:$Z$85,SMALL(IF($Z$7:$Z$85&lt;&gt;"",IF($W$7:$W$85&lt;&gt;"",ROW($W$7:$W$85)-MIN(ROW($W$7:$W$85))+1,""),""),ROW()-ROW(A$87)+1)))," "),"")</f>
        <v/>
      </c>
      <c r="X135" s="0" t="str">
        <f aca="false" t="array" ref="X135:X135">IFERROR(CONCATENATE(TEXT(INDEX($W$7:$W$85,SMALL(IF($Z$7:$Z$85&lt;&gt;"",IF($W$7:$W$85&lt;&gt;"",ROW($W$7:$W$85)-MIN(ROW($W$7:$W$85))+1,""),""),ROW()-ROW(A$87)+1)),"##0")," "),"")</f>
        <v/>
      </c>
      <c r="Y135" s="0" t="str">
        <f aca="false" t="array" ref="Y135:Y135">IFERROR(CONCATENATE((INDEX($A$7:$A$85,SMALL(IF($Z$7:$Z$85&lt;&gt;"",IF($W$7:$W$85&lt;&gt;"",ROW($W$7:$W$85)-MIN(ROW($W$7:$W$85))+1,""),""),ROW()-ROW(A$87)+1))),),"")</f>
        <v/>
      </c>
      <c r="AC135" s="0" t="str">
        <f aca="false" t="array" ref="AC135:AC135">IFERROR(CONCATENATE((INDEX($AF$7:$AF$85,SMALL(IF($AF$7:$AF$85&lt;&gt;"",IF($AC$7:$AC$85&lt;&gt;"",ROW($AC$7:$AC$85)-MIN(ROW($AC$7:$AC$85))+1,""),""),ROW()-ROW(A$87)+1))),","),"")</f>
        <v/>
      </c>
      <c r="AD135" s="0" t="str">
        <f aca="false" t="array" ref="AD135:AD135">IFERROR(CONCATENATE(TEXT(INDEX($AC$7:$AC$85,SMALL(IF($AF$7:$AF$85&lt;&gt;"",IF($AC$7:$AC$85&lt;&gt;"",ROW($AC$7:$AC$85)-MIN(ROW($AC$7:$AC$85))+1,""),""),ROW()-ROW(A$87)+1)),"##0"),","),"")</f>
        <v/>
      </c>
      <c r="AE135" s="0" t="str">
        <f aca="false" t="array" ref="AE135:AE135">IFERROR(CONCATENATE((INDEX($A$7:$A$85,SMALL(IF($AF$7:$AF$85&lt;&gt;"",IF($AC$7:$AC$85&lt;&gt;"",ROW($AC$7:$AC$85)-MIN(ROW($AC$7:$AC$85))+1,""),""),ROW()-ROW(A$87)+1))),),"")</f>
        <v/>
      </c>
      <c r="AI135" s="0" t="str">
        <f aca="false" t="array" ref="AI135:AI135">IFERROR(CONCATENATE((INDEX($AL$7:$AL$85,SMALL(IF($AL$7:$AL$85&lt;&gt;"",IF($AI$7:$AI$85&lt;&gt;"",ROW($AI$7:$AI$85)-MIN(ROW($AI$7:$AI$85))+1,""),""),ROW()-ROW(A$87)+1)))," "),"")</f>
        <v/>
      </c>
      <c r="AJ135" s="0" t="str">
        <f aca="false" t="array" ref="AJ135:AJ135">IFERROR(CONCATENATE(TEXT(INDEX($AI$7:$AI$85,SMALL(IF($AL$7:$AL$85&lt;&gt;"",IF($AI$7:$AI$85&lt;&gt;"",ROW($AI$7:$AI$85)-MIN(ROW($AI$7:$AI$85))+1,""),""),ROW()-ROW(A$87)+1)),"##0")," "),"")</f>
        <v/>
      </c>
      <c r="AK135" s="0" t="str">
        <f aca="false" t="array" ref="AK135:AK135">IFERROR(CONCATENATE((INDEX($A$7:$A$85,SMALL(IF($AL$7:$AL$85&lt;&gt;"",IF($AI$7:$AI$85&lt;&gt;"",ROW($AI$7:$AI$85)-MIN(ROW($AI$7:$AI$85))+1,""),""),ROW()-ROW(A$87)+1))),),"")</f>
        <v/>
      </c>
    </row>
    <row r="136" customFormat="false" ht="15" hidden="false" customHeight="false" outlineLevel="0" collapsed="false">
      <c r="K136" s="0" t="str">
        <f aca="false" t="array" ref="K136:K136">IFERROR(CONCATENATE(TEXT(INDEX($K$7:$K$85,SMALL(IF($N$7:$N$85&lt;&gt;"",IF($K$7:$K$85&lt;&gt;"",ROW($K$7:$K$85)-MIN(ROW($K$7:$K$85))+1,""),""),ROW()-ROW(A$87)+1)),"##0"),","),"")</f>
        <v/>
      </c>
      <c r="L136" s="0" t="str">
        <f aca="false" t="array" ref="L136:L136">IFERROR(CONCATENATE((INDEX($N$7:$N$85,SMALL(IF($N$7:$N$85&lt;&gt;"",IF($K$7:$K$85&lt;&gt;"",ROW($K$7:$K$85)-MIN(ROW($K$7:$K$85))+1,""),""),ROW()-ROW(A$87)+1))),","),"")</f>
        <v/>
      </c>
      <c r="M136" s="0" t="str">
        <f aca="false" t="array" ref="M136:M136">IFERROR(CONCATENATE((INDEX($A$7:$A$85,SMALL(IF($N$7:$N$85&lt;&gt;"",IF($K$7:$K$85&lt;&gt;"",ROW($K$7:$K$85)-MIN(ROW($K$7:$K$85))+1,""),""),ROW()-ROW(A$87)+1))),),"")</f>
        <v/>
      </c>
      <c r="Q136" s="0" t="str">
        <f aca="false" t="array" ref="Q136:Q136">IFERROR(CONCATENATE((INDEX($T$7:$T$85,SMALL(IF($T$7:$T$85&lt;&gt;"",IF($Q$7:$Q$85&lt;&gt;"",ROW($Q$7:$Q$85)-MIN(ROW($Q$7:$Q$85))+1,""),""),ROW()-ROW(A$87)+1)))," "),"")</f>
        <v/>
      </c>
      <c r="R136" s="0" t="str">
        <f aca="false" t="array" ref="R136:R136">IFERROR(CONCATENATE(TEXT(INDEX($Q$7:$Q$85,SMALL(IF($T$7:$T$85&lt;&gt;"",IF($Q$7:$Q$85&lt;&gt;"",ROW($Q$7:$Q$85)-MIN(ROW($Q$7:$Q$85))+1,""),""),ROW()-ROW(A$87)+1)),"##0")," "),"")</f>
        <v/>
      </c>
      <c r="S136" s="0" t="str">
        <f aca="false" t="array" ref="S136:S136">IFERROR(CONCATENATE((INDEX($A$7:$A$85,SMALL(IF($T$7:$T$85&lt;&gt;"",IF($Q$7:$Q$85&lt;&gt;"",ROW($Q$7:$Q$85)-MIN(ROW($Q$7:$Q$85))+1,""),""),ROW()-ROW(A$87)+1))),),"")</f>
        <v/>
      </c>
      <c r="W136" s="0" t="str">
        <f aca="false" t="array" ref="W136:W136">IFERROR(CONCATENATE((INDEX($Z$7:$Z$85,SMALL(IF($Z$7:$Z$85&lt;&gt;"",IF($W$7:$W$85&lt;&gt;"",ROW($W$7:$W$85)-MIN(ROW($W$7:$W$85))+1,""),""),ROW()-ROW(A$87)+1)))," "),"")</f>
        <v/>
      </c>
      <c r="X136" s="0" t="str">
        <f aca="false" t="array" ref="X136:X136">IFERROR(CONCATENATE(TEXT(INDEX($W$7:$W$85,SMALL(IF($Z$7:$Z$85&lt;&gt;"",IF($W$7:$W$85&lt;&gt;"",ROW($W$7:$W$85)-MIN(ROW($W$7:$W$85))+1,""),""),ROW()-ROW(A$87)+1)),"##0")," "),"")</f>
        <v/>
      </c>
      <c r="Y136" s="0" t="str">
        <f aca="false" t="array" ref="Y136:Y136">IFERROR(CONCATENATE((INDEX($A$7:$A$85,SMALL(IF($Z$7:$Z$85&lt;&gt;"",IF($W$7:$W$85&lt;&gt;"",ROW($W$7:$W$85)-MIN(ROW($W$7:$W$85))+1,""),""),ROW()-ROW(A$87)+1))),),"")</f>
        <v/>
      </c>
      <c r="AC136" s="0" t="str">
        <f aca="false" t="array" ref="AC136:AC136">IFERROR(CONCATENATE((INDEX($AF$7:$AF$85,SMALL(IF($AF$7:$AF$85&lt;&gt;"",IF($AC$7:$AC$85&lt;&gt;"",ROW($AC$7:$AC$85)-MIN(ROW($AC$7:$AC$85))+1,""),""),ROW()-ROW(A$87)+1))),","),"")</f>
        <v/>
      </c>
      <c r="AD136" s="0" t="str">
        <f aca="false" t="array" ref="AD136:AD136">IFERROR(CONCATENATE(TEXT(INDEX($AC$7:$AC$85,SMALL(IF($AF$7:$AF$85&lt;&gt;"",IF($AC$7:$AC$85&lt;&gt;"",ROW($AC$7:$AC$85)-MIN(ROW($AC$7:$AC$85))+1,""),""),ROW()-ROW(A$87)+1)),"##0"),","),"")</f>
        <v/>
      </c>
      <c r="AE136" s="0" t="str">
        <f aca="false" t="array" ref="AE136:AE136">IFERROR(CONCATENATE((INDEX($A$7:$A$85,SMALL(IF($AF$7:$AF$85&lt;&gt;"",IF($AC$7:$AC$85&lt;&gt;"",ROW($AC$7:$AC$85)-MIN(ROW($AC$7:$AC$85))+1,""),""),ROW()-ROW(A$87)+1))),),"")</f>
        <v/>
      </c>
      <c r="AI136" s="0" t="str">
        <f aca="false" t="array" ref="AI136:AI136">IFERROR(CONCATENATE((INDEX($AL$7:$AL$85,SMALL(IF($AL$7:$AL$85&lt;&gt;"",IF($AI$7:$AI$85&lt;&gt;"",ROW($AI$7:$AI$85)-MIN(ROW($AI$7:$AI$85))+1,""),""),ROW()-ROW(A$87)+1)))," "),"")</f>
        <v/>
      </c>
      <c r="AJ136" s="0" t="str">
        <f aca="false" t="array" ref="AJ136:AJ136">IFERROR(CONCATENATE(TEXT(INDEX($AI$7:$AI$85,SMALL(IF($AL$7:$AL$85&lt;&gt;"",IF($AI$7:$AI$85&lt;&gt;"",ROW($AI$7:$AI$85)-MIN(ROW($AI$7:$AI$85))+1,""),""),ROW()-ROW(A$87)+1)),"##0")," "),"")</f>
        <v/>
      </c>
      <c r="AK136" s="0" t="str">
        <f aca="false" t="array" ref="AK136:AK136">IFERROR(CONCATENATE((INDEX($A$7:$A$85,SMALL(IF($AL$7:$AL$85&lt;&gt;"",IF($AI$7:$AI$85&lt;&gt;"",ROW($AI$7:$AI$85)-MIN(ROW($AI$7:$AI$85))+1,""),""),ROW()-ROW(A$87)+1))),),"")</f>
        <v/>
      </c>
    </row>
    <row r="137" customFormat="false" ht="15" hidden="false" customHeight="false" outlineLevel="0" collapsed="false">
      <c r="K137" s="0" t="str">
        <f aca="false" t="array" ref="K137:K137">IFERROR(CONCATENATE(TEXT(INDEX($K$7:$K$85,SMALL(IF($N$7:$N$85&lt;&gt;"",IF($K$7:$K$85&lt;&gt;"",ROW($K$7:$K$85)-MIN(ROW($K$7:$K$85))+1,""),""),ROW()-ROW(A$87)+1)),"##0"),","),"")</f>
        <v/>
      </c>
      <c r="L137" s="0" t="str">
        <f aca="false" t="array" ref="L137:L137">IFERROR(CONCATENATE((INDEX($N$7:$N$85,SMALL(IF($N$7:$N$85&lt;&gt;"",IF($K$7:$K$85&lt;&gt;"",ROW($K$7:$K$85)-MIN(ROW($K$7:$K$85))+1,""),""),ROW()-ROW(A$87)+1))),","),"")</f>
        <v/>
      </c>
      <c r="M137" s="0" t="str">
        <f aca="false" t="array" ref="M137:M137">IFERROR(CONCATENATE((INDEX($A$7:$A$85,SMALL(IF($N$7:$N$85&lt;&gt;"",IF($K$7:$K$85&lt;&gt;"",ROW($K$7:$K$85)-MIN(ROW($K$7:$K$85))+1,""),""),ROW()-ROW(A$87)+1))),),"")</f>
        <v/>
      </c>
      <c r="Q137" s="0" t="str">
        <f aca="false" t="array" ref="Q137:Q137">IFERROR(CONCATENATE((INDEX($T$7:$T$85,SMALL(IF($T$7:$T$85&lt;&gt;"",IF($Q$7:$Q$85&lt;&gt;"",ROW($Q$7:$Q$85)-MIN(ROW($Q$7:$Q$85))+1,""),""),ROW()-ROW(A$87)+1)))," "),"")</f>
        <v/>
      </c>
      <c r="R137" s="0" t="str">
        <f aca="false" t="array" ref="R137:R137">IFERROR(CONCATENATE(TEXT(INDEX($Q$7:$Q$85,SMALL(IF($T$7:$T$85&lt;&gt;"",IF($Q$7:$Q$85&lt;&gt;"",ROW($Q$7:$Q$85)-MIN(ROW($Q$7:$Q$85))+1,""),""),ROW()-ROW(A$87)+1)),"##0")," "),"")</f>
        <v/>
      </c>
      <c r="S137" s="0" t="str">
        <f aca="false" t="array" ref="S137:S137">IFERROR(CONCATENATE((INDEX($A$7:$A$85,SMALL(IF($T$7:$T$85&lt;&gt;"",IF($Q$7:$Q$85&lt;&gt;"",ROW($Q$7:$Q$85)-MIN(ROW($Q$7:$Q$85))+1,""),""),ROW()-ROW(A$87)+1))),),"")</f>
        <v/>
      </c>
      <c r="W137" s="0" t="str">
        <f aca="false" t="array" ref="W137:W137">IFERROR(CONCATENATE((INDEX($Z$7:$Z$85,SMALL(IF($Z$7:$Z$85&lt;&gt;"",IF($W$7:$W$85&lt;&gt;"",ROW($W$7:$W$85)-MIN(ROW($W$7:$W$85))+1,""),""),ROW()-ROW(A$87)+1)))," "),"")</f>
        <v/>
      </c>
      <c r="X137" s="0" t="str">
        <f aca="false" t="array" ref="X137:X137">IFERROR(CONCATENATE(TEXT(INDEX($W$7:$W$85,SMALL(IF($Z$7:$Z$85&lt;&gt;"",IF($W$7:$W$85&lt;&gt;"",ROW($W$7:$W$85)-MIN(ROW($W$7:$W$85))+1,""),""),ROW()-ROW(A$87)+1)),"##0")," "),"")</f>
        <v/>
      </c>
      <c r="Y137" s="0" t="str">
        <f aca="false" t="array" ref="Y137:Y137">IFERROR(CONCATENATE((INDEX($A$7:$A$85,SMALL(IF($Z$7:$Z$85&lt;&gt;"",IF($W$7:$W$85&lt;&gt;"",ROW($W$7:$W$85)-MIN(ROW($W$7:$W$85))+1,""),""),ROW()-ROW(A$87)+1))),),"")</f>
        <v/>
      </c>
      <c r="AC137" s="0" t="str">
        <f aca="false" t="array" ref="AC137:AC137">IFERROR(CONCATENATE((INDEX($AF$7:$AF$85,SMALL(IF($AF$7:$AF$85&lt;&gt;"",IF($AC$7:$AC$85&lt;&gt;"",ROW($AC$7:$AC$85)-MIN(ROW($AC$7:$AC$85))+1,""),""),ROW()-ROW(A$87)+1))),","),"")</f>
        <v/>
      </c>
      <c r="AD137" s="0" t="str">
        <f aca="false" t="array" ref="AD137:AD137">IFERROR(CONCATENATE(TEXT(INDEX($AC$7:$AC$85,SMALL(IF($AF$7:$AF$85&lt;&gt;"",IF($AC$7:$AC$85&lt;&gt;"",ROW($AC$7:$AC$85)-MIN(ROW($AC$7:$AC$85))+1,""),""),ROW()-ROW(A$87)+1)),"##0"),","),"")</f>
        <v/>
      </c>
      <c r="AE137" s="0" t="str">
        <f aca="false" t="array" ref="AE137:AE137">IFERROR(CONCATENATE((INDEX($A$7:$A$85,SMALL(IF($AF$7:$AF$85&lt;&gt;"",IF($AC$7:$AC$85&lt;&gt;"",ROW($AC$7:$AC$85)-MIN(ROW($AC$7:$AC$85))+1,""),""),ROW()-ROW(A$87)+1))),),"")</f>
        <v/>
      </c>
      <c r="AI137" s="0" t="str">
        <f aca="false" t="array" ref="AI137:AI137">IFERROR(CONCATENATE((INDEX($AL$7:$AL$85,SMALL(IF($AL$7:$AL$85&lt;&gt;"",IF($AI$7:$AI$85&lt;&gt;"",ROW($AI$7:$AI$85)-MIN(ROW($AI$7:$AI$85))+1,""),""),ROW()-ROW(A$87)+1)))," "),"")</f>
        <v/>
      </c>
      <c r="AJ137" s="0" t="str">
        <f aca="false" t="array" ref="AJ137:AJ137">IFERROR(CONCATENATE(TEXT(INDEX($AI$7:$AI$85,SMALL(IF($AL$7:$AL$85&lt;&gt;"",IF($AI$7:$AI$85&lt;&gt;"",ROW($AI$7:$AI$85)-MIN(ROW($AI$7:$AI$85))+1,""),""),ROW()-ROW(A$87)+1)),"##0")," "),"")</f>
        <v/>
      </c>
      <c r="AK137" s="0" t="str">
        <f aca="false" t="array" ref="AK137:AK137">IFERROR(CONCATENATE((INDEX($A$7:$A$85,SMALL(IF($AL$7:$AL$85&lt;&gt;"",IF($AI$7:$AI$85&lt;&gt;"",ROW($AI$7:$AI$85)-MIN(ROW($AI$7:$AI$85))+1,""),""),ROW()-ROW(A$87)+1))),),"")</f>
        <v/>
      </c>
    </row>
    <row r="138" customFormat="false" ht="15" hidden="false" customHeight="false" outlineLevel="0" collapsed="false">
      <c r="K138" s="0" t="str">
        <f aca="false" t="array" ref="K138:K138">IFERROR(CONCATENATE(TEXT(INDEX($K$7:$K$85,SMALL(IF($N$7:$N$85&lt;&gt;"",IF($K$7:$K$85&lt;&gt;"",ROW($K$7:$K$85)-MIN(ROW($K$7:$K$85))+1,""),""),ROW()-ROW(A$87)+1)),"##0"),","),"")</f>
        <v/>
      </c>
      <c r="L138" s="0" t="str">
        <f aca="false" t="array" ref="L138:L138">IFERROR(CONCATENATE((INDEX($N$7:$N$85,SMALL(IF($N$7:$N$85&lt;&gt;"",IF($K$7:$K$85&lt;&gt;"",ROW($K$7:$K$85)-MIN(ROW($K$7:$K$85))+1,""),""),ROW()-ROW(A$87)+1))),","),"")</f>
        <v/>
      </c>
      <c r="M138" s="0" t="str">
        <f aca="false" t="array" ref="M138:M138">IFERROR(CONCATENATE((INDEX($A$7:$A$85,SMALL(IF($N$7:$N$85&lt;&gt;"",IF($K$7:$K$85&lt;&gt;"",ROW($K$7:$K$85)-MIN(ROW($K$7:$K$85))+1,""),""),ROW()-ROW(A$87)+1))),),"")</f>
        <v/>
      </c>
      <c r="Q138" s="0" t="str">
        <f aca="false" t="array" ref="Q138:Q138">IFERROR(CONCATENATE((INDEX($T$7:$T$85,SMALL(IF($T$7:$T$85&lt;&gt;"",IF($Q$7:$Q$85&lt;&gt;"",ROW($Q$7:$Q$85)-MIN(ROW($Q$7:$Q$85))+1,""),""),ROW()-ROW(A$87)+1)))," "),"")</f>
        <v/>
      </c>
      <c r="R138" s="0" t="str">
        <f aca="false" t="array" ref="R138:R138">IFERROR(CONCATENATE(TEXT(INDEX($Q$7:$Q$85,SMALL(IF($T$7:$T$85&lt;&gt;"",IF($Q$7:$Q$85&lt;&gt;"",ROW($Q$7:$Q$85)-MIN(ROW($Q$7:$Q$85))+1,""),""),ROW()-ROW(A$87)+1)),"##0")," "),"")</f>
        <v/>
      </c>
      <c r="S138" s="0" t="str">
        <f aca="false" t="array" ref="S138:S138">IFERROR(CONCATENATE((INDEX($A$7:$A$85,SMALL(IF($T$7:$T$85&lt;&gt;"",IF($Q$7:$Q$85&lt;&gt;"",ROW($Q$7:$Q$85)-MIN(ROW($Q$7:$Q$85))+1,""),""),ROW()-ROW(A$87)+1))),),"")</f>
        <v/>
      </c>
      <c r="W138" s="0" t="str">
        <f aca="false" t="array" ref="W138:W138">IFERROR(CONCATENATE((INDEX($Z$7:$Z$85,SMALL(IF($Z$7:$Z$85&lt;&gt;"",IF($W$7:$W$85&lt;&gt;"",ROW($W$7:$W$85)-MIN(ROW($W$7:$W$85))+1,""),""),ROW()-ROW(A$87)+1)))," "),"")</f>
        <v/>
      </c>
      <c r="X138" s="0" t="str">
        <f aca="false" t="array" ref="X138:X138">IFERROR(CONCATENATE(TEXT(INDEX($W$7:$W$85,SMALL(IF($Z$7:$Z$85&lt;&gt;"",IF($W$7:$W$85&lt;&gt;"",ROW($W$7:$W$85)-MIN(ROW($W$7:$W$85))+1,""),""),ROW()-ROW(A$87)+1)),"##0")," "),"")</f>
        <v/>
      </c>
      <c r="Y138" s="0" t="str">
        <f aca="false" t="array" ref="Y138:Y138">IFERROR(CONCATENATE((INDEX($A$7:$A$85,SMALL(IF($Z$7:$Z$85&lt;&gt;"",IF($W$7:$W$85&lt;&gt;"",ROW($W$7:$W$85)-MIN(ROW($W$7:$W$85))+1,""),""),ROW()-ROW(A$87)+1))),),"")</f>
        <v/>
      </c>
      <c r="AC138" s="0" t="str">
        <f aca="false" t="array" ref="AC138:AC138">IFERROR(CONCATENATE((INDEX($AF$7:$AF$85,SMALL(IF($AF$7:$AF$85&lt;&gt;"",IF($AC$7:$AC$85&lt;&gt;"",ROW($AC$7:$AC$85)-MIN(ROW($AC$7:$AC$85))+1,""),""),ROW()-ROW(A$87)+1))),","),"")</f>
        <v/>
      </c>
      <c r="AD138" s="0" t="str">
        <f aca="false" t="array" ref="AD138:AD138">IFERROR(CONCATENATE(TEXT(INDEX($AC$7:$AC$85,SMALL(IF($AF$7:$AF$85&lt;&gt;"",IF($AC$7:$AC$85&lt;&gt;"",ROW($AC$7:$AC$85)-MIN(ROW($AC$7:$AC$85))+1,""),""),ROW()-ROW(A$87)+1)),"##0"),","),"")</f>
        <v/>
      </c>
      <c r="AE138" s="0" t="str">
        <f aca="false" t="array" ref="AE138:AE138">IFERROR(CONCATENATE((INDEX($A$7:$A$85,SMALL(IF($AF$7:$AF$85&lt;&gt;"",IF($AC$7:$AC$85&lt;&gt;"",ROW($AC$7:$AC$85)-MIN(ROW($AC$7:$AC$85))+1,""),""),ROW()-ROW(A$87)+1))),),"")</f>
        <v/>
      </c>
      <c r="AI138" s="0" t="str">
        <f aca="false" t="array" ref="AI138:AI138">IFERROR(CONCATENATE((INDEX($AL$7:$AL$85,SMALL(IF($AL$7:$AL$85&lt;&gt;"",IF($AI$7:$AI$85&lt;&gt;"",ROW($AI$7:$AI$85)-MIN(ROW($AI$7:$AI$85))+1,""),""),ROW()-ROW(A$87)+1)))," "),"")</f>
        <v/>
      </c>
      <c r="AJ138" s="0" t="str">
        <f aca="false" t="array" ref="AJ138:AJ138">IFERROR(CONCATENATE(TEXT(INDEX($AI$7:$AI$85,SMALL(IF($AL$7:$AL$85&lt;&gt;"",IF($AI$7:$AI$85&lt;&gt;"",ROW($AI$7:$AI$85)-MIN(ROW($AI$7:$AI$85))+1,""),""),ROW()-ROW(A$87)+1)),"##0")," "),"")</f>
        <v/>
      </c>
      <c r="AK138" s="0" t="str">
        <f aca="false" t="array" ref="AK138:AK138">IFERROR(CONCATENATE((INDEX($A$7:$A$85,SMALL(IF($AL$7:$AL$85&lt;&gt;"",IF($AI$7:$AI$85&lt;&gt;"",ROW($AI$7:$AI$85)-MIN(ROW($AI$7:$AI$85))+1,""),""),ROW()-ROW(A$87)+1))),),"")</f>
        <v/>
      </c>
    </row>
    <row r="139" customFormat="false" ht="15" hidden="false" customHeight="false" outlineLevel="0" collapsed="false">
      <c r="K139" s="0" t="str">
        <f aca="false" t="array" ref="K139:K139">IFERROR(CONCATENATE(TEXT(INDEX($K$7:$K$85,SMALL(IF($N$7:$N$85&lt;&gt;"",IF($K$7:$K$85&lt;&gt;"",ROW($K$7:$K$85)-MIN(ROW($K$7:$K$85))+1,""),""),ROW()-ROW(A$87)+1)),"##0"),","),"")</f>
        <v/>
      </c>
      <c r="L139" s="0" t="str">
        <f aca="false" t="array" ref="L139:L139">IFERROR(CONCATENATE((INDEX($N$7:$N$85,SMALL(IF($N$7:$N$85&lt;&gt;"",IF($K$7:$K$85&lt;&gt;"",ROW($K$7:$K$85)-MIN(ROW($K$7:$K$85))+1,""),""),ROW()-ROW(A$87)+1))),","),"")</f>
        <v/>
      </c>
      <c r="M139" s="0" t="str">
        <f aca="false" t="array" ref="M139:M139">IFERROR(CONCATENATE((INDEX($A$7:$A$85,SMALL(IF($N$7:$N$85&lt;&gt;"",IF($K$7:$K$85&lt;&gt;"",ROW($K$7:$K$85)-MIN(ROW($K$7:$K$85))+1,""),""),ROW()-ROW(A$87)+1))),),"")</f>
        <v/>
      </c>
      <c r="Q139" s="0" t="str">
        <f aca="false" t="array" ref="Q139:Q139">IFERROR(CONCATENATE((INDEX($T$7:$T$85,SMALL(IF($T$7:$T$85&lt;&gt;"",IF($Q$7:$Q$85&lt;&gt;"",ROW($Q$7:$Q$85)-MIN(ROW($Q$7:$Q$85))+1,""),""),ROW()-ROW(A$87)+1)))," "),"")</f>
        <v/>
      </c>
      <c r="R139" s="0" t="str">
        <f aca="false" t="array" ref="R139:R139">IFERROR(CONCATENATE(TEXT(INDEX($Q$7:$Q$85,SMALL(IF($T$7:$T$85&lt;&gt;"",IF($Q$7:$Q$85&lt;&gt;"",ROW($Q$7:$Q$85)-MIN(ROW($Q$7:$Q$85))+1,""),""),ROW()-ROW(A$87)+1)),"##0")," "),"")</f>
        <v/>
      </c>
      <c r="S139" s="0" t="str">
        <f aca="false" t="array" ref="S139:S139">IFERROR(CONCATENATE((INDEX($A$7:$A$85,SMALL(IF($T$7:$T$85&lt;&gt;"",IF($Q$7:$Q$85&lt;&gt;"",ROW($Q$7:$Q$85)-MIN(ROW($Q$7:$Q$85))+1,""),""),ROW()-ROW(A$87)+1))),),"")</f>
        <v/>
      </c>
      <c r="W139" s="0" t="str">
        <f aca="false" t="array" ref="W139:W139">IFERROR(CONCATENATE((INDEX($Z$7:$Z$85,SMALL(IF($Z$7:$Z$85&lt;&gt;"",IF($W$7:$W$85&lt;&gt;"",ROW($W$7:$W$85)-MIN(ROW($W$7:$W$85))+1,""),""),ROW()-ROW(A$87)+1)))," "),"")</f>
        <v/>
      </c>
      <c r="X139" s="0" t="str">
        <f aca="false" t="array" ref="X139:X139">IFERROR(CONCATENATE(TEXT(INDEX($W$7:$W$85,SMALL(IF($Z$7:$Z$85&lt;&gt;"",IF($W$7:$W$85&lt;&gt;"",ROW($W$7:$W$85)-MIN(ROW($W$7:$W$85))+1,""),""),ROW()-ROW(A$87)+1)),"##0")," "),"")</f>
        <v/>
      </c>
      <c r="Y139" s="0" t="str">
        <f aca="false" t="array" ref="Y139:Y139">IFERROR(CONCATENATE((INDEX($A$7:$A$85,SMALL(IF($Z$7:$Z$85&lt;&gt;"",IF($W$7:$W$85&lt;&gt;"",ROW($W$7:$W$85)-MIN(ROW($W$7:$W$85))+1,""),""),ROW()-ROW(A$87)+1))),),"")</f>
        <v/>
      </c>
      <c r="AC139" s="0" t="str">
        <f aca="false" t="array" ref="AC139:AC139">IFERROR(CONCATENATE((INDEX($AF$7:$AF$85,SMALL(IF($AF$7:$AF$85&lt;&gt;"",IF($AC$7:$AC$85&lt;&gt;"",ROW($AC$7:$AC$85)-MIN(ROW($AC$7:$AC$85))+1,""),""),ROW()-ROW(A$87)+1))),","),"")</f>
        <v/>
      </c>
      <c r="AD139" s="0" t="str">
        <f aca="false" t="array" ref="AD139:AD139">IFERROR(CONCATENATE(TEXT(INDEX($AC$7:$AC$85,SMALL(IF($AF$7:$AF$85&lt;&gt;"",IF($AC$7:$AC$85&lt;&gt;"",ROW($AC$7:$AC$85)-MIN(ROW($AC$7:$AC$85))+1,""),""),ROW()-ROW(A$87)+1)),"##0"),","),"")</f>
        <v/>
      </c>
      <c r="AE139" s="0" t="str">
        <f aca="false" t="array" ref="AE139:AE139">IFERROR(CONCATENATE((INDEX($A$7:$A$85,SMALL(IF($AF$7:$AF$85&lt;&gt;"",IF($AC$7:$AC$85&lt;&gt;"",ROW($AC$7:$AC$85)-MIN(ROW($AC$7:$AC$85))+1,""),""),ROW()-ROW(A$87)+1))),),"")</f>
        <v/>
      </c>
      <c r="AI139" s="0" t="str">
        <f aca="false" t="array" ref="AI139:AI139">IFERROR(CONCATENATE((INDEX($AL$7:$AL$85,SMALL(IF($AL$7:$AL$85&lt;&gt;"",IF($AI$7:$AI$85&lt;&gt;"",ROW($AI$7:$AI$85)-MIN(ROW($AI$7:$AI$85))+1,""),""),ROW()-ROW(A$87)+1)))," "),"")</f>
        <v/>
      </c>
      <c r="AJ139" s="0" t="str">
        <f aca="false" t="array" ref="AJ139:AJ139">IFERROR(CONCATENATE(TEXT(INDEX($AI$7:$AI$85,SMALL(IF($AL$7:$AL$85&lt;&gt;"",IF($AI$7:$AI$85&lt;&gt;"",ROW($AI$7:$AI$85)-MIN(ROW($AI$7:$AI$85))+1,""),""),ROW()-ROW(A$87)+1)),"##0")," "),"")</f>
        <v/>
      </c>
      <c r="AK139" s="0" t="str">
        <f aca="false" t="array" ref="AK139:AK139">IFERROR(CONCATENATE((INDEX($A$7:$A$85,SMALL(IF($AL$7:$AL$85&lt;&gt;"",IF($AI$7:$AI$85&lt;&gt;"",ROW($AI$7:$AI$85)-MIN(ROW($AI$7:$AI$85))+1,""),""),ROW()-ROW(A$87)+1))),),"")</f>
        <v/>
      </c>
    </row>
    <row r="140" customFormat="false" ht="15" hidden="false" customHeight="false" outlineLevel="0" collapsed="false">
      <c r="K140" s="0" t="str">
        <f aca="false" t="array" ref="K140:K140">IFERROR(CONCATENATE(TEXT(INDEX($K$7:$K$85,SMALL(IF($N$7:$N$85&lt;&gt;"",IF($K$7:$K$85&lt;&gt;"",ROW($K$7:$K$85)-MIN(ROW($K$7:$K$85))+1,""),""),ROW()-ROW(A$87)+1)),"##0"),","),"")</f>
        <v/>
      </c>
      <c r="L140" s="0" t="str">
        <f aca="false" t="array" ref="L140:L140">IFERROR(CONCATENATE((INDEX($N$7:$N$85,SMALL(IF($N$7:$N$85&lt;&gt;"",IF($K$7:$K$85&lt;&gt;"",ROW($K$7:$K$85)-MIN(ROW($K$7:$K$85))+1,""),""),ROW()-ROW(A$87)+1))),","),"")</f>
        <v/>
      </c>
      <c r="M140" s="0" t="str">
        <f aca="false" t="array" ref="M140:M140">IFERROR(CONCATENATE((INDEX($A$7:$A$85,SMALL(IF($N$7:$N$85&lt;&gt;"",IF($K$7:$K$85&lt;&gt;"",ROW($K$7:$K$85)-MIN(ROW($K$7:$K$85))+1,""),""),ROW()-ROW(A$87)+1))),),"")</f>
        <v/>
      </c>
      <c r="Q140" s="0" t="str">
        <f aca="false" t="array" ref="Q140:Q140">IFERROR(CONCATENATE((INDEX($T$7:$T$85,SMALL(IF($T$7:$T$85&lt;&gt;"",IF($Q$7:$Q$85&lt;&gt;"",ROW($Q$7:$Q$85)-MIN(ROW($Q$7:$Q$85))+1,""),""),ROW()-ROW(A$87)+1)))," "),"")</f>
        <v/>
      </c>
      <c r="R140" s="0" t="str">
        <f aca="false" t="array" ref="R140:R140">IFERROR(CONCATENATE(TEXT(INDEX($Q$7:$Q$85,SMALL(IF($T$7:$T$85&lt;&gt;"",IF($Q$7:$Q$85&lt;&gt;"",ROW($Q$7:$Q$85)-MIN(ROW($Q$7:$Q$85))+1,""),""),ROW()-ROW(A$87)+1)),"##0")," "),"")</f>
        <v/>
      </c>
      <c r="S140" s="0" t="str">
        <f aca="false" t="array" ref="S140:S140">IFERROR(CONCATENATE((INDEX($A$7:$A$85,SMALL(IF($T$7:$T$85&lt;&gt;"",IF($Q$7:$Q$85&lt;&gt;"",ROW($Q$7:$Q$85)-MIN(ROW($Q$7:$Q$85))+1,""),""),ROW()-ROW(A$87)+1))),),"")</f>
        <v/>
      </c>
      <c r="W140" s="0" t="str">
        <f aca="false" t="array" ref="W140:W140">IFERROR(CONCATENATE((INDEX($Z$7:$Z$85,SMALL(IF($Z$7:$Z$85&lt;&gt;"",IF($W$7:$W$85&lt;&gt;"",ROW($W$7:$W$85)-MIN(ROW($W$7:$W$85))+1,""),""),ROW()-ROW(A$87)+1)))," "),"")</f>
        <v/>
      </c>
      <c r="X140" s="0" t="str">
        <f aca="false" t="array" ref="X140:X140">IFERROR(CONCATENATE(TEXT(INDEX($W$7:$W$85,SMALL(IF($Z$7:$Z$85&lt;&gt;"",IF($W$7:$W$85&lt;&gt;"",ROW($W$7:$W$85)-MIN(ROW($W$7:$W$85))+1,""),""),ROW()-ROW(A$87)+1)),"##0")," "),"")</f>
        <v/>
      </c>
      <c r="Y140" s="0" t="str">
        <f aca="false" t="array" ref="Y140:Y140">IFERROR(CONCATENATE((INDEX($A$7:$A$85,SMALL(IF($Z$7:$Z$85&lt;&gt;"",IF($W$7:$W$85&lt;&gt;"",ROW($W$7:$W$85)-MIN(ROW($W$7:$W$85))+1,""),""),ROW()-ROW(A$87)+1))),),"")</f>
        <v/>
      </c>
      <c r="AC140" s="0" t="str">
        <f aca="false" t="array" ref="AC140:AC140">IFERROR(CONCATENATE((INDEX($AF$7:$AF$85,SMALL(IF($AF$7:$AF$85&lt;&gt;"",IF($AC$7:$AC$85&lt;&gt;"",ROW($AC$7:$AC$85)-MIN(ROW($AC$7:$AC$85))+1,""),""),ROW()-ROW(A$87)+1))),","),"")</f>
        <v/>
      </c>
      <c r="AD140" s="0" t="str">
        <f aca="false" t="array" ref="AD140:AD140">IFERROR(CONCATENATE(TEXT(INDEX($AC$7:$AC$85,SMALL(IF($AF$7:$AF$85&lt;&gt;"",IF($AC$7:$AC$85&lt;&gt;"",ROW($AC$7:$AC$85)-MIN(ROW($AC$7:$AC$85))+1,""),""),ROW()-ROW(A$87)+1)),"##0"),","),"")</f>
        <v/>
      </c>
      <c r="AE140" s="0" t="str">
        <f aca="false" t="array" ref="AE140:AE140">IFERROR(CONCATENATE((INDEX($A$7:$A$85,SMALL(IF($AF$7:$AF$85&lt;&gt;"",IF($AC$7:$AC$85&lt;&gt;"",ROW($AC$7:$AC$85)-MIN(ROW($AC$7:$AC$85))+1,""),""),ROW()-ROW(A$87)+1))),),"")</f>
        <v/>
      </c>
      <c r="AI140" s="0" t="str">
        <f aca="false" t="array" ref="AI140:AI140">IFERROR(CONCATENATE((INDEX($AL$7:$AL$85,SMALL(IF($AL$7:$AL$85&lt;&gt;"",IF($AI$7:$AI$85&lt;&gt;"",ROW($AI$7:$AI$85)-MIN(ROW($AI$7:$AI$85))+1,""),""),ROW()-ROW(A$87)+1)))," "),"")</f>
        <v/>
      </c>
      <c r="AJ140" s="0" t="str">
        <f aca="false" t="array" ref="AJ140:AJ140">IFERROR(CONCATENATE(TEXT(INDEX($AI$7:$AI$85,SMALL(IF($AL$7:$AL$85&lt;&gt;"",IF($AI$7:$AI$85&lt;&gt;"",ROW($AI$7:$AI$85)-MIN(ROW($AI$7:$AI$85))+1,""),""),ROW()-ROW(A$87)+1)),"##0")," "),"")</f>
        <v/>
      </c>
      <c r="AK140" s="0" t="str">
        <f aca="false" t="array" ref="AK140:AK140">IFERROR(CONCATENATE((INDEX($A$7:$A$85,SMALL(IF($AL$7:$AL$85&lt;&gt;"",IF($AI$7:$AI$85&lt;&gt;"",ROW($AI$7:$AI$85)-MIN(ROW($AI$7:$AI$85))+1,""),""),ROW()-ROW(A$87)+1))),),"")</f>
        <v/>
      </c>
    </row>
    <row r="141" customFormat="false" ht="15" hidden="false" customHeight="false" outlineLevel="0" collapsed="false">
      <c r="K141" s="0" t="str">
        <f aca="false" t="array" ref="K141:K141">IFERROR(CONCATENATE(TEXT(INDEX($K$7:$K$85,SMALL(IF($N$7:$N$85&lt;&gt;"",IF($K$7:$K$85&lt;&gt;"",ROW($K$7:$K$85)-MIN(ROW($K$7:$K$85))+1,""),""),ROW()-ROW(A$87)+1)),"##0"),","),"")</f>
        <v/>
      </c>
      <c r="L141" s="0" t="str">
        <f aca="false" t="array" ref="L141:L141">IFERROR(CONCATENATE((INDEX($N$7:$N$85,SMALL(IF($N$7:$N$85&lt;&gt;"",IF($K$7:$K$85&lt;&gt;"",ROW($K$7:$K$85)-MIN(ROW($K$7:$K$85))+1,""),""),ROW()-ROW(A$87)+1))),","),"")</f>
        <v/>
      </c>
      <c r="M141" s="0" t="str">
        <f aca="false" t="array" ref="M141:M141">IFERROR(CONCATENATE((INDEX($A$7:$A$85,SMALL(IF($N$7:$N$85&lt;&gt;"",IF($K$7:$K$85&lt;&gt;"",ROW($K$7:$K$85)-MIN(ROW($K$7:$K$85))+1,""),""),ROW()-ROW(A$87)+1))),),"")</f>
        <v/>
      </c>
      <c r="Q141" s="0" t="str">
        <f aca="false" t="array" ref="Q141:Q141">IFERROR(CONCATENATE((INDEX($T$7:$T$85,SMALL(IF($T$7:$T$85&lt;&gt;"",IF($Q$7:$Q$85&lt;&gt;"",ROW($Q$7:$Q$85)-MIN(ROW($Q$7:$Q$85))+1,""),""),ROW()-ROW(A$87)+1)))," "),"")</f>
        <v/>
      </c>
      <c r="R141" s="0" t="str">
        <f aca="false" t="array" ref="R141:R141">IFERROR(CONCATENATE(TEXT(INDEX($Q$7:$Q$85,SMALL(IF($T$7:$T$85&lt;&gt;"",IF($Q$7:$Q$85&lt;&gt;"",ROW($Q$7:$Q$85)-MIN(ROW($Q$7:$Q$85))+1,""),""),ROW()-ROW(A$87)+1)),"##0")," "),"")</f>
        <v/>
      </c>
      <c r="S141" s="0" t="str">
        <f aca="false" t="array" ref="S141:S141">IFERROR(CONCATENATE((INDEX($A$7:$A$85,SMALL(IF($T$7:$T$85&lt;&gt;"",IF($Q$7:$Q$85&lt;&gt;"",ROW($Q$7:$Q$85)-MIN(ROW($Q$7:$Q$85))+1,""),""),ROW()-ROW(A$87)+1))),),"")</f>
        <v/>
      </c>
      <c r="W141" s="0" t="str">
        <f aca="false" t="array" ref="W141:W141">IFERROR(CONCATENATE((INDEX($Z$7:$Z$85,SMALL(IF($Z$7:$Z$85&lt;&gt;"",IF($W$7:$W$85&lt;&gt;"",ROW($W$7:$W$85)-MIN(ROW($W$7:$W$85))+1,""),""),ROW()-ROW(A$87)+1)))," "),"")</f>
        <v/>
      </c>
      <c r="X141" s="0" t="str">
        <f aca="false" t="array" ref="X141:X141">IFERROR(CONCATENATE(TEXT(INDEX($W$7:$W$85,SMALL(IF($Z$7:$Z$85&lt;&gt;"",IF($W$7:$W$85&lt;&gt;"",ROW($W$7:$W$85)-MIN(ROW($W$7:$W$85))+1,""),""),ROW()-ROW(A$87)+1)),"##0")," "),"")</f>
        <v/>
      </c>
      <c r="Y141" s="0" t="str">
        <f aca="false" t="array" ref="Y141:Y141">IFERROR(CONCATENATE((INDEX($A$7:$A$85,SMALL(IF($Z$7:$Z$85&lt;&gt;"",IF($W$7:$W$85&lt;&gt;"",ROW($W$7:$W$85)-MIN(ROW($W$7:$W$85))+1,""),""),ROW()-ROW(A$87)+1))),),"")</f>
        <v/>
      </c>
      <c r="AC141" s="0" t="str">
        <f aca="false" t="array" ref="AC141:AC141">IFERROR(CONCATENATE((INDEX($AF$7:$AF$85,SMALL(IF($AF$7:$AF$85&lt;&gt;"",IF($AC$7:$AC$85&lt;&gt;"",ROW($AC$7:$AC$85)-MIN(ROW($AC$7:$AC$85))+1,""),""),ROW()-ROW(A$87)+1))),","),"")</f>
        <v/>
      </c>
      <c r="AD141" s="0" t="str">
        <f aca="false" t="array" ref="AD141:AD141">IFERROR(CONCATENATE(TEXT(INDEX($AC$7:$AC$85,SMALL(IF($AF$7:$AF$85&lt;&gt;"",IF($AC$7:$AC$85&lt;&gt;"",ROW($AC$7:$AC$85)-MIN(ROW($AC$7:$AC$85))+1,""),""),ROW()-ROW(A$87)+1)),"##0"),","),"")</f>
        <v/>
      </c>
      <c r="AE141" s="0" t="str">
        <f aca="false" t="array" ref="AE141:AE141">IFERROR(CONCATENATE((INDEX($A$7:$A$85,SMALL(IF($AF$7:$AF$85&lt;&gt;"",IF($AC$7:$AC$85&lt;&gt;"",ROW($AC$7:$AC$85)-MIN(ROW($AC$7:$AC$85))+1,""),""),ROW()-ROW(A$87)+1))),),"")</f>
        <v/>
      </c>
      <c r="AI141" s="0" t="str">
        <f aca="false" t="array" ref="AI141:AI141">IFERROR(CONCATENATE((INDEX($AL$7:$AL$85,SMALL(IF($AL$7:$AL$85&lt;&gt;"",IF($AI$7:$AI$85&lt;&gt;"",ROW($AI$7:$AI$85)-MIN(ROW($AI$7:$AI$85))+1,""),""),ROW()-ROW(A$87)+1)))," "),"")</f>
        <v/>
      </c>
      <c r="AJ141" s="0" t="str">
        <f aca="false" t="array" ref="AJ141:AJ141">IFERROR(CONCATENATE(TEXT(INDEX($AI$7:$AI$85,SMALL(IF($AL$7:$AL$85&lt;&gt;"",IF($AI$7:$AI$85&lt;&gt;"",ROW($AI$7:$AI$85)-MIN(ROW($AI$7:$AI$85))+1,""),""),ROW()-ROW(A$87)+1)),"##0")," "),"")</f>
        <v/>
      </c>
      <c r="AK141" s="0" t="str">
        <f aca="false" t="array" ref="AK141:AK141">IFERROR(CONCATENATE((INDEX($A$7:$A$85,SMALL(IF($AL$7:$AL$85&lt;&gt;"",IF($AI$7:$AI$85&lt;&gt;"",ROW($AI$7:$AI$85)-MIN(ROW($AI$7:$AI$85))+1,""),""),ROW()-ROW(A$87)+1))),),"")</f>
        <v/>
      </c>
    </row>
    <row r="142" customFormat="false" ht="15" hidden="false" customHeight="false" outlineLevel="0" collapsed="false">
      <c r="K142" s="0" t="str">
        <f aca="false" t="array" ref="K142:K142">IFERROR(CONCATENATE(TEXT(INDEX($K$7:$K$85,SMALL(IF($N$7:$N$85&lt;&gt;"",IF($K$7:$K$85&lt;&gt;"",ROW($K$7:$K$85)-MIN(ROW($K$7:$K$85))+1,""),""),ROW()-ROW(A$87)+1)),"##0"),","),"")</f>
        <v/>
      </c>
      <c r="L142" s="0" t="str">
        <f aca="false" t="array" ref="L142:L142">IFERROR(CONCATENATE((INDEX($N$7:$N$85,SMALL(IF($N$7:$N$85&lt;&gt;"",IF($K$7:$K$85&lt;&gt;"",ROW($K$7:$K$85)-MIN(ROW($K$7:$K$85))+1,""),""),ROW()-ROW(A$87)+1))),","),"")</f>
        <v/>
      </c>
      <c r="M142" s="0" t="str">
        <f aca="false" t="array" ref="M142:M142">IFERROR(CONCATENATE((INDEX($A$7:$A$85,SMALL(IF($N$7:$N$85&lt;&gt;"",IF($K$7:$K$85&lt;&gt;"",ROW($K$7:$K$85)-MIN(ROW($K$7:$K$85))+1,""),""),ROW()-ROW(A$87)+1))),),"")</f>
        <v/>
      </c>
      <c r="Q142" s="0" t="str">
        <f aca="false" t="array" ref="Q142:Q142">IFERROR(CONCATENATE((INDEX($T$7:$T$85,SMALL(IF($T$7:$T$85&lt;&gt;"",IF($Q$7:$Q$85&lt;&gt;"",ROW($Q$7:$Q$85)-MIN(ROW($Q$7:$Q$85))+1,""),""),ROW()-ROW(A$87)+1)))," "),"")</f>
        <v/>
      </c>
      <c r="R142" s="0" t="str">
        <f aca="false" t="array" ref="R142:R142">IFERROR(CONCATENATE(TEXT(INDEX($Q$7:$Q$85,SMALL(IF($T$7:$T$85&lt;&gt;"",IF($Q$7:$Q$85&lt;&gt;"",ROW($Q$7:$Q$85)-MIN(ROW($Q$7:$Q$85))+1,""),""),ROW()-ROW(A$87)+1)),"##0")," "),"")</f>
        <v/>
      </c>
      <c r="S142" s="0" t="str">
        <f aca="false" t="array" ref="S142:S142">IFERROR(CONCATENATE((INDEX($A$7:$A$85,SMALL(IF($T$7:$T$85&lt;&gt;"",IF($Q$7:$Q$85&lt;&gt;"",ROW($Q$7:$Q$85)-MIN(ROW($Q$7:$Q$85))+1,""),""),ROW()-ROW(A$87)+1))),),"")</f>
        <v/>
      </c>
      <c r="W142" s="0" t="str">
        <f aca="false" t="array" ref="W142:W142">IFERROR(CONCATENATE((INDEX($Z$7:$Z$85,SMALL(IF($Z$7:$Z$85&lt;&gt;"",IF($W$7:$W$85&lt;&gt;"",ROW($W$7:$W$85)-MIN(ROW($W$7:$W$85))+1,""),""),ROW()-ROW(A$87)+1)))," "),"")</f>
        <v/>
      </c>
      <c r="X142" s="0" t="str">
        <f aca="false" t="array" ref="X142:X142">IFERROR(CONCATENATE(TEXT(INDEX($W$7:$W$85,SMALL(IF($Z$7:$Z$85&lt;&gt;"",IF($W$7:$W$85&lt;&gt;"",ROW($W$7:$W$85)-MIN(ROW($W$7:$W$85))+1,""),""),ROW()-ROW(A$87)+1)),"##0")," "),"")</f>
        <v/>
      </c>
      <c r="Y142" s="0" t="str">
        <f aca="false" t="array" ref="Y142:Y142">IFERROR(CONCATENATE((INDEX($A$7:$A$85,SMALL(IF($Z$7:$Z$85&lt;&gt;"",IF($W$7:$W$85&lt;&gt;"",ROW($W$7:$W$85)-MIN(ROW($W$7:$W$85))+1,""),""),ROW()-ROW(A$87)+1))),),"")</f>
        <v/>
      </c>
      <c r="AC142" s="0" t="str">
        <f aca="false" t="array" ref="AC142:AC142">IFERROR(CONCATENATE((INDEX($AF$7:$AF$85,SMALL(IF($AF$7:$AF$85&lt;&gt;"",IF($AC$7:$AC$85&lt;&gt;"",ROW($AC$7:$AC$85)-MIN(ROW($AC$7:$AC$85))+1,""),""),ROW()-ROW(A$87)+1))),","),"")</f>
        <v/>
      </c>
      <c r="AD142" s="0" t="str">
        <f aca="false" t="array" ref="AD142:AD142">IFERROR(CONCATENATE(TEXT(INDEX($AC$7:$AC$85,SMALL(IF($AF$7:$AF$85&lt;&gt;"",IF($AC$7:$AC$85&lt;&gt;"",ROW($AC$7:$AC$85)-MIN(ROW($AC$7:$AC$85))+1,""),""),ROW()-ROW(A$87)+1)),"##0"),","),"")</f>
        <v/>
      </c>
      <c r="AE142" s="0" t="str">
        <f aca="false" t="array" ref="AE142:AE142">IFERROR(CONCATENATE((INDEX($A$7:$A$85,SMALL(IF($AF$7:$AF$85&lt;&gt;"",IF($AC$7:$AC$85&lt;&gt;"",ROW($AC$7:$AC$85)-MIN(ROW($AC$7:$AC$85))+1,""),""),ROW()-ROW(A$87)+1))),),"")</f>
        <v/>
      </c>
      <c r="AI142" s="0" t="str">
        <f aca="false" t="array" ref="AI142:AI142">IFERROR(CONCATENATE((INDEX($AL$7:$AL$85,SMALL(IF($AL$7:$AL$85&lt;&gt;"",IF($AI$7:$AI$85&lt;&gt;"",ROW($AI$7:$AI$85)-MIN(ROW($AI$7:$AI$85))+1,""),""),ROW()-ROW(A$87)+1)))," "),"")</f>
        <v/>
      </c>
      <c r="AJ142" s="0" t="str">
        <f aca="false" t="array" ref="AJ142:AJ142">IFERROR(CONCATENATE(TEXT(INDEX($AI$7:$AI$85,SMALL(IF($AL$7:$AL$85&lt;&gt;"",IF($AI$7:$AI$85&lt;&gt;"",ROW($AI$7:$AI$85)-MIN(ROW($AI$7:$AI$85))+1,""),""),ROW()-ROW(A$87)+1)),"##0")," "),"")</f>
        <v/>
      </c>
      <c r="AK142" s="0" t="str">
        <f aca="false" t="array" ref="AK142:AK142">IFERROR(CONCATENATE((INDEX($A$7:$A$85,SMALL(IF($AL$7:$AL$85&lt;&gt;"",IF($AI$7:$AI$85&lt;&gt;"",ROW($AI$7:$AI$85)-MIN(ROW($AI$7:$AI$85))+1,""),""),ROW()-ROW(A$87)+1))),),"")</f>
        <v/>
      </c>
    </row>
    <row r="143" customFormat="false" ht="15" hidden="false" customHeight="false" outlineLevel="0" collapsed="false">
      <c r="K143" s="0" t="str">
        <f aca="false" t="array" ref="K143:K143">IFERROR(CONCATENATE(TEXT(INDEX($K$7:$K$85,SMALL(IF($N$7:$N$85&lt;&gt;"",IF($K$7:$K$85&lt;&gt;"",ROW($K$7:$K$85)-MIN(ROW($K$7:$K$85))+1,""),""),ROW()-ROW(A$87)+1)),"##0"),","),"")</f>
        <v/>
      </c>
      <c r="L143" s="0" t="str">
        <f aca="false" t="array" ref="L143:L143">IFERROR(CONCATENATE((INDEX($N$7:$N$85,SMALL(IF($N$7:$N$85&lt;&gt;"",IF($K$7:$K$85&lt;&gt;"",ROW($K$7:$K$85)-MIN(ROW($K$7:$K$85))+1,""),""),ROW()-ROW(A$87)+1))),","),"")</f>
        <v/>
      </c>
      <c r="M143" s="0" t="str">
        <f aca="false" t="array" ref="M143:M143">IFERROR(CONCATENATE((INDEX($A$7:$A$85,SMALL(IF($N$7:$N$85&lt;&gt;"",IF($K$7:$K$85&lt;&gt;"",ROW($K$7:$K$85)-MIN(ROW($K$7:$K$85))+1,""),""),ROW()-ROW(A$87)+1))),),"")</f>
        <v/>
      </c>
      <c r="Q143" s="0" t="str">
        <f aca="false" t="array" ref="Q143:Q143">IFERROR(CONCATENATE((INDEX($T$7:$T$85,SMALL(IF($T$7:$T$85&lt;&gt;"",IF($Q$7:$Q$85&lt;&gt;"",ROW($Q$7:$Q$85)-MIN(ROW($Q$7:$Q$85))+1,""),""),ROW()-ROW(A$87)+1)))," "),"")</f>
        <v/>
      </c>
      <c r="R143" s="0" t="str">
        <f aca="false" t="array" ref="R143:R143">IFERROR(CONCATENATE(TEXT(INDEX($Q$7:$Q$85,SMALL(IF($T$7:$T$85&lt;&gt;"",IF($Q$7:$Q$85&lt;&gt;"",ROW($Q$7:$Q$85)-MIN(ROW($Q$7:$Q$85))+1,""),""),ROW()-ROW(A$87)+1)),"##0")," "),"")</f>
        <v/>
      </c>
      <c r="S143" s="0" t="str">
        <f aca="false" t="array" ref="S143:S143">IFERROR(CONCATENATE((INDEX($A$7:$A$85,SMALL(IF($T$7:$T$85&lt;&gt;"",IF($Q$7:$Q$85&lt;&gt;"",ROW($Q$7:$Q$85)-MIN(ROW($Q$7:$Q$85))+1,""),""),ROW()-ROW(A$87)+1))),),"")</f>
        <v/>
      </c>
      <c r="W143" s="0" t="str">
        <f aca="false" t="array" ref="W143:W143">IFERROR(CONCATENATE((INDEX($Z$7:$Z$85,SMALL(IF($Z$7:$Z$85&lt;&gt;"",IF($W$7:$W$85&lt;&gt;"",ROW($W$7:$W$85)-MIN(ROW($W$7:$W$85))+1,""),""),ROW()-ROW(A$87)+1)))," "),"")</f>
        <v/>
      </c>
      <c r="X143" s="0" t="str">
        <f aca="false" t="array" ref="X143:X143">IFERROR(CONCATENATE(TEXT(INDEX($W$7:$W$85,SMALL(IF($Z$7:$Z$85&lt;&gt;"",IF($W$7:$W$85&lt;&gt;"",ROW($W$7:$W$85)-MIN(ROW($W$7:$W$85))+1,""),""),ROW()-ROW(A$87)+1)),"##0")," "),"")</f>
        <v/>
      </c>
      <c r="Y143" s="0" t="str">
        <f aca="false" t="array" ref="Y143:Y143">IFERROR(CONCATENATE((INDEX($A$7:$A$85,SMALL(IF($Z$7:$Z$85&lt;&gt;"",IF($W$7:$W$85&lt;&gt;"",ROW($W$7:$W$85)-MIN(ROW($W$7:$W$85))+1,""),""),ROW()-ROW(A$87)+1))),),"")</f>
        <v/>
      </c>
      <c r="AC143" s="0" t="str">
        <f aca="false" t="array" ref="AC143:AC143">IFERROR(CONCATENATE((INDEX($AF$7:$AF$85,SMALL(IF($AF$7:$AF$85&lt;&gt;"",IF($AC$7:$AC$85&lt;&gt;"",ROW($AC$7:$AC$85)-MIN(ROW($AC$7:$AC$85))+1,""),""),ROW()-ROW(A$87)+1))),","),"")</f>
        <v/>
      </c>
      <c r="AD143" s="0" t="str">
        <f aca="false" t="array" ref="AD143:AD143">IFERROR(CONCATENATE(TEXT(INDEX($AC$7:$AC$85,SMALL(IF($AF$7:$AF$85&lt;&gt;"",IF($AC$7:$AC$85&lt;&gt;"",ROW($AC$7:$AC$85)-MIN(ROW($AC$7:$AC$85))+1,""),""),ROW()-ROW(A$87)+1)),"##0"),","),"")</f>
        <v/>
      </c>
      <c r="AE143" s="0" t="str">
        <f aca="false" t="array" ref="AE143:AE143">IFERROR(CONCATENATE((INDEX($A$7:$A$85,SMALL(IF($AF$7:$AF$85&lt;&gt;"",IF($AC$7:$AC$85&lt;&gt;"",ROW($AC$7:$AC$85)-MIN(ROW($AC$7:$AC$85))+1,""),""),ROW()-ROW(A$87)+1))),),"")</f>
        <v/>
      </c>
      <c r="AI143" s="0" t="str">
        <f aca="false" t="array" ref="AI143:AI143">IFERROR(CONCATENATE((INDEX($AL$7:$AL$85,SMALL(IF($AL$7:$AL$85&lt;&gt;"",IF($AI$7:$AI$85&lt;&gt;"",ROW($AI$7:$AI$85)-MIN(ROW($AI$7:$AI$85))+1,""),""),ROW()-ROW(A$87)+1)))," "),"")</f>
        <v/>
      </c>
      <c r="AJ143" s="0" t="str">
        <f aca="false" t="array" ref="AJ143:AJ143">IFERROR(CONCATENATE(TEXT(INDEX($AI$7:$AI$85,SMALL(IF($AL$7:$AL$85&lt;&gt;"",IF($AI$7:$AI$85&lt;&gt;"",ROW($AI$7:$AI$85)-MIN(ROW($AI$7:$AI$85))+1,""),""),ROW()-ROW(A$87)+1)),"##0")," "),"")</f>
        <v/>
      </c>
      <c r="AK143" s="0" t="str">
        <f aca="false" t="array" ref="AK143:AK143">IFERROR(CONCATENATE((INDEX($A$7:$A$85,SMALL(IF($AL$7:$AL$85&lt;&gt;"",IF($AI$7:$AI$85&lt;&gt;"",ROW($AI$7:$AI$85)-MIN(ROW($AI$7:$AI$85))+1,""),""),ROW()-ROW(A$87)+1))),),"")</f>
        <v/>
      </c>
    </row>
    <row r="144" customFormat="false" ht="15" hidden="false" customHeight="false" outlineLevel="0" collapsed="false">
      <c r="K144" s="0" t="str">
        <f aca="false" t="array" ref="K144:K144">IFERROR(CONCATENATE(TEXT(INDEX($K$7:$K$85,SMALL(IF($N$7:$N$85&lt;&gt;"",IF($K$7:$K$85&lt;&gt;"",ROW($K$7:$K$85)-MIN(ROW($K$7:$K$85))+1,""),""),ROW()-ROW(A$87)+1)),"##0"),","),"")</f>
        <v/>
      </c>
      <c r="L144" s="0" t="str">
        <f aca="false" t="array" ref="L144:L144">IFERROR(CONCATENATE((INDEX($N$7:$N$85,SMALL(IF($N$7:$N$85&lt;&gt;"",IF($K$7:$K$85&lt;&gt;"",ROW($K$7:$K$85)-MIN(ROW($K$7:$K$85))+1,""),""),ROW()-ROW(A$87)+1))),","),"")</f>
        <v/>
      </c>
      <c r="M144" s="0" t="str">
        <f aca="false" t="array" ref="M144:M144">IFERROR(CONCATENATE((INDEX($A$7:$A$85,SMALL(IF($N$7:$N$85&lt;&gt;"",IF($K$7:$K$85&lt;&gt;"",ROW($K$7:$K$85)-MIN(ROW($K$7:$K$85))+1,""),""),ROW()-ROW(A$87)+1))),),"")</f>
        <v/>
      </c>
      <c r="Q144" s="0" t="str">
        <f aca="false" t="array" ref="Q144:Q144">IFERROR(CONCATENATE((INDEX($T$7:$T$85,SMALL(IF($T$7:$T$85&lt;&gt;"",IF($Q$7:$Q$85&lt;&gt;"",ROW($Q$7:$Q$85)-MIN(ROW($Q$7:$Q$85))+1,""),""),ROW()-ROW(A$87)+1)))," "),"")</f>
        <v/>
      </c>
      <c r="R144" s="0" t="str">
        <f aca="false" t="array" ref="R144:R144">IFERROR(CONCATENATE(TEXT(INDEX($Q$7:$Q$85,SMALL(IF($T$7:$T$85&lt;&gt;"",IF($Q$7:$Q$85&lt;&gt;"",ROW($Q$7:$Q$85)-MIN(ROW($Q$7:$Q$85))+1,""),""),ROW()-ROW(A$87)+1)),"##0")," "),"")</f>
        <v/>
      </c>
      <c r="S144" s="0" t="str">
        <f aca="false" t="array" ref="S144:S144">IFERROR(CONCATENATE((INDEX($A$7:$A$85,SMALL(IF($T$7:$T$85&lt;&gt;"",IF($Q$7:$Q$85&lt;&gt;"",ROW($Q$7:$Q$85)-MIN(ROW($Q$7:$Q$85))+1,""),""),ROW()-ROW(A$87)+1))),),"")</f>
        <v/>
      </c>
      <c r="W144" s="0" t="str">
        <f aca="false" t="array" ref="W144:W144">IFERROR(CONCATENATE((INDEX($Z$7:$Z$85,SMALL(IF($Z$7:$Z$85&lt;&gt;"",IF($W$7:$W$85&lt;&gt;"",ROW($W$7:$W$85)-MIN(ROW($W$7:$W$85))+1,""),""),ROW()-ROW(A$87)+1)))," "),"")</f>
        <v/>
      </c>
      <c r="X144" s="0" t="str">
        <f aca="false" t="array" ref="X144:X144">IFERROR(CONCATENATE(TEXT(INDEX($W$7:$W$85,SMALL(IF($Z$7:$Z$85&lt;&gt;"",IF($W$7:$W$85&lt;&gt;"",ROW($W$7:$W$85)-MIN(ROW($W$7:$W$85))+1,""),""),ROW()-ROW(A$87)+1)),"##0")," "),"")</f>
        <v/>
      </c>
      <c r="Y144" s="0" t="str">
        <f aca="false" t="array" ref="Y144:Y144">IFERROR(CONCATENATE((INDEX($A$7:$A$85,SMALL(IF($Z$7:$Z$85&lt;&gt;"",IF($W$7:$W$85&lt;&gt;"",ROW($W$7:$W$85)-MIN(ROW($W$7:$W$85))+1,""),""),ROW()-ROW(A$87)+1))),),"")</f>
        <v/>
      </c>
      <c r="AC144" s="0" t="str">
        <f aca="false" t="array" ref="AC144:AC144">IFERROR(CONCATENATE((INDEX($AF$7:$AF$85,SMALL(IF($AF$7:$AF$85&lt;&gt;"",IF($AC$7:$AC$85&lt;&gt;"",ROW($AC$7:$AC$85)-MIN(ROW($AC$7:$AC$85))+1,""),""),ROW()-ROW(A$87)+1))),","),"")</f>
        <v/>
      </c>
      <c r="AD144" s="0" t="str">
        <f aca="false" t="array" ref="AD144:AD144">IFERROR(CONCATENATE(TEXT(INDEX($AC$7:$AC$85,SMALL(IF($AF$7:$AF$85&lt;&gt;"",IF($AC$7:$AC$85&lt;&gt;"",ROW($AC$7:$AC$85)-MIN(ROW($AC$7:$AC$85))+1,""),""),ROW()-ROW(A$87)+1)),"##0"),","),"")</f>
        <v/>
      </c>
      <c r="AE144" s="0" t="str">
        <f aca="false" t="array" ref="AE144:AE144">IFERROR(CONCATENATE((INDEX($A$7:$A$85,SMALL(IF($AF$7:$AF$85&lt;&gt;"",IF($AC$7:$AC$85&lt;&gt;"",ROW($AC$7:$AC$85)-MIN(ROW($AC$7:$AC$85))+1,""),""),ROW()-ROW(A$87)+1))),),"")</f>
        <v/>
      </c>
      <c r="AI144" s="0" t="str">
        <f aca="false" t="array" ref="AI144:AI144">IFERROR(CONCATENATE((INDEX($AL$7:$AL$85,SMALL(IF($AL$7:$AL$85&lt;&gt;"",IF($AI$7:$AI$85&lt;&gt;"",ROW($AI$7:$AI$85)-MIN(ROW($AI$7:$AI$85))+1,""),""),ROW()-ROW(A$87)+1)))," "),"")</f>
        <v/>
      </c>
      <c r="AJ144" s="0" t="str">
        <f aca="false" t="array" ref="AJ144:AJ144">IFERROR(CONCATENATE(TEXT(INDEX($AI$7:$AI$85,SMALL(IF($AL$7:$AL$85&lt;&gt;"",IF($AI$7:$AI$85&lt;&gt;"",ROW($AI$7:$AI$85)-MIN(ROW($AI$7:$AI$85))+1,""),""),ROW()-ROW(A$87)+1)),"##0")," "),"")</f>
        <v/>
      </c>
      <c r="AK144" s="0" t="str">
        <f aca="false" t="array" ref="AK144:AK144">IFERROR(CONCATENATE((INDEX($A$7:$A$85,SMALL(IF($AL$7:$AL$85&lt;&gt;"",IF($AI$7:$AI$85&lt;&gt;"",ROW($AI$7:$AI$85)-MIN(ROW($AI$7:$AI$85))+1,""),""),ROW()-ROW(A$87)+1))),),"")</f>
        <v/>
      </c>
    </row>
    <row r="145" customFormat="false" ht="15" hidden="false" customHeight="false" outlineLevel="0" collapsed="false">
      <c r="K145" s="0" t="str">
        <f aca="false" t="array" ref="K145:K145">IFERROR(CONCATENATE(TEXT(INDEX($K$7:$K$85,SMALL(IF($N$7:$N$85&lt;&gt;"",IF($K$7:$K$85&lt;&gt;"",ROW($K$7:$K$85)-MIN(ROW($K$7:$K$85))+1,""),""),ROW()-ROW(A$87)+1)),"##0"),","),"")</f>
        <v/>
      </c>
      <c r="L145" s="0" t="str">
        <f aca="false" t="array" ref="L145:L145">IFERROR(CONCATENATE((INDEX($N$7:$N$85,SMALL(IF($N$7:$N$85&lt;&gt;"",IF($K$7:$K$85&lt;&gt;"",ROW($K$7:$K$85)-MIN(ROW($K$7:$K$85))+1,""),""),ROW()-ROW(A$87)+1))),","),"")</f>
        <v/>
      </c>
      <c r="M145" s="0" t="str">
        <f aca="false" t="array" ref="M145:M145">IFERROR(CONCATENATE((INDEX($A$7:$A$85,SMALL(IF($N$7:$N$85&lt;&gt;"",IF($K$7:$K$85&lt;&gt;"",ROW($K$7:$K$85)-MIN(ROW($K$7:$K$85))+1,""),""),ROW()-ROW(A$87)+1))),),"")</f>
        <v/>
      </c>
      <c r="Q145" s="0" t="str">
        <f aca="false" t="array" ref="Q145:Q145">IFERROR(CONCATENATE((INDEX($T$7:$T$85,SMALL(IF($T$7:$T$85&lt;&gt;"",IF($Q$7:$Q$85&lt;&gt;"",ROW($Q$7:$Q$85)-MIN(ROW($Q$7:$Q$85))+1,""),""),ROW()-ROW(A$87)+1)))," "),"")</f>
        <v/>
      </c>
      <c r="R145" s="0" t="str">
        <f aca="false" t="array" ref="R145:R145">IFERROR(CONCATENATE(TEXT(INDEX($Q$7:$Q$85,SMALL(IF($T$7:$T$85&lt;&gt;"",IF($Q$7:$Q$85&lt;&gt;"",ROW($Q$7:$Q$85)-MIN(ROW($Q$7:$Q$85))+1,""),""),ROW()-ROW(A$87)+1)),"##0")," "),"")</f>
        <v/>
      </c>
      <c r="S145" s="0" t="str">
        <f aca="false" t="array" ref="S145:S145">IFERROR(CONCATENATE((INDEX($A$7:$A$85,SMALL(IF($T$7:$T$85&lt;&gt;"",IF($Q$7:$Q$85&lt;&gt;"",ROW($Q$7:$Q$85)-MIN(ROW($Q$7:$Q$85))+1,""),""),ROW()-ROW(A$87)+1))),),"")</f>
        <v/>
      </c>
      <c r="W145" s="0" t="str">
        <f aca="false" t="array" ref="W145:W145">IFERROR(CONCATENATE((INDEX($Z$7:$Z$85,SMALL(IF($Z$7:$Z$85&lt;&gt;"",IF($W$7:$W$85&lt;&gt;"",ROW($W$7:$W$85)-MIN(ROW($W$7:$W$85))+1,""),""),ROW()-ROW(A$87)+1)))," "),"")</f>
        <v/>
      </c>
      <c r="X145" s="0" t="str">
        <f aca="false" t="array" ref="X145:X145">IFERROR(CONCATENATE(TEXT(INDEX($W$7:$W$85,SMALL(IF($Z$7:$Z$85&lt;&gt;"",IF($W$7:$W$85&lt;&gt;"",ROW($W$7:$W$85)-MIN(ROW($W$7:$W$85))+1,""),""),ROW()-ROW(A$87)+1)),"##0")," "),"")</f>
        <v/>
      </c>
      <c r="Y145" s="0" t="str">
        <f aca="false" t="array" ref="Y145:Y145">IFERROR(CONCATENATE((INDEX($A$7:$A$85,SMALL(IF($Z$7:$Z$85&lt;&gt;"",IF($W$7:$W$85&lt;&gt;"",ROW($W$7:$W$85)-MIN(ROW($W$7:$W$85))+1,""),""),ROW()-ROW(A$87)+1))),),"")</f>
        <v/>
      </c>
      <c r="AC145" s="0" t="str">
        <f aca="false" t="array" ref="AC145:AC145">IFERROR(CONCATENATE((INDEX($AF$7:$AF$85,SMALL(IF($AF$7:$AF$85&lt;&gt;"",IF($AC$7:$AC$85&lt;&gt;"",ROW($AC$7:$AC$85)-MIN(ROW($AC$7:$AC$85))+1,""),""),ROW()-ROW(A$87)+1))),","),"")</f>
        <v/>
      </c>
      <c r="AD145" s="0" t="str">
        <f aca="false" t="array" ref="AD145:AD145">IFERROR(CONCATENATE(TEXT(INDEX($AC$7:$AC$85,SMALL(IF($AF$7:$AF$85&lt;&gt;"",IF($AC$7:$AC$85&lt;&gt;"",ROW($AC$7:$AC$85)-MIN(ROW($AC$7:$AC$85))+1,""),""),ROW()-ROW(A$87)+1)),"##0"),","),"")</f>
        <v/>
      </c>
      <c r="AE145" s="0" t="str">
        <f aca="false" t="array" ref="AE145:AE145">IFERROR(CONCATENATE((INDEX($A$7:$A$85,SMALL(IF($AF$7:$AF$85&lt;&gt;"",IF($AC$7:$AC$85&lt;&gt;"",ROW($AC$7:$AC$85)-MIN(ROW($AC$7:$AC$85))+1,""),""),ROW()-ROW(A$87)+1))),),"")</f>
        <v/>
      </c>
      <c r="AI145" s="0" t="str">
        <f aca="false" t="array" ref="AI145:AI145">IFERROR(CONCATENATE((INDEX($AL$7:$AL$85,SMALL(IF($AL$7:$AL$85&lt;&gt;"",IF($AI$7:$AI$85&lt;&gt;"",ROW($AI$7:$AI$85)-MIN(ROW($AI$7:$AI$85))+1,""),""),ROW()-ROW(A$87)+1)))," "),"")</f>
        <v/>
      </c>
      <c r="AJ145" s="0" t="str">
        <f aca="false" t="array" ref="AJ145:AJ145">IFERROR(CONCATENATE(TEXT(INDEX($AI$7:$AI$85,SMALL(IF($AL$7:$AL$85&lt;&gt;"",IF($AI$7:$AI$85&lt;&gt;"",ROW($AI$7:$AI$85)-MIN(ROW($AI$7:$AI$85))+1,""),""),ROW()-ROW(A$87)+1)),"##0")," "),"")</f>
        <v/>
      </c>
      <c r="AK145" s="0" t="str">
        <f aca="false" t="array" ref="AK145:AK145">IFERROR(CONCATENATE((INDEX($A$7:$A$85,SMALL(IF($AL$7:$AL$85&lt;&gt;"",IF($AI$7:$AI$85&lt;&gt;"",ROW($AI$7:$AI$85)-MIN(ROW($AI$7:$AI$85))+1,""),""),ROW()-ROW(A$87)+1))),),"")</f>
        <v/>
      </c>
    </row>
    <row r="146" customFormat="false" ht="15" hidden="false" customHeight="false" outlineLevel="0" collapsed="false">
      <c r="K146" s="0" t="str">
        <f aca="false" t="array" ref="K146:K146">IFERROR(CONCATENATE(TEXT(INDEX($K$7:$K$85,SMALL(IF($N$7:$N$85&lt;&gt;"",IF($K$7:$K$85&lt;&gt;"",ROW($K$7:$K$85)-MIN(ROW($K$7:$K$85))+1,""),""),ROW()-ROW(A$87)+1)),"##0"),","),"")</f>
        <v/>
      </c>
      <c r="L146" s="0" t="str">
        <f aca="false" t="array" ref="L146:L146">IFERROR(CONCATENATE((INDEX($N$7:$N$85,SMALL(IF($N$7:$N$85&lt;&gt;"",IF($K$7:$K$85&lt;&gt;"",ROW($K$7:$K$85)-MIN(ROW($K$7:$K$85))+1,""),""),ROW()-ROW(A$87)+1))),","),"")</f>
        <v/>
      </c>
      <c r="M146" s="0" t="str">
        <f aca="false" t="array" ref="M146:M146">IFERROR(CONCATENATE((INDEX($A$7:$A$85,SMALL(IF($N$7:$N$85&lt;&gt;"",IF($K$7:$K$85&lt;&gt;"",ROW($K$7:$K$85)-MIN(ROW($K$7:$K$85))+1,""),""),ROW()-ROW(A$87)+1))),),"")</f>
        <v/>
      </c>
      <c r="Q146" s="0" t="str">
        <f aca="false" t="array" ref="Q146:Q146">IFERROR(CONCATENATE((INDEX($T$7:$T$85,SMALL(IF($T$7:$T$85&lt;&gt;"",IF($Q$7:$Q$85&lt;&gt;"",ROW($Q$7:$Q$85)-MIN(ROW($Q$7:$Q$85))+1,""),""),ROW()-ROW(A$87)+1)))," "),"")</f>
        <v/>
      </c>
      <c r="R146" s="0" t="str">
        <f aca="false" t="array" ref="R146:R146">IFERROR(CONCATENATE(TEXT(INDEX($Q$7:$Q$85,SMALL(IF($T$7:$T$85&lt;&gt;"",IF($Q$7:$Q$85&lt;&gt;"",ROW($Q$7:$Q$85)-MIN(ROW($Q$7:$Q$85))+1,""),""),ROW()-ROW(A$87)+1)),"##0")," "),"")</f>
        <v/>
      </c>
      <c r="S146" s="0" t="str">
        <f aca="false" t="array" ref="S146:S146">IFERROR(CONCATENATE((INDEX($A$7:$A$85,SMALL(IF($T$7:$T$85&lt;&gt;"",IF($Q$7:$Q$85&lt;&gt;"",ROW($Q$7:$Q$85)-MIN(ROW($Q$7:$Q$85))+1,""),""),ROW()-ROW(A$87)+1))),),"")</f>
        <v/>
      </c>
      <c r="W146" s="0" t="str">
        <f aca="false" t="array" ref="W146:W146">IFERROR(CONCATENATE((INDEX($Z$7:$Z$85,SMALL(IF($Z$7:$Z$85&lt;&gt;"",IF($W$7:$W$85&lt;&gt;"",ROW($W$7:$W$85)-MIN(ROW($W$7:$W$85))+1,""),""),ROW()-ROW(A$87)+1)))," "),"")</f>
        <v/>
      </c>
      <c r="X146" s="0" t="str">
        <f aca="false" t="array" ref="X146:X146">IFERROR(CONCATENATE(TEXT(INDEX($W$7:$W$85,SMALL(IF($Z$7:$Z$85&lt;&gt;"",IF($W$7:$W$85&lt;&gt;"",ROW($W$7:$W$85)-MIN(ROW($W$7:$W$85))+1,""),""),ROW()-ROW(A$87)+1)),"##0")," "),"")</f>
        <v/>
      </c>
      <c r="Y146" s="0" t="str">
        <f aca="false" t="array" ref="Y146:Y146">IFERROR(CONCATENATE((INDEX($A$7:$A$85,SMALL(IF($Z$7:$Z$85&lt;&gt;"",IF($W$7:$W$85&lt;&gt;"",ROW($W$7:$W$85)-MIN(ROW($W$7:$W$85))+1,""),""),ROW()-ROW(A$87)+1))),),"")</f>
        <v/>
      </c>
      <c r="AC146" s="0" t="str">
        <f aca="false" t="array" ref="AC146:AC146">IFERROR(CONCATENATE((INDEX($AF$7:$AF$85,SMALL(IF($AF$7:$AF$85&lt;&gt;"",IF($AC$7:$AC$85&lt;&gt;"",ROW($AC$7:$AC$85)-MIN(ROW($AC$7:$AC$85))+1,""),""),ROW()-ROW(A$87)+1))),","),"")</f>
        <v/>
      </c>
      <c r="AD146" s="0" t="str">
        <f aca="false" t="array" ref="AD146:AD146">IFERROR(CONCATENATE(TEXT(INDEX($AC$7:$AC$85,SMALL(IF($AF$7:$AF$85&lt;&gt;"",IF($AC$7:$AC$85&lt;&gt;"",ROW($AC$7:$AC$85)-MIN(ROW($AC$7:$AC$85))+1,""),""),ROW()-ROW(A$87)+1)),"##0"),","),"")</f>
        <v/>
      </c>
      <c r="AE146" s="0" t="str">
        <f aca="false" t="array" ref="AE146:AE146">IFERROR(CONCATENATE((INDEX($A$7:$A$85,SMALL(IF($AF$7:$AF$85&lt;&gt;"",IF($AC$7:$AC$85&lt;&gt;"",ROW($AC$7:$AC$85)-MIN(ROW($AC$7:$AC$85))+1,""),""),ROW()-ROW(A$87)+1))),),"")</f>
        <v/>
      </c>
      <c r="AI146" s="0" t="str">
        <f aca="false" t="array" ref="AI146:AI146">IFERROR(CONCATENATE((INDEX($AL$7:$AL$85,SMALL(IF($AL$7:$AL$85&lt;&gt;"",IF($AI$7:$AI$85&lt;&gt;"",ROW($AI$7:$AI$85)-MIN(ROW($AI$7:$AI$85))+1,""),""),ROW()-ROW(A$87)+1)))," "),"")</f>
        <v/>
      </c>
      <c r="AJ146" s="0" t="str">
        <f aca="false" t="array" ref="AJ146:AJ146">IFERROR(CONCATENATE(TEXT(INDEX($AI$7:$AI$85,SMALL(IF($AL$7:$AL$85&lt;&gt;"",IF($AI$7:$AI$85&lt;&gt;"",ROW($AI$7:$AI$85)-MIN(ROW($AI$7:$AI$85))+1,""),""),ROW()-ROW(A$87)+1)),"##0")," "),"")</f>
        <v/>
      </c>
      <c r="AK146" s="0" t="str">
        <f aca="false" t="array" ref="AK146:AK146">IFERROR(CONCATENATE((INDEX($A$7:$A$85,SMALL(IF($AL$7:$AL$85&lt;&gt;"",IF($AI$7:$AI$85&lt;&gt;"",ROW($AI$7:$AI$85)-MIN(ROW($AI$7:$AI$85))+1,""),""),ROW()-ROW(A$87)+1))),),"")</f>
        <v/>
      </c>
    </row>
    <row r="147" customFormat="false" ht="15" hidden="false" customHeight="false" outlineLevel="0" collapsed="false">
      <c r="K147" s="0" t="str">
        <f aca="false" t="array" ref="K147:K147">IFERROR(CONCATENATE(TEXT(INDEX($K$7:$K$85,SMALL(IF($N$7:$N$85&lt;&gt;"",IF($K$7:$K$85&lt;&gt;"",ROW($K$7:$K$85)-MIN(ROW($K$7:$K$85))+1,""),""),ROW()-ROW(A$87)+1)),"##0"),","),"")</f>
        <v/>
      </c>
      <c r="L147" s="0" t="str">
        <f aca="false" t="array" ref="L147:L147">IFERROR(CONCATENATE((INDEX($N$7:$N$85,SMALL(IF($N$7:$N$85&lt;&gt;"",IF($K$7:$K$85&lt;&gt;"",ROW($K$7:$K$85)-MIN(ROW($K$7:$K$85))+1,""),""),ROW()-ROW(A$87)+1))),","),"")</f>
        <v/>
      </c>
      <c r="M147" s="0" t="str">
        <f aca="false" t="array" ref="M147:M147">IFERROR(CONCATENATE((INDEX($A$7:$A$85,SMALL(IF($N$7:$N$85&lt;&gt;"",IF($K$7:$K$85&lt;&gt;"",ROW($K$7:$K$85)-MIN(ROW($K$7:$K$85))+1,""),""),ROW()-ROW(A$87)+1))),),"")</f>
        <v/>
      </c>
      <c r="Q147" s="0" t="str">
        <f aca="false" t="array" ref="Q147:Q147">IFERROR(CONCATENATE((INDEX($T$7:$T$85,SMALL(IF($T$7:$T$85&lt;&gt;"",IF($Q$7:$Q$85&lt;&gt;"",ROW($Q$7:$Q$85)-MIN(ROW($Q$7:$Q$85))+1,""),""),ROW()-ROW(A$87)+1)))," "),"")</f>
        <v/>
      </c>
      <c r="R147" s="0" t="str">
        <f aca="false" t="array" ref="R147:R147">IFERROR(CONCATENATE(TEXT(INDEX($Q$7:$Q$85,SMALL(IF($T$7:$T$85&lt;&gt;"",IF($Q$7:$Q$85&lt;&gt;"",ROW($Q$7:$Q$85)-MIN(ROW($Q$7:$Q$85))+1,""),""),ROW()-ROW(A$87)+1)),"##0")," "),"")</f>
        <v/>
      </c>
      <c r="S147" s="0" t="str">
        <f aca="false" t="array" ref="S147:S147">IFERROR(CONCATENATE((INDEX($A$7:$A$85,SMALL(IF($T$7:$T$85&lt;&gt;"",IF($Q$7:$Q$85&lt;&gt;"",ROW($Q$7:$Q$85)-MIN(ROW($Q$7:$Q$85))+1,""),""),ROW()-ROW(A$87)+1))),),"")</f>
        <v/>
      </c>
      <c r="W147" s="0" t="str">
        <f aca="false" t="array" ref="W147:W147">IFERROR(CONCATENATE((INDEX($Z$7:$Z$85,SMALL(IF($Z$7:$Z$85&lt;&gt;"",IF($W$7:$W$85&lt;&gt;"",ROW($W$7:$W$85)-MIN(ROW($W$7:$W$85))+1,""),""),ROW()-ROW(A$87)+1)))," "),"")</f>
        <v/>
      </c>
      <c r="X147" s="0" t="str">
        <f aca="false" t="array" ref="X147:X147">IFERROR(CONCATENATE(TEXT(INDEX($W$7:$W$85,SMALL(IF($Z$7:$Z$85&lt;&gt;"",IF($W$7:$W$85&lt;&gt;"",ROW($W$7:$W$85)-MIN(ROW($W$7:$W$85))+1,""),""),ROW()-ROW(A$87)+1)),"##0")," "),"")</f>
        <v/>
      </c>
      <c r="Y147" s="0" t="str">
        <f aca="false" t="array" ref="Y147:Y147">IFERROR(CONCATENATE((INDEX($A$7:$A$85,SMALL(IF($Z$7:$Z$85&lt;&gt;"",IF($W$7:$W$85&lt;&gt;"",ROW($W$7:$W$85)-MIN(ROW($W$7:$W$85))+1,""),""),ROW()-ROW(A$87)+1))),),"")</f>
        <v/>
      </c>
      <c r="AC147" s="0" t="str">
        <f aca="false" t="array" ref="AC147:AC147">IFERROR(CONCATENATE((INDEX($AF$7:$AF$85,SMALL(IF($AF$7:$AF$85&lt;&gt;"",IF($AC$7:$AC$85&lt;&gt;"",ROW($AC$7:$AC$85)-MIN(ROW($AC$7:$AC$85))+1,""),""),ROW()-ROW(A$87)+1))),","),"")</f>
        <v/>
      </c>
      <c r="AD147" s="0" t="str">
        <f aca="false" t="array" ref="AD147:AD147">IFERROR(CONCATENATE(TEXT(INDEX($AC$7:$AC$85,SMALL(IF($AF$7:$AF$85&lt;&gt;"",IF($AC$7:$AC$85&lt;&gt;"",ROW($AC$7:$AC$85)-MIN(ROW($AC$7:$AC$85))+1,""),""),ROW()-ROW(A$87)+1)),"##0"),","),"")</f>
        <v/>
      </c>
      <c r="AE147" s="0" t="str">
        <f aca="false" t="array" ref="AE147:AE147">IFERROR(CONCATENATE((INDEX($A$7:$A$85,SMALL(IF($AF$7:$AF$85&lt;&gt;"",IF($AC$7:$AC$85&lt;&gt;"",ROW($AC$7:$AC$85)-MIN(ROW($AC$7:$AC$85))+1,""),""),ROW()-ROW(A$87)+1))),),"")</f>
        <v/>
      </c>
      <c r="AI147" s="0" t="str">
        <f aca="false" t="array" ref="AI147:AI147">IFERROR(CONCATENATE((INDEX($AL$7:$AL$85,SMALL(IF($AL$7:$AL$85&lt;&gt;"",IF($AI$7:$AI$85&lt;&gt;"",ROW($AI$7:$AI$85)-MIN(ROW($AI$7:$AI$85))+1,""),""),ROW()-ROW(A$87)+1)))," "),"")</f>
        <v/>
      </c>
      <c r="AJ147" s="0" t="str">
        <f aca="false" t="array" ref="AJ147:AJ147">IFERROR(CONCATENATE(TEXT(INDEX($AI$7:$AI$85,SMALL(IF($AL$7:$AL$85&lt;&gt;"",IF($AI$7:$AI$85&lt;&gt;"",ROW($AI$7:$AI$85)-MIN(ROW($AI$7:$AI$85))+1,""),""),ROW()-ROW(A$87)+1)),"##0")," "),"")</f>
        <v/>
      </c>
      <c r="AK147" s="0" t="str">
        <f aca="false" t="array" ref="AK147:AK147">IFERROR(CONCATENATE((INDEX($A$7:$A$85,SMALL(IF($AL$7:$AL$85&lt;&gt;"",IF($AI$7:$AI$85&lt;&gt;"",ROW($AI$7:$AI$85)-MIN(ROW($AI$7:$AI$85))+1,""),""),ROW()-ROW(A$87)+1))),),"")</f>
        <v/>
      </c>
    </row>
    <row r="148" customFormat="false" ht="15" hidden="false" customHeight="false" outlineLevel="0" collapsed="false">
      <c r="K148" s="0" t="str">
        <f aca="false" t="array" ref="K148:K148">IFERROR(CONCATENATE(TEXT(INDEX($K$7:$K$85,SMALL(IF($N$7:$N$85&lt;&gt;"",IF($K$7:$K$85&lt;&gt;"",ROW($K$7:$K$85)-MIN(ROW($K$7:$K$85))+1,""),""),ROW()-ROW(A$87)+1)),"##0"),","),"")</f>
        <v/>
      </c>
      <c r="L148" s="0" t="str">
        <f aca="false" t="array" ref="L148:L148">IFERROR(CONCATENATE((INDEX($N$7:$N$85,SMALL(IF($N$7:$N$85&lt;&gt;"",IF($K$7:$K$85&lt;&gt;"",ROW($K$7:$K$85)-MIN(ROW($K$7:$K$85))+1,""),""),ROW()-ROW(A$87)+1))),","),"")</f>
        <v/>
      </c>
      <c r="M148" s="0" t="str">
        <f aca="false" t="array" ref="M148:M148">IFERROR(CONCATENATE((INDEX($A$7:$A$85,SMALL(IF($N$7:$N$85&lt;&gt;"",IF($K$7:$K$85&lt;&gt;"",ROW($K$7:$K$85)-MIN(ROW($K$7:$K$85))+1,""),""),ROW()-ROW(A$87)+1))),),"")</f>
        <v/>
      </c>
      <c r="Q148" s="0" t="str">
        <f aca="false" t="array" ref="Q148:Q148">IFERROR(CONCATENATE((INDEX($T$7:$T$85,SMALL(IF($T$7:$T$85&lt;&gt;"",IF($Q$7:$Q$85&lt;&gt;"",ROW($Q$7:$Q$85)-MIN(ROW($Q$7:$Q$85))+1,""),""),ROW()-ROW(A$87)+1)))," "),"")</f>
        <v/>
      </c>
      <c r="R148" s="0" t="str">
        <f aca="false" t="array" ref="R148:R148">IFERROR(CONCATENATE(TEXT(INDEX($Q$7:$Q$85,SMALL(IF($T$7:$T$85&lt;&gt;"",IF($Q$7:$Q$85&lt;&gt;"",ROW($Q$7:$Q$85)-MIN(ROW($Q$7:$Q$85))+1,""),""),ROW()-ROW(A$87)+1)),"##0")," "),"")</f>
        <v/>
      </c>
      <c r="S148" s="0" t="str">
        <f aca="false" t="array" ref="S148:S148">IFERROR(CONCATENATE((INDEX($A$7:$A$85,SMALL(IF($T$7:$T$85&lt;&gt;"",IF($Q$7:$Q$85&lt;&gt;"",ROW($Q$7:$Q$85)-MIN(ROW($Q$7:$Q$85))+1,""),""),ROW()-ROW(A$87)+1))),),"")</f>
        <v/>
      </c>
      <c r="W148" s="0" t="str">
        <f aca="false" t="array" ref="W148:W148">IFERROR(CONCATENATE((INDEX($Z$7:$Z$85,SMALL(IF($Z$7:$Z$85&lt;&gt;"",IF($W$7:$W$85&lt;&gt;"",ROW($W$7:$W$85)-MIN(ROW($W$7:$W$85))+1,""),""),ROW()-ROW(A$87)+1)))," "),"")</f>
        <v/>
      </c>
      <c r="X148" s="0" t="str">
        <f aca="false" t="array" ref="X148:X148">IFERROR(CONCATENATE(TEXT(INDEX($W$7:$W$85,SMALL(IF($Z$7:$Z$85&lt;&gt;"",IF($W$7:$W$85&lt;&gt;"",ROW($W$7:$W$85)-MIN(ROW($W$7:$W$85))+1,""),""),ROW()-ROW(A$87)+1)),"##0")," "),"")</f>
        <v/>
      </c>
      <c r="Y148" s="0" t="str">
        <f aca="false" t="array" ref="Y148:Y148">IFERROR(CONCATENATE((INDEX($A$7:$A$85,SMALL(IF($Z$7:$Z$85&lt;&gt;"",IF($W$7:$W$85&lt;&gt;"",ROW($W$7:$W$85)-MIN(ROW($W$7:$W$85))+1,""),""),ROW()-ROW(A$87)+1))),),"")</f>
        <v/>
      </c>
      <c r="AC148" s="0" t="str">
        <f aca="false" t="array" ref="AC148:AC148">IFERROR(CONCATENATE((INDEX($AF$7:$AF$85,SMALL(IF($AF$7:$AF$85&lt;&gt;"",IF($AC$7:$AC$85&lt;&gt;"",ROW($AC$7:$AC$85)-MIN(ROW($AC$7:$AC$85))+1,""),""),ROW()-ROW(A$87)+1))),","),"")</f>
        <v/>
      </c>
      <c r="AD148" s="0" t="str">
        <f aca="false" t="array" ref="AD148:AD148">IFERROR(CONCATENATE(TEXT(INDEX($AC$7:$AC$85,SMALL(IF($AF$7:$AF$85&lt;&gt;"",IF($AC$7:$AC$85&lt;&gt;"",ROW($AC$7:$AC$85)-MIN(ROW($AC$7:$AC$85))+1,""),""),ROW()-ROW(A$87)+1)),"##0"),","),"")</f>
        <v/>
      </c>
      <c r="AE148" s="0" t="str">
        <f aca="false" t="array" ref="AE148:AE148">IFERROR(CONCATENATE((INDEX($A$7:$A$85,SMALL(IF($AF$7:$AF$85&lt;&gt;"",IF($AC$7:$AC$85&lt;&gt;"",ROW($AC$7:$AC$85)-MIN(ROW($AC$7:$AC$85))+1,""),""),ROW()-ROW(A$87)+1))),),"")</f>
        <v/>
      </c>
      <c r="AI148" s="0" t="str">
        <f aca="false" t="array" ref="AI148:AI148">IFERROR(CONCATENATE((INDEX($AL$7:$AL$85,SMALL(IF($AL$7:$AL$85&lt;&gt;"",IF($AI$7:$AI$85&lt;&gt;"",ROW($AI$7:$AI$85)-MIN(ROW($AI$7:$AI$85))+1,""),""),ROW()-ROW(A$87)+1)))," "),"")</f>
        <v/>
      </c>
      <c r="AJ148" s="0" t="str">
        <f aca="false" t="array" ref="AJ148:AJ148">IFERROR(CONCATENATE(TEXT(INDEX($AI$7:$AI$85,SMALL(IF($AL$7:$AL$85&lt;&gt;"",IF($AI$7:$AI$85&lt;&gt;"",ROW($AI$7:$AI$85)-MIN(ROW($AI$7:$AI$85))+1,""),""),ROW()-ROW(A$87)+1)),"##0")," "),"")</f>
        <v/>
      </c>
      <c r="AK148" s="0" t="str">
        <f aca="false" t="array" ref="AK148:AK148">IFERROR(CONCATENATE((INDEX($A$7:$A$85,SMALL(IF($AL$7:$AL$85&lt;&gt;"",IF($AI$7:$AI$85&lt;&gt;"",ROW($AI$7:$AI$85)-MIN(ROW($AI$7:$AI$85))+1,""),""),ROW()-ROW(A$87)+1))),),"")</f>
        <v/>
      </c>
    </row>
    <row r="149" customFormat="false" ht="15" hidden="false" customHeight="false" outlineLevel="0" collapsed="false">
      <c r="K149" s="0" t="str">
        <f aca="false" t="array" ref="K149:K149">IFERROR(CONCATENATE(TEXT(INDEX($K$7:$K$85,SMALL(IF($N$7:$N$85&lt;&gt;"",IF($K$7:$K$85&lt;&gt;"",ROW($K$7:$K$85)-MIN(ROW($K$7:$K$85))+1,""),""),ROW()-ROW(A$87)+1)),"##0"),","),"")</f>
        <v/>
      </c>
      <c r="L149" s="0" t="str">
        <f aca="false" t="array" ref="L149:L149">IFERROR(CONCATENATE((INDEX($N$7:$N$85,SMALL(IF($N$7:$N$85&lt;&gt;"",IF($K$7:$K$85&lt;&gt;"",ROW($K$7:$K$85)-MIN(ROW($K$7:$K$85))+1,""),""),ROW()-ROW(A$87)+1))),","),"")</f>
        <v/>
      </c>
      <c r="M149" s="0" t="str">
        <f aca="false" t="array" ref="M149:M149">IFERROR(CONCATENATE((INDEX($A$7:$A$85,SMALL(IF($N$7:$N$85&lt;&gt;"",IF($K$7:$K$85&lt;&gt;"",ROW($K$7:$K$85)-MIN(ROW($K$7:$K$85))+1,""),""),ROW()-ROW(A$87)+1))),),"")</f>
        <v/>
      </c>
      <c r="Q149" s="0" t="str">
        <f aca="false" t="array" ref="Q149:Q149">IFERROR(CONCATENATE((INDEX($T$7:$T$85,SMALL(IF($T$7:$T$85&lt;&gt;"",IF($Q$7:$Q$85&lt;&gt;"",ROW($Q$7:$Q$85)-MIN(ROW($Q$7:$Q$85))+1,""),""),ROW()-ROW(A$87)+1)))," "),"")</f>
        <v/>
      </c>
      <c r="R149" s="0" t="str">
        <f aca="false" t="array" ref="R149:R149">IFERROR(CONCATENATE(TEXT(INDEX($Q$7:$Q$85,SMALL(IF($T$7:$T$85&lt;&gt;"",IF($Q$7:$Q$85&lt;&gt;"",ROW($Q$7:$Q$85)-MIN(ROW($Q$7:$Q$85))+1,""),""),ROW()-ROW(A$87)+1)),"##0")," "),"")</f>
        <v/>
      </c>
      <c r="S149" s="0" t="str">
        <f aca="false" t="array" ref="S149:S149">IFERROR(CONCATENATE((INDEX($A$7:$A$85,SMALL(IF($T$7:$T$85&lt;&gt;"",IF($Q$7:$Q$85&lt;&gt;"",ROW($Q$7:$Q$85)-MIN(ROW($Q$7:$Q$85))+1,""),""),ROW()-ROW(A$87)+1))),),"")</f>
        <v/>
      </c>
      <c r="W149" s="0" t="str">
        <f aca="false" t="array" ref="W149:W149">IFERROR(CONCATENATE((INDEX($Z$7:$Z$85,SMALL(IF($Z$7:$Z$85&lt;&gt;"",IF($W$7:$W$85&lt;&gt;"",ROW($W$7:$W$85)-MIN(ROW($W$7:$W$85))+1,""),""),ROW()-ROW(A$87)+1)))," "),"")</f>
        <v/>
      </c>
      <c r="X149" s="0" t="str">
        <f aca="false" t="array" ref="X149:X149">IFERROR(CONCATENATE(TEXT(INDEX($W$7:$W$85,SMALL(IF($Z$7:$Z$85&lt;&gt;"",IF($W$7:$W$85&lt;&gt;"",ROW($W$7:$W$85)-MIN(ROW($W$7:$W$85))+1,""),""),ROW()-ROW(A$87)+1)),"##0")," "),"")</f>
        <v/>
      </c>
      <c r="Y149" s="0" t="str">
        <f aca="false" t="array" ref="Y149:Y149">IFERROR(CONCATENATE((INDEX($A$7:$A$85,SMALL(IF($Z$7:$Z$85&lt;&gt;"",IF($W$7:$W$85&lt;&gt;"",ROW($W$7:$W$85)-MIN(ROW($W$7:$W$85))+1,""),""),ROW()-ROW(A$87)+1))),),"")</f>
        <v/>
      </c>
      <c r="AC149" s="0" t="str">
        <f aca="false" t="array" ref="AC149:AC149">IFERROR(CONCATENATE((INDEX($AF$7:$AF$85,SMALL(IF($AF$7:$AF$85&lt;&gt;"",IF($AC$7:$AC$85&lt;&gt;"",ROW($AC$7:$AC$85)-MIN(ROW($AC$7:$AC$85))+1,""),""),ROW()-ROW(A$87)+1))),","),"")</f>
        <v/>
      </c>
      <c r="AD149" s="0" t="str">
        <f aca="false" t="array" ref="AD149:AD149">IFERROR(CONCATENATE(TEXT(INDEX($AC$7:$AC$85,SMALL(IF($AF$7:$AF$85&lt;&gt;"",IF($AC$7:$AC$85&lt;&gt;"",ROW($AC$7:$AC$85)-MIN(ROW($AC$7:$AC$85))+1,""),""),ROW()-ROW(A$87)+1)),"##0"),","),"")</f>
        <v/>
      </c>
      <c r="AE149" s="0" t="str">
        <f aca="false" t="array" ref="AE149:AE149">IFERROR(CONCATENATE((INDEX($A$7:$A$85,SMALL(IF($AF$7:$AF$85&lt;&gt;"",IF($AC$7:$AC$85&lt;&gt;"",ROW($AC$7:$AC$85)-MIN(ROW($AC$7:$AC$85))+1,""),""),ROW()-ROW(A$87)+1))),),"")</f>
        <v/>
      </c>
      <c r="AI149" s="0" t="str">
        <f aca="false" t="array" ref="AI149:AI149">IFERROR(CONCATENATE((INDEX($AL$7:$AL$85,SMALL(IF($AL$7:$AL$85&lt;&gt;"",IF($AI$7:$AI$85&lt;&gt;"",ROW($AI$7:$AI$85)-MIN(ROW($AI$7:$AI$85))+1,""),""),ROW()-ROW(A$87)+1)))," "),"")</f>
        <v/>
      </c>
      <c r="AJ149" s="0" t="str">
        <f aca="false" t="array" ref="AJ149:AJ149">IFERROR(CONCATENATE(TEXT(INDEX($AI$7:$AI$85,SMALL(IF($AL$7:$AL$85&lt;&gt;"",IF($AI$7:$AI$85&lt;&gt;"",ROW($AI$7:$AI$85)-MIN(ROW($AI$7:$AI$85))+1,""),""),ROW()-ROW(A$87)+1)),"##0")," "),"")</f>
        <v/>
      </c>
      <c r="AK149" s="0" t="str">
        <f aca="false" t="array" ref="AK149:AK149">IFERROR(CONCATENATE((INDEX($A$7:$A$85,SMALL(IF($AL$7:$AL$85&lt;&gt;"",IF($AI$7:$AI$85&lt;&gt;"",ROW($AI$7:$AI$85)-MIN(ROW($AI$7:$AI$85))+1,""),""),ROW()-ROW(A$87)+1))),),"")</f>
        <v/>
      </c>
    </row>
    <row r="150" customFormat="false" ht="15" hidden="false" customHeight="false" outlineLevel="0" collapsed="false">
      <c r="K150" s="0" t="str">
        <f aca="false" t="array" ref="K150:K150">IFERROR(CONCATENATE(TEXT(INDEX($K$7:$K$85,SMALL(IF($N$7:$N$85&lt;&gt;"",IF($K$7:$K$85&lt;&gt;"",ROW($K$7:$K$85)-MIN(ROW($K$7:$K$85))+1,""),""),ROW()-ROW(A$87)+1)),"##0"),","),"")</f>
        <v/>
      </c>
      <c r="L150" s="0" t="str">
        <f aca="false" t="array" ref="L150:L150">IFERROR(CONCATENATE((INDEX($N$7:$N$85,SMALL(IF($N$7:$N$85&lt;&gt;"",IF($K$7:$K$85&lt;&gt;"",ROW($K$7:$K$85)-MIN(ROW($K$7:$K$85))+1,""),""),ROW()-ROW(A$87)+1))),","),"")</f>
        <v/>
      </c>
      <c r="M150" s="0" t="str">
        <f aca="false" t="array" ref="M150:M150">IFERROR(CONCATENATE((INDEX($A$7:$A$85,SMALL(IF($N$7:$N$85&lt;&gt;"",IF($K$7:$K$85&lt;&gt;"",ROW($K$7:$K$85)-MIN(ROW($K$7:$K$85))+1,""),""),ROW()-ROW(A$87)+1))),),"")</f>
        <v/>
      </c>
      <c r="Q150" s="0" t="str">
        <f aca="false" t="array" ref="Q150:Q150">IFERROR(CONCATENATE((INDEX($T$7:$T$85,SMALL(IF($T$7:$T$85&lt;&gt;"",IF($Q$7:$Q$85&lt;&gt;"",ROW($Q$7:$Q$85)-MIN(ROW($Q$7:$Q$85))+1,""),""),ROW()-ROW(A$87)+1)))," "),"")</f>
        <v/>
      </c>
      <c r="R150" s="0" t="str">
        <f aca="false" t="array" ref="R150:R150">IFERROR(CONCATENATE(TEXT(INDEX($Q$7:$Q$85,SMALL(IF($T$7:$T$85&lt;&gt;"",IF($Q$7:$Q$85&lt;&gt;"",ROW($Q$7:$Q$85)-MIN(ROW($Q$7:$Q$85))+1,""),""),ROW()-ROW(A$87)+1)),"##0")," "),"")</f>
        <v/>
      </c>
      <c r="S150" s="0" t="str">
        <f aca="false" t="array" ref="S150:S150">IFERROR(CONCATENATE((INDEX($A$7:$A$85,SMALL(IF($T$7:$T$85&lt;&gt;"",IF($Q$7:$Q$85&lt;&gt;"",ROW($Q$7:$Q$85)-MIN(ROW($Q$7:$Q$85))+1,""),""),ROW()-ROW(A$87)+1))),),"")</f>
        <v/>
      </c>
      <c r="W150" s="0" t="str">
        <f aca="false" t="array" ref="W150:W150">IFERROR(CONCATENATE((INDEX($Z$7:$Z$85,SMALL(IF($Z$7:$Z$85&lt;&gt;"",IF($W$7:$W$85&lt;&gt;"",ROW($W$7:$W$85)-MIN(ROW($W$7:$W$85))+1,""),""),ROW()-ROW(A$87)+1)))," "),"")</f>
        <v/>
      </c>
      <c r="X150" s="0" t="str">
        <f aca="false" t="array" ref="X150:X150">IFERROR(CONCATENATE(TEXT(INDEX($W$7:$W$85,SMALL(IF($Z$7:$Z$85&lt;&gt;"",IF($W$7:$W$85&lt;&gt;"",ROW($W$7:$W$85)-MIN(ROW($W$7:$W$85))+1,""),""),ROW()-ROW(A$87)+1)),"##0")," "),"")</f>
        <v/>
      </c>
      <c r="Y150" s="0" t="str">
        <f aca="false" t="array" ref="Y150:Y150">IFERROR(CONCATENATE((INDEX($A$7:$A$85,SMALL(IF($Z$7:$Z$85&lt;&gt;"",IF($W$7:$W$85&lt;&gt;"",ROW($W$7:$W$85)-MIN(ROW($W$7:$W$85))+1,""),""),ROW()-ROW(A$87)+1))),),"")</f>
        <v/>
      </c>
      <c r="AC150" s="0" t="str">
        <f aca="false" t="array" ref="AC150:AC150">IFERROR(CONCATENATE((INDEX($AF$7:$AF$85,SMALL(IF($AF$7:$AF$85&lt;&gt;"",IF($AC$7:$AC$85&lt;&gt;"",ROW($AC$7:$AC$85)-MIN(ROW($AC$7:$AC$85))+1,""),""),ROW()-ROW(A$87)+1))),","),"")</f>
        <v/>
      </c>
      <c r="AD150" s="0" t="str">
        <f aca="false" t="array" ref="AD150:AD150">IFERROR(CONCATENATE(TEXT(INDEX($AC$7:$AC$85,SMALL(IF($AF$7:$AF$85&lt;&gt;"",IF($AC$7:$AC$85&lt;&gt;"",ROW($AC$7:$AC$85)-MIN(ROW($AC$7:$AC$85))+1,""),""),ROW()-ROW(A$87)+1)),"##0"),","),"")</f>
        <v/>
      </c>
      <c r="AE150" s="0" t="str">
        <f aca="false" t="array" ref="AE150:AE150">IFERROR(CONCATENATE((INDEX($A$7:$A$85,SMALL(IF($AF$7:$AF$85&lt;&gt;"",IF($AC$7:$AC$85&lt;&gt;"",ROW($AC$7:$AC$85)-MIN(ROW($AC$7:$AC$85))+1,""),""),ROW()-ROW(A$87)+1))),),"")</f>
        <v/>
      </c>
      <c r="AI150" s="0" t="str">
        <f aca="false" t="array" ref="AI150:AI150">IFERROR(CONCATENATE((INDEX($AL$7:$AL$85,SMALL(IF($AL$7:$AL$85&lt;&gt;"",IF($AI$7:$AI$85&lt;&gt;"",ROW($AI$7:$AI$85)-MIN(ROW($AI$7:$AI$85))+1,""),""),ROW()-ROW(A$87)+1)))," "),"")</f>
        <v/>
      </c>
      <c r="AJ150" s="0" t="str">
        <f aca="false" t="array" ref="AJ150:AJ150">IFERROR(CONCATENATE(TEXT(INDEX($AI$7:$AI$85,SMALL(IF($AL$7:$AL$85&lt;&gt;"",IF($AI$7:$AI$85&lt;&gt;"",ROW($AI$7:$AI$85)-MIN(ROW($AI$7:$AI$85))+1,""),""),ROW()-ROW(A$87)+1)),"##0")," "),"")</f>
        <v/>
      </c>
      <c r="AK150" s="0" t="str">
        <f aca="false" t="array" ref="AK150:AK150">IFERROR(CONCATENATE((INDEX($A$7:$A$85,SMALL(IF($AL$7:$AL$85&lt;&gt;"",IF($AI$7:$AI$85&lt;&gt;"",ROW($AI$7:$AI$85)-MIN(ROW($AI$7:$AI$85))+1,""),""),ROW()-ROW(A$87)+1))),),"")</f>
        <v/>
      </c>
    </row>
    <row r="151" customFormat="false" ht="15" hidden="false" customHeight="false" outlineLevel="0" collapsed="false">
      <c r="K151" s="0" t="str">
        <f aca="false" t="array" ref="K151:K151">IFERROR(CONCATENATE(TEXT(INDEX($K$7:$K$85,SMALL(IF($N$7:$N$85&lt;&gt;"",IF($K$7:$K$85&lt;&gt;"",ROW($K$7:$K$85)-MIN(ROW($K$7:$K$85))+1,""),""),ROW()-ROW(A$87)+1)),"##0"),","),"")</f>
        <v/>
      </c>
      <c r="L151" s="0" t="str">
        <f aca="false" t="array" ref="L151:L151">IFERROR(CONCATENATE((INDEX($N$7:$N$85,SMALL(IF($N$7:$N$85&lt;&gt;"",IF($K$7:$K$85&lt;&gt;"",ROW($K$7:$K$85)-MIN(ROW($K$7:$K$85))+1,""),""),ROW()-ROW(A$87)+1))),","),"")</f>
        <v/>
      </c>
      <c r="M151" s="0" t="str">
        <f aca="false" t="array" ref="M151:M151">IFERROR(CONCATENATE((INDEX($A$7:$A$85,SMALL(IF($N$7:$N$85&lt;&gt;"",IF($K$7:$K$85&lt;&gt;"",ROW($K$7:$K$85)-MIN(ROW($K$7:$K$85))+1,""),""),ROW()-ROW(A$87)+1))),),"")</f>
        <v/>
      </c>
      <c r="Q151" s="0" t="str">
        <f aca="false" t="array" ref="Q151:Q151">IFERROR(CONCATENATE((INDEX($T$7:$T$85,SMALL(IF($T$7:$T$85&lt;&gt;"",IF($Q$7:$Q$85&lt;&gt;"",ROW($Q$7:$Q$85)-MIN(ROW($Q$7:$Q$85))+1,""),""),ROW()-ROW(A$87)+1)))," "),"")</f>
        <v/>
      </c>
      <c r="R151" s="0" t="str">
        <f aca="false" t="array" ref="R151:R151">IFERROR(CONCATENATE(TEXT(INDEX($Q$7:$Q$85,SMALL(IF($T$7:$T$85&lt;&gt;"",IF($Q$7:$Q$85&lt;&gt;"",ROW($Q$7:$Q$85)-MIN(ROW($Q$7:$Q$85))+1,""),""),ROW()-ROW(A$87)+1)),"##0")," "),"")</f>
        <v/>
      </c>
      <c r="S151" s="0" t="str">
        <f aca="false" t="array" ref="S151:S151">IFERROR(CONCATENATE((INDEX($A$7:$A$85,SMALL(IF($T$7:$T$85&lt;&gt;"",IF($Q$7:$Q$85&lt;&gt;"",ROW($Q$7:$Q$85)-MIN(ROW($Q$7:$Q$85))+1,""),""),ROW()-ROW(A$87)+1))),),"")</f>
        <v/>
      </c>
      <c r="W151" s="0" t="str">
        <f aca="false" t="array" ref="W151:W151">IFERROR(CONCATENATE((INDEX($Z$7:$Z$85,SMALL(IF($Z$7:$Z$85&lt;&gt;"",IF($W$7:$W$85&lt;&gt;"",ROW($W$7:$W$85)-MIN(ROW($W$7:$W$85))+1,""),""),ROW()-ROW(A$87)+1)))," "),"")</f>
        <v/>
      </c>
      <c r="X151" s="0" t="str">
        <f aca="false" t="array" ref="X151:X151">IFERROR(CONCATENATE(TEXT(INDEX($W$7:$W$85,SMALL(IF($Z$7:$Z$85&lt;&gt;"",IF($W$7:$W$85&lt;&gt;"",ROW($W$7:$W$85)-MIN(ROW($W$7:$W$85))+1,""),""),ROW()-ROW(A$87)+1)),"##0")," "),"")</f>
        <v/>
      </c>
      <c r="Y151" s="0" t="str">
        <f aca="false" t="array" ref="Y151:Y151">IFERROR(CONCATENATE((INDEX($A$7:$A$85,SMALL(IF($Z$7:$Z$85&lt;&gt;"",IF($W$7:$W$85&lt;&gt;"",ROW($W$7:$W$85)-MIN(ROW($W$7:$W$85))+1,""),""),ROW()-ROW(A$87)+1))),),"")</f>
        <v/>
      </c>
      <c r="AC151" s="0" t="str">
        <f aca="false" t="array" ref="AC151:AC151">IFERROR(CONCATENATE((INDEX($AF$7:$AF$85,SMALL(IF($AF$7:$AF$85&lt;&gt;"",IF($AC$7:$AC$85&lt;&gt;"",ROW($AC$7:$AC$85)-MIN(ROW($AC$7:$AC$85))+1,""),""),ROW()-ROW(A$87)+1))),","),"")</f>
        <v/>
      </c>
      <c r="AD151" s="0" t="str">
        <f aca="false" t="array" ref="AD151:AD151">IFERROR(CONCATENATE(TEXT(INDEX($AC$7:$AC$85,SMALL(IF($AF$7:$AF$85&lt;&gt;"",IF($AC$7:$AC$85&lt;&gt;"",ROW($AC$7:$AC$85)-MIN(ROW($AC$7:$AC$85))+1,""),""),ROW()-ROW(A$87)+1)),"##0"),","),"")</f>
        <v/>
      </c>
      <c r="AE151" s="0" t="str">
        <f aca="false" t="array" ref="AE151:AE151">IFERROR(CONCATENATE((INDEX($A$7:$A$85,SMALL(IF($AF$7:$AF$85&lt;&gt;"",IF($AC$7:$AC$85&lt;&gt;"",ROW($AC$7:$AC$85)-MIN(ROW($AC$7:$AC$85))+1,""),""),ROW()-ROW(A$87)+1))),),"")</f>
        <v/>
      </c>
      <c r="AI151" s="0" t="str">
        <f aca="false" t="array" ref="AI151:AI151">IFERROR(CONCATENATE((INDEX($AL$7:$AL$85,SMALL(IF($AL$7:$AL$85&lt;&gt;"",IF($AI$7:$AI$85&lt;&gt;"",ROW($AI$7:$AI$85)-MIN(ROW($AI$7:$AI$85))+1,""),""),ROW()-ROW(A$87)+1)))," "),"")</f>
        <v/>
      </c>
      <c r="AJ151" s="0" t="str">
        <f aca="false" t="array" ref="AJ151:AJ151">IFERROR(CONCATENATE(TEXT(INDEX($AI$7:$AI$85,SMALL(IF($AL$7:$AL$85&lt;&gt;"",IF($AI$7:$AI$85&lt;&gt;"",ROW($AI$7:$AI$85)-MIN(ROW($AI$7:$AI$85))+1,""),""),ROW()-ROW(A$87)+1)),"##0")," "),"")</f>
        <v/>
      </c>
      <c r="AK151" s="0" t="str">
        <f aca="false" t="array" ref="AK151:AK151">IFERROR(CONCATENATE((INDEX($A$7:$A$85,SMALL(IF($AL$7:$AL$85&lt;&gt;"",IF($AI$7:$AI$85&lt;&gt;"",ROW($AI$7:$AI$85)-MIN(ROW($AI$7:$AI$85))+1,""),""),ROW()-ROW(A$87)+1))),),"")</f>
        <v/>
      </c>
    </row>
    <row r="152" customFormat="false" ht="15" hidden="false" customHeight="false" outlineLevel="0" collapsed="false">
      <c r="K152" s="0" t="str">
        <f aca="false" t="array" ref="K152:K152">IFERROR(CONCATENATE(TEXT(INDEX($K$7:$K$85,SMALL(IF($N$7:$N$85&lt;&gt;"",IF($K$7:$K$85&lt;&gt;"",ROW($K$7:$K$85)-MIN(ROW($K$7:$K$85))+1,""),""),ROW()-ROW(A$87)+1)),"##0"),","),"")</f>
        <v/>
      </c>
      <c r="L152" s="0" t="str">
        <f aca="false" t="array" ref="L152:L152">IFERROR(CONCATENATE((INDEX($N$7:$N$85,SMALL(IF($N$7:$N$85&lt;&gt;"",IF($K$7:$K$85&lt;&gt;"",ROW($K$7:$K$85)-MIN(ROW($K$7:$K$85))+1,""),""),ROW()-ROW(A$87)+1))),","),"")</f>
        <v/>
      </c>
      <c r="M152" s="0" t="str">
        <f aca="false" t="array" ref="M152:M152">IFERROR(CONCATENATE((INDEX($A$7:$A$85,SMALL(IF($N$7:$N$85&lt;&gt;"",IF($K$7:$K$85&lt;&gt;"",ROW($K$7:$K$85)-MIN(ROW($K$7:$K$85))+1,""),""),ROW()-ROW(A$87)+1))),),"")</f>
        <v/>
      </c>
      <c r="Q152" s="0" t="str">
        <f aca="false" t="array" ref="Q152:Q152">IFERROR(CONCATENATE((INDEX($T$7:$T$85,SMALL(IF($T$7:$T$85&lt;&gt;"",IF($Q$7:$Q$85&lt;&gt;"",ROW($Q$7:$Q$85)-MIN(ROW($Q$7:$Q$85))+1,""),""),ROW()-ROW(A$87)+1)))," "),"")</f>
        <v/>
      </c>
      <c r="R152" s="0" t="str">
        <f aca="false" t="array" ref="R152:R152">IFERROR(CONCATENATE(TEXT(INDEX($Q$7:$Q$85,SMALL(IF($T$7:$T$85&lt;&gt;"",IF($Q$7:$Q$85&lt;&gt;"",ROW($Q$7:$Q$85)-MIN(ROW($Q$7:$Q$85))+1,""),""),ROW()-ROW(A$87)+1)),"##0")," "),"")</f>
        <v/>
      </c>
      <c r="S152" s="0" t="str">
        <f aca="false" t="array" ref="S152:S152">IFERROR(CONCATENATE((INDEX($A$7:$A$85,SMALL(IF($T$7:$T$85&lt;&gt;"",IF($Q$7:$Q$85&lt;&gt;"",ROW($Q$7:$Q$85)-MIN(ROW($Q$7:$Q$85))+1,""),""),ROW()-ROW(A$87)+1))),),"")</f>
        <v/>
      </c>
      <c r="W152" s="0" t="str">
        <f aca="false" t="array" ref="W152:W152">IFERROR(CONCATENATE((INDEX($Z$7:$Z$85,SMALL(IF($Z$7:$Z$85&lt;&gt;"",IF($W$7:$W$85&lt;&gt;"",ROW($W$7:$W$85)-MIN(ROW($W$7:$W$85))+1,""),""),ROW()-ROW(A$87)+1)))," "),"")</f>
        <v/>
      </c>
      <c r="X152" s="0" t="str">
        <f aca="false" t="array" ref="X152:X152">IFERROR(CONCATENATE(TEXT(INDEX($W$7:$W$85,SMALL(IF($Z$7:$Z$85&lt;&gt;"",IF($W$7:$W$85&lt;&gt;"",ROW($W$7:$W$85)-MIN(ROW($W$7:$W$85))+1,""),""),ROW()-ROW(A$87)+1)),"##0")," "),"")</f>
        <v/>
      </c>
      <c r="Y152" s="0" t="str">
        <f aca="false" t="array" ref="Y152:Y152">IFERROR(CONCATENATE((INDEX($A$7:$A$85,SMALL(IF($Z$7:$Z$85&lt;&gt;"",IF($W$7:$W$85&lt;&gt;"",ROW($W$7:$W$85)-MIN(ROW($W$7:$W$85))+1,""),""),ROW()-ROW(A$87)+1))),),"")</f>
        <v/>
      </c>
      <c r="AC152" s="0" t="str">
        <f aca="false" t="array" ref="AC152:AC152">IFERROR(CONCATENATE((INDEX($AF$7:$AF$85,SMALL(IF($AF$7:$AF$85&lt;&gt;"",IF($AC$7:$AC$85&lt;&gt;"",ROW($AC$7:$AC$85)-MIN(ROW($AC$7:$AC$85))+1,""),""),ROW()-ROW(A$87)+1))),","),"")</f>
        <v/>
      </c>
      <c r="AD152" s="0" t="str">
        <f aca="false" t="array" ref="AD152:AD152">IFERROR(CONCATENATE(TEXT(INDEX($AC$7:$AC$85,SMALL(IF($AF$7:$AF$85&lt;&gt;"",IF($AC$7:$AC$85&lt;&gt;"",ROW($AC$7:$AC$85)-MIN(ROW($AC$7:$AC$85))+1,""),""),ROW()-ROW(A$87)+1)),"##0"),","),"")</f>
        <v/>
      </c>
      <c r="AE152" s="0" t="str">
        <f aca="false" t="array" ref="AE152:AE152">IFERROR(CONCATENATE((INDEX($A$7:$A$85,SMALL(IF($AF$7:$AF$85&lt;&gt;"",IF($AC$7:$AC$85&lt;&gt;"",ROW($AC$7:$AC$85)-MIN(ROW($AC$7:$AC$85))+1,""),""),ROW()-ROW(A$87)+1))),),"")</f>
        <v/>
      </c>
      <c r="AI152" s="0" t="str">
        <f aca="false" t="array" ref="AI152:AI152">IFERROR(CONCATENATE((INDEX($AL$7:$AL$85,SMALL(IF($AL$7:$AL$85&lt;&gt;"",IF($AI$7:$AI$85&lt;&gt;"",ROW($AI$7:$AI$85)-MIN(ROW($AI$7:$AI$85))+1,""),""),ROW()-ROW(A$87)+1)))," "),"")</f>
        <v/>
      </c>
      <c r="AJ152" s="0" t="str">
        <f aca="false" t="array" ref="AJ152:AJ152">IFERROR(CONCATENATE(TEXT(INDEX($AI$7:$AI$85,SMALL(IF($AL$7:$AL$85&lt;&gt;"",IF($AI$7:$AI$85&lt;&gt;"",ROW($AI$7:$AI$85)-MIN(ROW($AI$7:$AI$85))+1,""),""),ROW()-ROW(A$87)+1)),"##0")," "),"")</f>
        <v/>
      </c>
      <c r="AK152" s="0" t="str">
        <f aca="false" t="array" ref="AK152:AK152">IFERROR(CONCATENATE((INDEX($A$7:$A$85,SMALL(IF($AL$7:$AL$85&lt;&gt;"",IF($AI$7:$AI$85&lt;&gt;"",ROW($AI$7:$AI$85)-MIN(ROW($AI$7:$AI$85))+1,""),""),ROW()-ROW(A$87)+1))),),"")</f>
        <v/>
      </c>
    </row>
    <row r="153" customFormat="false" ht="15" hidden="false" customHeight="false" outlineLevel="0" collapsed="false">
      <c r="K153" s="0" t="str">
        <f aca="false" t="array" ref="K153:K153">IFERROR(CONCATENATE(TEXT(INDEX($K$7:$K$85,SMALL(IF($N$7:$N$85&lt;&gt;"",IF($K$7:$K$85&lt;&gt;"",ROW($K$7:$K$85)-MIN(ROW($K$7:$K$85))+1,""),""),ROW()-ROW(A$87)+1)),"##0"),","),"")</f>
        <v/>
      </c>
      <c r="L153" s="0" t="str">
        <f aca="false" t="array" ref="L153:L153">IFERROR(CONCATENATE((INDEX($N$7:$N$85,SMALL(IF($N$7:$N$85&lt;&gt;"",IF($K$7:$K$85&lt;&gt;"",ROW($K$7:$K$85)-MIN(ROW($K$7:$K$85))+1,""),""),ROW()-ROW(A$87)+1))),","),"")</f>
        <v/>
      </c>
      <c r="M153" s="0" t="str">
        <f aca="false" t="array" ref="M153:M153">IFERROR(CONCATENATE((INDEX($A$7:$A$85,SMALL(IF($N$7:$N$85&lt;&gt;"",IF($K$7:$K$85&lt;&gt;"",ROW($K$7:$K$85)-MIN(ROW($K$7:$K$85))+1,""),""),ROW()-ROW(A$87)+1))),),"")</f>
        <v/>
      </c>
      <c r="Q153" s="0" t="str">
        <f aca="false" t="array" ref="Q153:Q153">IFERROR(CONCATENATE((INDEX($T$7:$T$85,SMALL(IF($T$7:$T$85&lt;&gt;"",IF($Q$7:$Q$85&lt;&gt;"",ROW($Q$7:$Q$85)-MIN(ROW($Q$7:$Q$85))+1,""),""),ROW()-ROW(A$87)+1)))," "),"")</f>
        <v/>
      </c>
      <c r="R153" s="0" t="str">
        <f aca="false" t="array" ref="R153:R153">IFERROR(CONCATENATE(TEXT(INDEX($Q$7:$Q$85,SMALL(IF($T$7:$T$85&lt;&gt;"",IF($Q$7:$Q$85&lt;&gt;"",ROW($Q$7:$Q$85)-MIN(ROW($Q$7:$Q$85))+1,""),""),ROW()-ROW(A$87)+1)),"##0")," "),"")</f>
        <v/>
      </c>
      <c r="S153" s="0" t="str">
        <f aca="false" t="array" ref="S153:S153">IFERROR(CONCATENATE((INDEX($A$7:$A$85,SMALL(IF($T$7:$T$85&lt;&gt;"",IF($Q$7:$Q$85&lt;&gt;"",ROW($Q$7:$Q$85)-MIN(ROW($Q$7:$Q$85))+1,""),""),ROW()-ROW(A$87)+1))),),"")</f>
        <v/>
      </c>
      <c r="W153" s="0" t="str">
        <f aca="false" t="array" ref="W153:W153">IFERROR(CONCATENATE((INDEX($Z$7:$Z$85,SMALL(IF($Z$7:$Z$85&lt;&gt;"",IF($W$7:$W$85&lt;&gt;"",ROW($W$7:$W$85)-MIN(ROW($W$7:$W$85))+1,""),""),ROW()-ROW(A$87)+1)))," "),"")</f>
        <v/>
      </c>
      <c r="X153" s="0" t="str">
        <f aca="false" t="array" ref="X153:X153">IFERROR(CONCATENATE(TEXT(INDEX($W$7:$W$85,SMALL(IF($Z$7:$Z$85&lt;&gt;"",IF($W$7:$W$85&lt;&gt;"",ROW($W$7:$W$85)-MIN(ROW($W$7:$W$85))+1,""),""),ROW()-ROW(A$87)+1)),"##0")," "),"")</f>
        <v/>
      </c>
      <c r="Y153" s="0" t="str">
        <f aca="false" t="array" ref="Y153:Y153">IFERROR(CONCATENATE((INDEX($A$7:$A$85,SMALL(IF($Z$7:$Z$85&lt;&gt;"",IF($W$7:$W$85&lt;&gt;"",ROW($W$7:$W$85)-MIN(ROW($W$7:$W$85))+1,""),""),ROW()-ROW(A$87)+1))),),"")</f>
        <v/>
      </c>
      <c r="AC153" s="0" t="str">
        <f aca="false" t="array" ref="AC153:AC153">IFERROR(CONCATENATE((INDEX($AF$7:$AF$85,SMALL(IF($AF$7:$AF$85&lt;&gt;"",IF($AC$7:$AC$85&lt;&gt;"",ROW($AC$7:$AC$85)-MIN(ROW($AC$7:$AC$85))+1,""),""),ROW()-ROW(A$87)+1))),","),"")</f>
        <v/>
      </c>
      <c r="AD153" s="0" t="str">
        <f aca="false" t="array" ref="AD153:AD153">IFERROR(CONCATENATE(TEXT(INDEX($AC$7:$AC$85,SMALL(IF($AF$7:$AF$85&lt;&gt;"",IF($AC$7:$AC$85&lt;&gt;"",ROW($AC$7:$AC$85)-MIN(ROW($AC$7:$AC$85))+1,""),""),ROW()-ROW(A$87)+1)),"##0"),","),"")</f>
        <v/>
      </c>
      <c r="AE153" s="0" t="str">
        <f aca="false" t="array" ref="AE153:AE153">IFERROR(CONCATENATE((INDEX($A$7:$A$85,SMALL(IF($AF$7:$AF$85&lt;&gt;"",IF($AC$7:$AC$85&lt;&gt;"",ROW($AC$7:$AC$85)-MIN(ROW($AC$7:$AC$85))+1,""),""),ROW()-ROW(A$87)+1))),),"")</f>
        <v/>
      </c>
      <c r="AI153" s="0" t="str">
        <f aca="false" t="array" ref="AI153:AI153">IFERROR(CONCATENATE((INDEX($AL$7:$AL$85,SMALL(IF($AL$7:$AL$85&lt;&gt;"",IF($AI$7:$AI$85&lt;&gt;"",ROW($AI$7:$AI$85)-MIN(ROW($AI$7:$AI$85))+1,""),""),ROW()-ROW(A$87)+1)))," "),"")</f>
        <v/>
      </c>
      <c r="AJ153" s="0" t="str">
        <f aca="false" t="array" ref="AJ153:AJ153">IFERROR(CONCATENATE(TEXT(INDEX($AI$7:$AI$85,SMALL(IF($AL$7:$AL$85&lt;&gt;"",IF($AI$7:$AI$85&lt;&gt;"",ROW($AI$7:$AI$85)-MIN(ROW($AI$7:$AI$85))+1,""),""),ROW()-ROW(A$87)+1)),"##0")," "),"")</f>
        <v/>
      </c>
      <c r="AK153" s="0" t="str">
        <f aca="false" t="array" ref="AK153:AK153">IFERROR(CONCATENATE((INDEX($A$7:$A$85,SMALL(IF($AL$7:$AL$85&lt;&gt;"",IF($AI$7:$AI$85&lt;&gt;"",ROW($AI$7:$AI$85)-MIN(ROW($AI$7:$AI$85))+1,""),""),ROW()-ROW(A$87)+1))),),"")</f>
        <v/>
      </c>
    </row>
    <row r="154" customFormat="false" ht="15" hidden="false" customHeight="false" outlineLevel="0" collapsed="false">
      <c r="K154" s="0" t="str">
        <f aca="false" t="array" ref="K154:K154">IFERROR(CONCATENATE(TEXT(INDEX($K$7:$K$85,SMALL(IF($N$7:$N$85&lt;&gt;"",IF($K$7:$K$85&lt;&gt;"",ROW($K$7:$K$85)-MIN(ROW($K$7:$K$85))+1,""),""),ROW()-ROW(A$87)+1)),"##0"),","),"")</f>
        <v/>
      </c>
      <c r="L154" s="0" t="str">
        <f aca="false" t="array" ref="L154:L154">IFERROR(CONCATENATE((INDEX($N$7:$N$85,SMALL(IF($N$7:$N$85&lt;&gt;"",IF($K$7:$K$85&lt;&gt;"",ROW($K$7:$K$85)-MIN(ROW($K$7:$K$85))+1,""),""),ROW()-ROW(A$87)+1))),","),"")</f>
        <v/>
      </c>
      <c r="M154" s="0" t="str">
        <f aca="false" t="array" ref="M154:M154">IFERROR(CONCATENATE((INDEX($A$7:$A$85,SMALL(IF($N$7:$N$85&lt;&gt;"",IF($K$7:$K$85&lt;&gt;"",ROW($K$7:$K$85)-MIN(ROW($K$7:$K$85))+1,""),""),ROW()-ROW(A$87)+1))),),"")</f>
        <v/>
      </c>
      <c r="Q154" s="0" t="str">
        <f aca="false" t="array" ref="Q154:Q154">IFERROR(CONCATENATE((INDEX($T$7:$T$85,SMALL(IF($T$7:$T$85&lt;&gt;"",IF($Q$7:$Q$85&lt;&gt;"",ROW($Q$7:$Q$85)-MIN(ROW($Q$7:$Q$85))+1,""),""),ROW()-ROW(A$87)+1)))," "),"")</f>
        <v/>
      </c>
      <c r="R154" s="0" t="str">
        <f aca="false" t="array" ref="R154:R154">IFERROR(CONCATENATE(TEXT(INDEX($Q$7:$Q$85,SMALL(IF($T$7:$T$85&lt;&gt;"",IF($Q$7:$Q$85&lt;&gt;"",ROW($Q$7:$Q$85)-MIN(ROW($Q$7:$Q$85))+1,""),""),ROW()-ROW(A$87)+1)),"##0")," "),"")</f>
        <v/>
      </c>
      <c r="S154" s="0" t="str">
        <f aca="false" t="array" ref="S154:S154">IFERROR(CONCATENATE((INDEX($A$7:$A$85,SMALL(IF($T$7:$T$85&lt;&gt;"",IF($Q$7:$Q$85&lt;&gt;"",ROW($Q$7:$Q$85)-MIN(ROW($Q$7:$Q$85))+1,""),""),ROW()-ROW(A$87)+1))),),"")</f>
        <v/>
      </c>
      <c r="W154" s="0" t="str">
        <f aca="false" t="array" ref="W154:W154">IFERROR(CONCATENATE((INDEX($Z$7:$Z$85,SMALL(IF($Z$7:$Z$85&lt;&gt;"",IF($W$7:$W$85&lt;&gt;"",ROW($W$7:$W$85)-MIN(ROW($W$7:$W$85))+1,""),""),ROW()-ROW(A$87)+1)))," "),"")</f>
        <v/>
      </c>
      <c r="X154" s="0" t="str">
        <f aca="false" t="array" ref="X154:X154">IFERROR(CONCATENATE(TEXT(INDEX($W$7:$W$85,SMALL(IF($Z$7:$Z$85&lt;&gt;"",IF($W$7:$W$85&lt;&gt;"",ROW($W$7:$W$85)-MIN(ROW($W$7:$W$85))+1,""),""),ROW()-ROW(A$87)+1)),"##0")," "),"")</f>
        <v/>
      </c>
      <c r="Y154" s="0" t="str">
        <f aca="false" t="array" ref="Y154:Y154">IFERROR(CONCATENATE((INDEX($A$7:$A$85,SMALL(IF($Z$7:$Z$85&lt;&gt;"",IF($W$7:$W$85&lt;&gt;"",ROW($W$7:$W$85)-MIN(ROW($W$7:$W$85))+1,""),""),ROW()-ROW(A$87)+1))),),"")</f>
        <v/>
      </c>
      <c r="AC154" s="0" t="str">
        <f aca="false" t="array" ref="AC154:AC154">IFERROR(CONCATENATE((INDEX($AF$7:$AF$85,SMALL(IF($AF$7:$AF$85&lt;&gt;"",IF($AC$7:$AC$85&lt;&gt;"",ROW($AC$7:$AC$85)-MIN(ROW($AC$7:$AC$85))+1,""),""),ROW()-ROW(A$87)+1))),","),"")</f>
        <v/>
      </c>
      <c r="AD154" s="0" t="str">
        <f aca="false" t="array" ref="AD154:AD154">IFERROR(CONCATENATE(TEXT(INDEX($AC$7:$AC$85,SMALL(IF($AF$7:$AF$85&lt;&gt;"",IF($AC$7:$AC$85&lt;&gt;"",ROW($AC$7:$AC$85)-MIN(ROW($AC$7:$AC$85))+1,""),""),ROW()-ROW(A$87)+1)),"##0"),","),"")</f>
        <v/>
      </c>
      <c r="AE154" s="0" t="str">
        <f aca="false" t="array" ref="AE154:AE154">IFERROR(CONCATENATE((INDEX($A$7:$A$85,SMALL(IF($AF$7:$AF$85&lt;&gt;"",IF($AC$7:$AC$85&lt;&gt;"",ROW($AC$7:$AC$85)-MIN(ROW($AC$7:$AC$85))+1,""),""),ROW()-ROW(A$87)+1))),),"")</f>
        <v/>
      </c>
      <c r="AI154" s="0" t="str">
        <f aca="false" t="array" ref="AI154:AI154">IFERROR(CONCATENATE((INDEX($AL$7:$AL$85,SMALL(IF($AL$7:$AL$85&lt;&gt;"",IF($AI$7:$AI$85&lt;&gt;"",ROW($AI$7:$AI$85)-MIN(ROW($AI$7:$AI$85))+1,""),""),ROW()-ROW(A$87)+1)))," "),"")</f>
        <v/>
      </c>
      <c r="AJ154" s="0" t="str">
        <f aca="false" t="array" ref="AJ154:AJ154">IFERROR(CONCATENATE(TEXT(INDEX($AI$7:$AI$85,SMALL(IF($AL$7:$AL$85&lt;&gt;"",IF($AI$7:$AI$85&lt;&gt;"",ROW($AI$7:$AI$85)-MIN(ROW($AI$7:$AI$85))+1,""),""),ROW()-ROW(A$87)+1)),"##0")," "),"")</f>
        <v/>
      </c>
      <c r="AK154" s="0" t="str">
        <f aca="false" t="array" ref="AK154:AK154">IFERROR(CONCATENATE((INDEX($A$7:$A$85,SMALL(IF($AL$7:$AL$85&lt;&gt;"",IF($AI$7:$AI$85&lt;&gt;"",ROW($AI$7:$AI$85)-MIN(ROW($AI$7:$AI$85))+1,""),""),ROW()-ROW(A$87)+1))),),"")</f>
        <v/>
      </c>
    </row>
    <row r="155" customFormat="false" ht="15" hidden="false" customHeight="false" outlineLevel="0" collapsed="false">
      <c r="K155" s="0" t="str">
        <f aca="false" t="array" ref="K155:K155">IFERROR(CONCATENATE(TEXT(INDEX($K$7:$K$85,SMALL(IF($N$7:$N$85&lt;&gt;"",IF($K$7:$K$85&lt;&gt;"",ROW($K$7:$K$85)-MIN(ROW($K$7:$K$85))+1,""),""),ROW()-ROW(A$87)+1)),"##0"),","),"")</f>
        <v/>
      </c>
      <c r="L155" s="0" t="str">
        <f aca="false" t="array" ref="L155:L155">IFERROR(CONCATENATE((INDEX($N$7:$N$85,SMALL(IF($N$7:$N$85&lt;&gt;"",IF($K$7:$K$85&lt;&gt;"",ROW($K$7:$K$85)-MIN(ROW($K$7:$K$85))+1,""),""),ROW()-ROW(A$87)+1))),","),"")</f>
        <v/>
      </c>
      <c r="M155" s="0" t="str">
        <f aca="false" t="array" ref="M155:M155">IFERROR(CONCATENATE((INDEX($A$7:$A$85,SMALL(IF($N$7:$N$85&lt;&gt;"",IF($K$7:$K$85&lt;&gt;"",ROW($K$7:$K$85)-MIN(ROW($K$7:$K$85))+1,""),""),ROW()-ROW(A$87)+1))),),"")</f>
        <v/>
      </c>
      <c r="Q155" s="0" t="str">
        <f aca="false" t="array" ref="Q155:Q155">IFERROR(CONCATENATE((INDEX($T$7:$T$85,SMALL(IF($T$7:$T$85&lt;&gt;"",IF($Q$7:$Q$85&lt;&gt;"",ROW($Q$7:$Q$85)-MIN(ROW($Q$7:$Q$85))+1,""),""),ROW()-ROW(A$87)+1)))," "),"")</f>
        <v/>
      </c>
      <c r="R155" s="0" t="str">
        <f aca="false" t="array" ref="R155:R155">IFERROR(CONCATENATE(TEXT(INDEX($Q$7:$Q$85,SMALL(IF($T$7:$T$85&lt;&gt;"",IF($Q$7:$Q$85&lt;&gt;"",ROW($Q$7:$Q$85)-MIN(ROW($Q$7:$Q$85))+1,""),""),ROW()-ROW(A$87)+1)),"##0")," "),"")</f>
        <v/>
      </c>
      <c r="S155" s="0" t="str">
        <f aca="false" t="array" ref="S155:S155">IFERROR(CONCATENATE((INDEX($A$7:$A$85,SMALL(IF($T$7:$T$85&lt;&gt;"",IF($Q$7:$Q$85&lt;&gt;"",ROW($Q$7:$Q$85)-MIN(ROW($Q$7:$Q$85))+1,""),""),ROW()-ROW(A$87)+1))),),"")</f>
        <v/>
      </c>
      <c r="W155" s="0" t="str">
        <f aca="false" t="array" ref="W155:W155">IFERROR(CONCATENATE((INDEX($Z$7:$Z$85,SMALL(IF($Z$7:$Z$85&lt;&gt;"",IF($W$7:$W$85&lt;&gt;"",ROW($W$7:$W$85)-MIN(ROW($W$7:$W$85))+1,""),""),ROW()-ROW(A$87)+1)))," "),"")</f>
        <v/>
      </c>
      <c r="X155" s="0" t="str">
        <f aca="false" t="array" ref="X155:X155">IFERROR(CONCATENATE(TEXT(INDEX($W$7:$W$85,SMALL(IF($Z$7:$Z$85&lt;&gt;"",IF($W$7:$W$85&lt;&gt;"",ROW($W$7:$W$85)-MIN(ROW($W$7:$W$85))+1,""),""),ROW()-ROW(A$87)+1)),"##0")," "),"")</f>
        <v/>
      </c>
      <c r="Y155" s="0" t="str">
        <f aca="false" t="array" ref="Y155:Y155">IFERROR(CONCATENATE((INDEX($A$7:$A$85,SMALL(IF($Z$7:$Z$85&lt;&gt;"",IF($W$7:$W$85&lt;&gt;"",ROW($W$7:$W$85)-MIN(ROW($W$7:$W$85))+1,""),""),ROW()-ROW(A$87)+1))),),"")</f>
        <v/>
      </c>
      <c r="AC155" s="0" t="str">
        <f aca="false" t="array" ref="AC155:AC155">IFERROR(CONCATENATE((INDEX($AF$7:$AF$85,SMALL(IF($AF$7:$AF$85&lt;&gt;"",IF($AC$7:$AC$85&lt;&gt;"",ROW($AC$7:$AC$85)-MIN(ROW($AC$7:$AC$85))+1,""),""),ROW()-ROW(A$87)+1))),","),"")</f>
        <v/>
      </c>
      <c r="AD155" s="0" t="str">
        <f aca="false" t="array" ref="AD155:AD155">IFERROR(CONCATENATE(TEXT(INDEX($AC$7:$AC$85,SMALL(IF($AF$7:$AF$85&lt;&gt;"",IF($AC$7:$AC$85&lt;&gt;"",ROW($AC$7:$AC$85)-MIN(ROW($AC$7:$AC$85))+1,""),""),ROW()-ROW(A$87)+1)),"##0"),","),"")</f>
        <v/>
      </c>
      <c r="AE155" s="0" t="str">
        <f aca="false" t="array" ref="AE155:AE155">IFERROR(CONCATENATE((INDEX($A$7:$A$85,SMALL(IF($AF$7:$AF$85&lt;&gt;"",IF($AC$7:$AC$85&lt;&gt;"",ROW($AC$7:$AC$85)-MIN(ROW($AC$7:$AC$85))+1,""),""),ROW()-ROW(A$87)+1))),),"")</f>
        <v/>
      </c>
      <c r="AI155" s="0" t="str">
        <f aca="false" t="array" ref="AI155:AI155">IFERROR(CONCATENATE((INDEX($AL$7:$AL$85,SMALL(IF($AL$7:$AL$85&lt;&gt;"",IF($AI$7:$AI$85&lt;&gt;"",ROW($AI$7:$AI$85)-MIN(ROW($AI$7:$AI$85))+1,""),""),ROW()-ROW(A$87)+1)))," "),"")</f>
        <v/>
      </c>
      <c r="AJ155" s="0" t="str">
        <f aca="false" t="array" ref="AJ155:AJ155">IFERROR(CONCATENATE(TEXT(INDEX($AI$7:$AI$85,SMALL(IF($AL$7:$AL$85&lt;&gt;"",IF($AI$7:$AI$85&lt;&gt;"",ROW($AI$7:$AI$85)-MIN(ROW($AI$7:$AI$85))+1,""),""),ROW()-ROW(A$87)+1)),"##0")," "),"")</f>
        <v/>
      </c>
      <c r="AK155" s="0" t="str">
        <f aca="false" t="array" ref="AK155:AK155">IFERROR(CONCATENATE((INDEX($A$7:$A$85,SMALL(IF($AL$7:$AL$85&lt;&gt;"",IF($AI$7:$AI$85&lt;&gt;"",ROW($AI$7:$AI$85)-MIN(ROW($AI$7:$AI$85))+1,""),""),ROW()-ROW(A$87)+1))),),"")</f>
        <v/>
      </c>
    </row>
    <row r="156" customFormat="false" ht="15" hidden="false" customHeight="false" outlineLevel="0" collapsed="false">
      <c r="K156" s="0" t="str">
        <f aca="false" t="array" ref="K156:K156">IFERROR(CONCATENATE(TEXT(INDEX($K$7:$K$85,SMALL(IF($N$7:$N$85&lt;&gt;"",IF($K$7:$K$85&lt;&gt;"",ROW($K$7:$K$85)-MIN(ROW($K$7:$K$85))+1,""),""),ROW()-ROW(A$87)+1)),"##0"),","),"")</f>
        <v/>
      </c>
      <c r="L156" s="0" t="str">
        <f aca="false" t="array" ref="L156:L156">IFERROR(CONCATENATE((INDEX($N$7:$N$85,SMALL(IF($N$7:$N$85&lt;&gt;"",IF($K$7:$K$85&lt;&gt;"",ROW($K$7:$K$85)-MIN(ROW($K$7:$K$85))+1,""),""),ROW()-ROW(A$87)+1))),","),"")</f>
        <v/>
      </c>
      <c r="M156" s="0" t="str">
        <f aca="false" t="array" ref="M156:M156">IFERROR(CONCATENATE((INDEX($A$7:$A$85,SMALL(IF($N$7:$N$85&lt;&gt;"",IF($K$7:$K$85&lt;&gt;"",ROW($K$7:$K$85)-MIN(ROW($K$7:$K$85))+1,""),""),ROW()-ROW(A$87)+1))),),"")</f>
        <v/>
      </c>
      <c r="Q156" s="0" t="str">
        <f aca="false" t="array" ref="Q156:Q156">IFERROR(CONCATENATE((INDEX($T$7:$T$85,SMALL(IF($T$7:$T$85&lt;&gt;"",IF($Q$7:$Q$85&lt;&gt;"",ROW($Q$7:$Q$85)-MIN(ROW($Q$7:$Q$85))+1,""),""),ROW()-ROW(A$87)+1)))," "),"")</f>
        <v/>
      </c>
      <c r="R156" s="0" t="str">
        <f aca="false" t="array" ref="R156:R156">IFERROR(CONCATENATE(TEXT(INDEX($Q$7:$Q$85,SMALL(IF($T$7:$T$85&lt;&gt;"",IF($Q$7:$Q$85&lt;&gt;"",ROW($Q$7:$Q$85)-MIN(ROW($Q$7:$Q$85))+1,""),""),ROW()-ROW(A$87)+1)),"##0")," "),"")</f>
        <v/>
      </c>
      <c r="S156" s="0" t="str">
        <f aca="false" t="array" ref="S156:S156">IFERROR(CONCATENATE((INDEX($A$7:$A$85,SMALL(IF($T$7:$T$85&lt;&gt;"",IF($Q$7:$Q$85&lt;&gt;"",ROW($Q$7:$Q$85)-MIN(ROW($Q$7:$Q$85))+1,""),""),ROW()-ROW(A$87)+1))),),"")</f>
        <v/>
      </c>
      <c r="W156" s="0" t="str">
        <f aca="false" t="array" ref="W156:W156">IFERROR(CONCATENATE((INDEX($Z$7:$Z$85,SMALL(IF($Z$7:$Z$85&lt;&gt;"",IF($W$7:$W$85&lt;&gt;"",ROW($W$7:$W$85)-MIN(ROW($W$7:$W$85))+1,""),""),ROW()-ROW(A$87)+1)))," "),"")</f>
        <v/>
      </c>
      <c r="X156" s="0" t="str">
        <f aca="false" t="array" ref="X156:X156">IFERROR(CONCATENATE(TEXT(INDEX($W$7:$W$85,SMALL(IF($Z$7:$Z$85&lt;&gt;"",IF($W$7:$W$85&lt;&gt;"",ROW($W$7:$W$85)-MIN(ROW($W$7:$W$85))+1,""),""),ROW()-ROW(A$87)+1)),"##0")," "),"")</f>
        <v/>
      </c>
      <c r="Y156" s="0" t="str">
        <f aca="false" t="array" ref="Y156:Y156">IFERROR(CONCATENATE((INDEX($A$7:$A$85,SMALL(IF($Z$7:$Z$85&lt;&gt;"",IF($W$7:$W$85&lt;&gt;"",ROW($W$7:$W$85)-MIN(ROW($W$7:$W$85))+1,""),""),ROW()-ROW(A$87)+1))),),"")</f>
        <v/>
      </c>
      <c r="AC156" s="0" t="str">
        <f aca="false" t="array" ref="AC156:AC156">IFERROR(CONCATENATE((INDEX($AF$7:$AF$85,SMALL(IF($AF$7:$AF$85&lt;&gt;"",IF($AC$7:$AC$85&lt;&gt;"",ROW($AC$7:$AC$85)-MIN(ROW($AC$7:$AC$85))+1,""),""),ROW()-ROW(A$87)+1))),","),"")</f>
        <v/>
      </c>
      <c r="AD156" s="0" t="str">
        <f aca="false" t="array" ref="AD156:AD156">IFERROR(CONCATENATE(TEXT(INDEX($AC$7:$AC$85,SMALL(IF($AF$7:$AF$85&lt;&gt;"",IF($AC$7:$AC$85&lt;&gt;"",ROW($AC$7:$AC$85)-MIN(ROW($AC$7:$AC$85))+1,""),""),ROW()-ROW(A$87)+1)),"##0"),","),"")</f>
        <v/>
      </c>
      <c r="AE156" s="0" t="str">
        <f aca="false" t="array" ref="AE156:AE156">IFERROR(CONCATENATE((INDEX($A$7:$A$85,SMALL(IF($AF$7:$AF$85&lt;&gt;"",IF($AC$7:$AC$85&lt;&gt;"",ROW($AC$7:$AC$85)-MIN(ROW($AC$7:$AC$85))+1,""),""),ROW()-ROW(A$87)+1))),),"")</f>
        <v/>
      </c>
      <c r="AI156" s="0" t="str">
        <f aca="false" t="array" ref="AI156:AI156">IFERROR(CONCATENATE((INDEX($AL$7:$AL$85,SMALL(IF($AL$7:$AL$85&lt;&gt;"",IF($AI$7:$AI$85&lt;&gt;"",ROW($AI$7:$AI$85)-MIN(ROW($AI$7:$AI$85))+1,""),""),ROW()-ROW(A$87)+1)))," "),"")</f>
        <v/>
      </c>
      <c r="AJ156" s="0" t="str">
        <f aca="false" t="array" ref="AJ156:AJ156">IFERROR(CONCATENATE(TEXT(INDEX($AI$7:$AI$85,SMALL(IF($AL$7:$AL$85&lt;&gt;"",IF($AI$7:$AI$85&lt;&gt;"",ROW($AI$7:$AI$85)-MIN(ROW($AI$7:$AI$85))+1,""),""),ROW()-ROW(A$87)+1)),"##0")," "),"")</f>
        <v/>
      </c>
      <c r="AK156" s="0" t="str">
        <f aca="false" t="array" ref="AK156:AK156">IFERROR(CONCATENATE((INDEX($A$7:$A$85,SMALL(IF($AL$7:$AL$85&lt;&gt;"",IF($AI$7:$AI$85&lt;&gt;"",ROW($AI$7:$AI$85)-MIN(ROW($AI$7:$AI$85))+1,""),""),ROW()-ROW(A$87)+1))),),"")</f>
        <v/>
      </c>
    </row>
    <row r="157" customFormat="false" ht="15" hidden="false" customHeight="false" outlineLevel="0" collapsed="false">
      <c r="K157" s="0" t="str">
        <f aca="false" t="array" ref="K157:K157">IFERROR(CONCATENATE(TEXT(INDEX($K$7:$K$85,SMALL(IF($N$7:$N$85&lt;&gt;"",IF($K$7:$K$85&lt;&gt;"",ROW($K$7:$K$85)-MIN(ROW($K$7:$K$85))+1,""),""),ROW()-ROW(A$87)+1)),"##0"),","),"")</f>
        <v/>
      </c>
      <c r="L157" s="0" t="str">
        <f aca="false" t="array" ref="L157:L157">IFERROR(CONCATENATE((INDEX($N$7:$N$85,SMALL(IF($N$7:$N$85&lt;&gt;"",IF($K$7:$K$85&lt;&gt;"",ROW($K$7:$K$85)-MIN(ROW($K$7:$K$85))+1,""),""),ROW()-ROW(A$87)+1))),","),"")</f>
        <v/>
      </c>
      <c r="M157" s="0" t="str">
        <f aca="false" t="array" ref="M157:M157">IFERROR(CONCATENATE((INDEX($A$7:$A$85,SMALL(IF($N$7:$N$85&lt;&gt;"",IF($K$7:$K$85&lt;&gt;"",ROW($K$7:$K$85)-MIN(ROW($K$7:$K$85))+1,""),""),ROW()-ROW(A$87)+1))),),"")</f>
        <v/>
      </c>
      <c r="Q157" s="0" t="str">
        <f aca="false" t="array" ref="Q157:Q157">IFERROR(CONCATENATE((INDEX($T$7:$T$85,SMALL(IF($T$7:$T$85&lt;&gt;"",IF($Q$7:$Q$85&lt;&gt;"",ROW($Q$7:$Q$85)-MIN(ROW($Q$7:$Q$85))+1,""),""),ROW()-ROW(A$87)+1)))," "),"")</f>
        <v/>
      </c>
      <c r="R157" s="0" t="str">
        <f aca="false" t="array" ref="R157:R157">IFERROR(CONCATENATE(TEXT(INDEX($Q$7:$Q$85,SMALL(IF($T$7:$T$85&lt;&gt;"",IF($Q$7:$Q$85&lt;&gt;"",ROW($Q$7:$Q$85)-MIN(ROW($Q$7:$Q$85))+1,""),""),ROW()-ROW(A$87)+1)),"##0")," "),"")</f>
        <v/>
      </c>
      <c r="S157" s="0" t="str">
        <f aca="false" t="array" ref="S157:S157">IFERROR(CONCATENATE((INDEX($A$7:$A$85,SMALL(IF($T$7:$T$85&lt;&gt;"",IF($Q$7:$Q$85&lt;&gt;"",ROW($Q$7:$Q$85)-MIN(ROW($Q$7:$Q$85))+1,""),""),ROW()-ROW(A$87)+1))),),"")</f>
        <v/>
      </c>
      <c r="W157" s="0" t="str">
        <f aca="false" t="array" ref="W157:W157">IFERROR(CONCATENATE((INDEX($Z$7:$Z$85,SMALL(IF($Z$7:$Z$85&lt;&gt;"",IF($W$7:$W$85&lt;&gt;"",ROW($W$7:$W$85)-MIN(ROW($W$7:$W$85))+1,""),""),ROW()-ROW(A$87)+1)))," "),"")</f>
        <v/>
      </c>
      <c r="X157" s="0" t="str">
        <f aca="false" t="array" ref="X157:X157">IFERROR(CONCATENATE(TEXT(INDEX($W$7:$W$85,SMALL(IF($Z$7:$Z$85&lt;&gt;"",IF($W$7:$W$85&lt;&gt;"",ROW($W$7:$W$85)-MIN(ROW($W$7:$W$85))+1,""),""),ROW()-ROW(A$87)+1)),"##0")," "),"")</f>
        <v/>
      </c>
      <c r="Y157" s="0" t="str">
        <f aca="false" t="array" ref="Y157:Y157">IFERROR(CONCATENATE((INDEX($A$7:$A$85,SMALL(IF($Z$7:$Z$85&lt;&gt;"",IF($W$7:$W$85&lt;&gt;"",ROW($W$7:$W$85)-MIN(ROW($W$7:$W$85))+1,""),""),ROW()-ROW(A$87)+1))),),"")</f>
        <v/>
      </c>
      <c r="AC157" s="0" t="str">
        <f aca="false" t="array" ref="AC157:AC157">IFERROR(CONCATENATE((INDEX($AF$7:$AF$85,SMALL(IF($AF$7:$AF$85&lt;&gt;"",IF($AC$7:$AC$85&lt;&gt;"",ROW($AC$7:$AC$85)-MIN(ROW($AC$7:$AC$85))+1,""),""),ROW()-ROW(A$87)+1))),","),"")</f>
        <v/>
      </c>
      <c r="AD157" s="0" t="str">
        <f aca="false" t="array" ref="AD157:AD157">IFERROR(CONCATENATE(TEXT(INDEX($AC$7:$AC$85,SMALL(IF($AF$7:$AF$85&lt;&gt;"",IF($AC$7:$AC$85&lt;&gt;"",ROW($AC$7:$AC$85)-MIN(ROW($AC$7:$AC$85))+1,""),""),ROW()-ROW(A$87)+1)),"##0"),","),"")</f>
        <v/>
      </c>
      <c r="AE157" s="0" t="str">
        <f aca="false" t="array" ref="AE157:AE157">IFERROR(CONCATENATE((INDEX($A$7:$A$85,SMALL(IF($AF$7:$AF$85&lt;&gt;"",IF($AC$7:$AC$85&lt;&gt;"",ROW($AC$7:$AC$85)-MIN(ROW($AC$7:$AC$85))+1,""),""),ROW()-ROW(A$87)+1))),),"")</f>
        <v/>
      </c>
      <c r="AI157" s="0" t="str">
        <f aca="false" t="array" ref="AI157:AI157">IFERROR(CONCATENATE((INDEX($AL$7:$AL$85,SMALL(IF($AL$7:$AL$85&lt;&gt;"",IF($AI$7:$AI$85&lt;&gt;"",ROW($AI$7:$AI$85)-MIN(ROW($AI$7:$AI$85))+1,""),""),ROW()-ROW(A$87)+1)))," "),"")</f>
        <v/>
      </c>
      <c r="AJ157" s="0" t="str">
        <f aca="false" t="array" ref="AJ157:AJ157">IFERROR(CONCATENATE(TEXT(INDEX($AI$7:$AI$85,SMALL(IF($AL$7:$AL$85&lt;&gt;"",IF($AI$7:$AI$85&lt;&gt;"",ROW($AI$7:$AI$85)-MIN(ROW($AI$7:$AI$85))+1,""),""),ROW()-ROW(A$87)+1)),"##0")," "),"")</f>
        <v/>
      </c>
      <c r="AK157" s="0" t="str">
        <f aca="false" t="array" ref="AK157:AK157">IFERROR(CONCATENATE((INDEX($A$7:$A$85,SMALL(IF($AL$7:$AL$85&lt;&gt;"",IF($AI$7:$AI$85&lt;&gt;"",ROW($AI$7:$AI$85)-MIN(ROW($AI$7:$AI$85))+1,""),""),ROW()-ROW(A$87)+1))),),"")</f>
        <v/>
      </c>
    </row>
    <row r="158" customFormat="false" ht="15" hidden="false" customHeight="false" outlineLevel="0" collapsed="false">
      <c r="K158" s="0" t="str">
        <f aca="false" t="array" ref="K158:K158">IFERROR(CONCATENATE(TEXT(INDEX($K$7:$K$85,SMALL(IF($N$7:$N$85&lt;&gt;"",IF($K$7:$K$85&lt;&gt;"",ROW($K$7:$K$85)-MIN(ROW($K$7:$K$85))+1,""),""),ROW()-ROW(A$87)+1)),"##0"),","),"")</f>
        <v/>
      </c>
      <c r="L158" s="0" t="str">
        <f aca="false" t="array" ref="L158:L158">IFERROR(CONCATENATE((INDEX($N$7:$N$85,SMALL(IF($N$7:$N$85&lt;&gt;"",IF($K$7:$K$85&lt;&gt;"",ROW($K$7:$K$85)-MIN(ROW($K$7:$K$85))+1,""),""),ROW()-ROW(A$87)+1))),","),"")</f>
        <v/>
      </c>
      <c r="M158" s="0" t="str">
        <f aca="false" t="array" ref="M158:M158">IFERROR(CONCATENATE((INDEX($A$7:$A$85,SMALL(IF($N$7:$N$85&lt;&gt;"",IF($K$7:$K$85&lt;&gt;"",ROW($K$7:$K$85)-MIN(ROW($K$7:$K$85))+1,""),""),ROW()-ROW(A$87)+1))),),"")</f>
        <v/>
      </c>
      <c r="Q158" s="0" t="str">
        <f aca="false" t="array" ref="Q158:Q158">IFERROR(CONCATENATE((INDEX($T$7:$T$85,SMALL(IF($T$7:$T$85&lt;&gt;"",IF($Q$7:$Q$85&lt;&gt;"",ROW($Q$7:$Q$85)-MIN(ROW($Q$7:$Q$85))+1,""),""),ROW()-ROW(A$87)+1)))," "),"")</f>
        <v/>
      </c>
      <c r="R158" s="0" t="str">
        <f aca="false" t="array" ref="R158:R158">IFERROR(CONCATENATE(TEXT(INDEX($Q$7:$Q$85,SMALL(IF($T$7:$T$85&lt;&gt;"",IF($Q$7:$Q$85&lt;&gt;"",ROW($Q$7:$Q$85)-MIN(ROW($Q$7:$Q$85))+1,""),""),ROW()-ROW(A$87)+1)),"##0")," "),"")</f>
        <v/>
      </c>
      <c r="S158" s="0" t="str">
        <f aca="false" t="array" ref="S158:S158">IFERROR(CONCATENATE((INDEX($A$7:$A$85,SMALL(IF($T$7:$T$85&lt;&gt;"",IF($Q$7:$Q$85&lt;&gt;"",ROW($Q$7:$Q$85)-MIN(ROW($Q$7:$Q$85))+1,""),""),ROW()-ROW(A$87)+1))),),"")</f>
        <v/>
      </c>
      <c r="W158" s="0" t="str">
        <f aca="false" t="array" ref="W158:W158">IFERROR(CONCATENATE((INDEX($Z$7:$Z$85,SMALL(IF($Z$7:$Z$85&lt;&gt;"",IF($W$7:$W$85&lt;&gt;"",ROW($W$7:$W$85)-MIN(ROW($W$7:$W$85))+1,""),""),ROW()-ROW(A$87)+1)))," "),"")</f>
        <v/>
      </c>
      <c r="X158" s="0" t="str">
        <f aca="false" t="array" ref="X158:X158">IFERROR(CONCATENATE(TEXT(INDEX($W$7:$W$85,SMALL(IF($Z$7:$Z$85&lt;&gt;"",IF($W$7:$W$85&lt;&gt;"",ROW($W$7:$W$85)-MIN(ROW($W$7:$W$85))+1,""),""),ROW()-ROW(A$87)+1)),"##0")," "),"")</f>
        <v/>
      </c>
      <c r="Y158" s="0" t="str">
        <f aca="false" t="array" ref="Y158:Y158">IFERROR(CONCATENATE((INDEX($A$7:$A$85,SMALL(IF($Z$7:$Z$85&lt;&gt;"",IF($W$7:$W$85&lt;&gt;"",ROW($W$7:$W$85)-MIN(ROW($W$7:$W$85))+1,""),""),ROW()-ROW(A$87)+1))),),"")</f>
        <v/>
      </c>
      <c r="AC158" s="0" t="str">
        <f aca="false" t="array" ref="AC158:AC158">IFERROR(CONCATENATE((INDEX($AF$7:$AF$85,SMALL(IF($AF$7:$AF$85&lt;&gt;"",IF($AC$7:$AC$85&lt;&gt;"",ROW($AC$7:$AC$85)-MIN(ROW($AC$7:$AC$85))+1,""),""),ROW()-ROW(A$87)+1))),","),"")</f>
        <v/>
      </c>
      <c r="AD158" s="0" t="str">
        <f aca="false" t="array" ref="AD158:AD158">IFERROR(CONCATENATE(TEXT(INDEX($AC$7:$AC$85,SMALL(IF($AF$7:$AF$85&lt;&gt;"",IF($AC$7:$AC$85&lt;&gt;"",ROW($AC$7:$AC$85)-MIN(ROW($AC$7:$AC$85))+1,""),""),ROW()-ROW(A$87)+1)),"##0"),","),"")</f>
        <v/>
      </c>
      <c r="AE158" s="0" t="str">
        <f aca="false" t="array" ref="AE158:AE158">IFERROR(CONCATENATE((INDEX($A$7:$A$85,SMALL(IF($AF$7:$AF$85&lt;&gt;"",IF($AC$7:$AC$85&lt;&gt;"",ROW($AC$7:$AC$85)-MIN(ROW($AC$7:$AC$85))+1,""),""),ROW()-ROW(A$87)+1))),),"")</f>
        <v/>
      </c>
      <c r="AI158" s="0" t="str">
        <f aca="false" t="array" ref="AI158:AI158">IFERROR(CONCATENATE((INDEX($AL$7:$AL$85,SMALL(IF($AL$7:$AL$85&lt;&gt;"",IF($AI$7:$AI$85&lt;&gt;"",ROW($AI$7:$AI$85)-MIN(ROW($AI$7:$AI$85))+1,""),""),ROW()-ROW(A$87)+1)))," "),"")</f>
        <v/>
      </c>
      <c r="AJ158" s="0" t="str">
        <f aca="false" t="array" ref="AJ158:AJ158">IFERROR(CONCATENATE(TEXT(INDEX($AI$7:$AI$85,SMALL(IF($AL$7:$AL$85&lt;&gt;"",IF($AI$7:$AI$85&lt;&gt;"",ROW($AI$7:$AI$85)-MIN(ROW($AI$7:$AI$85))+1,""),""),ROW()-ROW(A$87)+1)),"##0")," "),"")</f>
        <v/>
      </c>
      <c r="AK158" s="0" t="str">
        <f aca="false" t="array" ref="AK158:AK158">IFERROR(CONCATENATE((INDEX($A$7:$A$85,SMALL(IF($AL$7:$AL$85&lt;&gt;"",IF($AI$7:$AI$85&lt;&gt;"",ROW($AI$7:$AI$85)-MIN(ROW($AI$7:$AI$85))+1,""),""),ROW()-ROW(A$87)+1))),),"")</f>
        <v/>
      </c>
    </row>
    <row r="159" customFormat="false" ht="15" hidden="false" customHeight="false" outlineLevel="0" collapsed="false">
      <c r="K159" s="0" t="str">
        <f aca="false" t="array" ref="K159:K159">IFERROR(CONCATENATE(TEXT(INDEX($K$7:$K$85,SMALL(IF($N$7:$N$85&lt;&gt;"",IF($K$7:$K$85&lt;&gt;"",ROW($K$7:$K$85)-MIN(ROW($K$7:$K$85))+1,""),""),ROW()-ROW(A$87)+1)),"##0"),","),"")</f>
        <v/>
      </c>
      <c r="L159" s="0" t="str">
        <f aca="false" t="array" ref="L159:L159">IFERROR(CONCATENATE((INDEX($N$7:$N$85,SMALL(IF($N$7:$N$85&lt;&gt;"",IF($K$7:$K$85&lt;&gt;"",ROW($K$7:$K$85)-MIN(ROW($K$7:$K$85))+1,""),""),ROW()-ROW(A$87)+1))),","),"")</f>
        <v/>
      </c>
      <c r="M159" s="0" t="str">
        <f aca="false" t="array" ref="M159:M159">IFERROR(CONCATENATE((INDEX($A$7:$A$85,SMALL(IF($N$7:$N$85&lt;&gt;"",IF($K$7:$K$85&lt;&gt;"",ROW($K$7:$K$85)-MIN(ROW($K$7:$K$85))+1,""),""),ROW()-ROW(A$87)+1))),),"")</f>
        <v/>
      </c>
      <c r="Q159" s="0" t="str">
        <f aca="false" t="array" ref="Q159:Q159">IFERROR(CONCATENATE((INDEX($T$7:$T$85,SMALL(IF($T$7:$T$85&lt;&gt;"",IF($Q$7:$Q$85&lt;&gt;"",ROW($Q$7:$Q$85)-MIN(ROW($Q$7:$Q$85))+1,""),""),ROW()-ROW(A$87)+1)))," "),"")</f>
        <v/>
      </c>
      <c r="R159" s="0" t="str">
        <f aca="false" t="array" ref="R159:R159">IFERROR(CONCATENATE(TEXT(INDEX($Q$7:$Q$85,SMALL(IF($T$7:$T$85&lt;&gt;"",IF($Q$7:$Q$85&lt;&gt;"",ROW($Q$7:$Q$85)-MIN(ROW($Q$7:$Q$85))+1,""),""),ROW()-ROW(A$87)+1)),"##0")," "),"")</f>
        <v/>
      </c>
      <c r="S159" s="0" t="str">
        <f aca="false" t="array" ref="S159:S159">IFERROR(CONCATENATE((INDEX($A$7:$A$85,SMALL(IF($T$7:$T$85&lt;&gt;"",IF($Q$7:$Q$85&lt;&gt;"",ROW($Q$7:$Q$85)-MIN(ROW($Q$7:$Q$85))+1,""),""),ROW()-ROW(A$87)+1))),),"")</f>
        <v/>
      </c>
      <c r="W159" s="0" t="str">
        <f aca="false" t="array" ref="W159:W159">IFERROR(CONCATENATE((INDEX($Z$7:$Z$85,SMALL(IF($Z$7:$Z$85&lt;&gt;"",IF($W$7:$W$85&lt;&gt;"",ROW($W$7:$W$85)-MIN(ROW($W$7:$W$85))+1,""),""),ROW()-ROW(A$87)+1)))," "),"")</f>
        <v/>
      </c>
      <c r="X159" s="0" t="str">
        <f aca="false" t="array" ref="X159:X159">IFERROR(CONCATENATE(TEXT(INDEX($W$7:$W$85,SMALL(IF($Z$7:$Z$85&lt;&gt;"",IF($W$7:$W$85&lt;&gt;"",ROW($W$7:$W$85)-MIN(ROW($W$7:$W$85))+1,""),""),ROW()-ROW(A$87)+1)),"##0")," "),"")</f>
        <v/>
      </c>
      <c r="Y159" s="0" t="str">
        <f aca="false" t="array" ref="Y159:Y159">IFERROR(CONCATENATE((INDEX($A$7:$A$85,SMALL(IF($Z$7:$Z$85&lt;&gt;"",IF($W$7:$W$85&lt;&gt;"",ROW($W$7:$W$85)-MIN(ROW($W$7:$W$85))+1,""),""),ROW()-ROW(A$87)+1))),),"")</f>
        <v/>
      </c>
      <c r="AC159" s="0" t="str">
        <f aca="false" t="array" ref="AC159:AC159">IFERROR(CONCATENATE((INDEX($AF$7:$AF$85,SMALL(IF($AF$7:$AF$85&lt;&gt;"",IF($AC$7:$AC$85&lt;&gt;"",ROW($AC$7:$AC$85)-MIN(ROW($AC$7:$AC$85))+1,""),""),ROW()-ROW(A$87)+1))),","),"")</f>
        <v/>
      </c>
      <c r="AD159" s="0" t="str">
        <f aca="false" t="array" ref="AD159:AD159">IFERROR(CONCATENATE(TEXT(INDEX($AC$7:$AC$85,SMALL(IF($AF$7:$AF$85&lt;&gt;"",IF($AC$7:$AC$85&lt;&gt;"",ROW($AC$7:$AC$85)-MIN(ROW($AC$7:$AC$85))+1,""),""),ROW()-ROW(A$87)+1)),"##0"),","),"")</f>
        <v/>
      </c>
      <c r="AE159" s="0" t="str">
        <f aca="false" t="array" ref="AE159:AE159">IFERROR(CONCATENATE((INDEX($A$7:$A$85,SMALL(IF($AF$7:$AF$85&lt;&gt;"",IF($AC$7:$AC$85&lt;&gt;"",ROW($AC$7:$AC$85)-MIN(ROW($AC$7:$AC$85))+1,""),""),ROW()-ROW(A$87)+1))),),"")</f>
        <v/>
      </c>
      <c r="AI159" s="0" t="str">
        <f aca="false" t="array" ref="AI159:AI159">IFERROR(CONCATENATE((INDEX($AL$7:$AL$85,SMALL(IF($AL$7:$AL$85&lt;&gt;"",IF($AI$7:$AI$85&lt;&gt;"",ROW($AI$7:$AI$85)-MIN(ROW($AI$7:$AI$85))+1,""),""),ROW()-ROW(A$87)+1)))," "),"")</f>
        <v/>
      </c>
      <c r="AJ159" s="0" t="str">
        <f aca="false" t="array" ref="AJ159:AJ159">IFERROR(CONCATENATE(TEXT(INDEX($AI$7:$AI$85,SMALL(IF($AL$7:$AL$85&lt;&gt;"",IF($AI$7:$AI$85&lt;&gt;"",ROW($AI$7:$AI$85)-MIN(ROW($AI$7:$AI$85))+1,""),""),ROW()-ROW(A$87)+1)),"##0")," "),"")</f>
        <v/>
      </c>
      <c r="AK159" s="0" t="str">
        <f aca="false" t="array" ref="AK159:AK159">IFERROR(CONCATENATE((INDEX($A$7:$A$85,SMALL(IF($AL$7:$AL$85&lt;&gt;"",IF($AI$7:$AI$85&lt;&gt;"",ROW($AI$7:$AI$85)-MIN(ROW($AI$7:$AI$85))+1,""),""),ROW()-ROW(A$87)+1))),),"")</f>
        <v/>
      </c>
    </row>
    <row r="160" customFormat="false" ht="15" hidden="false" customHeight="false" outlineLevel="0" collapsed="false">
      <c r="K160" s="0" t="str">
        <f aca="false" t="array" ref="K160:K160">IFERROR(CONCATENATE(TEXT(INDEX($K$7:$K$85,SMALL(IF($N$7:$N$85&lt;&gt;"",IF($K$7:$K$85&lt;&gt;"",ROW($K$7:$K$85)-MIN(ROW($K$7:$K$85))+1,""),""),ROW()-ROW(A$87)+1)),"##0"),","),"")</f>
        <v/>
      </c>
      <c r="L160" s="0" t="str">
        <f aca="false" t="array" ref="L160:L160">IFERROR(CONCATENATE((INDEX($N$7:$N$85,SMALL(IF($N$7:$N$85&lt;&gt;"",IF($K$7:$K$85&lt;&gt;"",ROW($K$7:$K$85)-MIN(ROW($K$7:$K$85))+1,""),""),ROW()-ROW(A$87)+1))),","),"")</f>
        <v/>
      </c>
      <c r="M160" s="0" t="str">
        <f aca="false" t="array" ref="M160:M160">IFERROR(CONCATENATE((INDEX($A$7:$A$85,SMALL(IF($N$7:$N$85&lt;&gt;"",IF($K$7:$K$85&lt;&gt;"",ROW($K$7:$K$85)-MIN(ROW($K$7:$K$85))+1,""),""),ROW()-ROW(A$87)+1))),),"")</f>
        <v/>
      </c>
      <c r="Q160" s="0" t="str">
        <f aca="false" t="array" ref="Q160:Q160">IFERROR(CONCATENATE((INDEX($T$7:$T$85,SMALL(IF($T$7:$T$85&lt;&gt;"",IF($Q$7:$Q$85&lt;&gt;"",ROW($Q$7:$Q$85)-MIN(ROW($Q$7:$Q$85))+1,""),""),ROW()-ROW(A$87)+1)))," "),"")</f>
        <v/>
      </c>
      <c r="R160" s="0" t="str">
        <f aca="false" t="array" ref="R160:R160">IFERROR(CONCATENATE(TEXT(INDEX($Q$7:$Q$85,SMALL(IF($T$7:$T$85&lt;&gt;"",IF($Q$7:$Q$85&lt;&gt;"",ROW($Q$7:$Q$85)-MIN(ROW($Q$7:$Q$85))+1,""),""),ROW()-ROW(A$87)+1)),"##0")," "),"")</f>
        <v/>
      </c>
      <c r="S160" s="0" t="str">
        <f aca="false" t="array" ref="S160:S160">IFERROR(CONCATENATE((INDEX($A$7:$A$85,SMALL(IF($T$7:$T$85&lt;&gt;"",IF($Q$7:$Q$85&lt;&gt;"",ROW($Q$7:$Q$85)-MIN(ROW($Q$7:$Q$85))+1,""),""),ROW()-ROW(A$87)+1))),),"")</f>
        <v/>
      </c>
      <c r="W160" s="0" t="str">
        <f aca="false" t="array" ref="W160:W160">IFERROR(CONCATENATE((INDEX($Z$7:$Z$85,SMALL(IF($Z$7:$Z$85&lt;&gt;"",IF($W$7:$W$85&lt;&gt;"",ROW($W$7:$W$85)-MIN(ROW($W$7:$W$85))+1,""),""),ROW()-ROW(A$87)+1)))," "),"")</f>
        <v/>
      </c>
      <c r="X160" s="0" t="str">
        <f aca="false" t="array" ref="X160:X160">IFERROR(CONCATENATE(TEXT(INDEX($W$7:$W$85,SMALL(IF($Z$7:$Z$85&lt;&gt;"",IF($W$7:$W$85&lt;&gt;"",ROW($W$7:$W$85)-MIN(ROW($W$7:$W$85))+1,""),""),ROW()-ROW(A$87)+1)),"##0")," "),"")</f>
        <v/>
      </c>
      <c r="Y160" s="0" t="str">
        <f aca="false" t="array" ref="Y160:Y160">IFERROR(CONCATENATE((INDEX($A$7:$A$85,SMALL(IF($Z$7:$Z$85&lt;&gt;"",IF($W$7:$W$85&lt;&gt;"",ROW($W$7:$W$85)-MIN(ROW($W$7:$W$85))+1,""),""),ROW()-ROW(A$87)+1))),),"")</f>
        <v/>
      </c>
      <c r="AC160" s="0" t="str">
        <f aca="false" t="array" ref="AC160:AC160">IFERROR(CONCATENATE((INDEX($AF$7:$AF$85,SMALL(IF($AF$7:$AF$85&lt;&gt;"",IF($AC$7:$AC$85&lt;&gt;"",ROW($AC$7:$AC$85)-MIN(ROW($AC$7:$AC$85))+1,""),""),ROW()-ROW(A$87)+1))),","),"")</f>
        <v/>
      </c>
      <c r="AD160" s="0" t="str">
        <f aca="false" t="array" ref="AD160:AD160">IFERROR(CONCATENATE(TEXT(INDEX($AC$7:$AC$85,SMALL(IF($AF$7:$AF$85&lt;&gt;"",IF($AC$7:$AC$85&lt;&gt;"",ROW($AC$7:$AC$85)-MIN(ROW($AC$7:$AC$85))+1,""),""),ROW()-ROW(A$87)+1)),"##0"),","),"")</f>
        <v/>
      </c>
      <c r="AE160" s="0" t="str">
        <f aca="false" t="array" ref="AE160:AE160">IFERROR(CONCATENATE((INDEX($A$7:$A$85,SMALL(IF($AF$7:$AF$85&lt;&gt;"",IF($AC$7:$AC$85&lt;&gt;"",ROW($AC$7:$AC$85)-MIN(ROW($AC$7:$AC$85))+1,""),""),ROW()-ROW(A$87)+1))),),"")</f>
        <v/>
      </c>
      <c r="AI160" s="0" t="str">
        <f aca="false" t="array" ref="AI160:AI160">IFERROR(CONCATENATE((INDEX($AL$7:$AL$85,SMALL(IF($AL$7:$AL$85&lt;&gt;"",IF($AI$7:$AI$85&lt;&gt;"",ROW($AI$7:$AI$85)-MIN(ROW($AI$7:$AI$85))+1,""),""),ROW()-ROW(A$87)+1)))," "),"")</f>
        <v/>
      </c>
      <c r="AJ160" s="0" t="str">
        <f aca="false" t="array" ref="AJ160:AJ160">IFERROR(CONCATENATE(TEXT(INDEX($AI$7:$AI$85,SMALL(IF($AL$7:$AL$85&lt;&gt;"",IF($AI$7:$AI$85&lt;&gt;"",ROW($AI$7:$AI$85)-MIN(ROW($AI$7:$AI$85))+1,""),""),ROW()-ROW(A$87)+1)),"##0")," "),"")</f>
        <v/>
      </c>
      <c r="AK160" s="0" t="str">
        <f aca="false" t="array" ref="AK160:AK160">IFERROR(CONCATENATE((INDEX($A$7:$A$85,SMALL(IF($AL$7:$AL$85&lt;&gt;"",IF($AI$7:$AI$85&lt;&gt;"",ROW($AI$7:$AI$85)-MIN(ROW($AI$7:$AI$85))+1,""),""),ROW()-ROW(A$87)+1))),),"")</f>
        <v/>
      </c>
    </row>
    <row r="161" customFormat="false" ht="15" hidden="false" customHeight="false" outlineLevel="0" collapsed="false">
      <c r="K161" s="0" t="str">
        <f aca="false" t="array" ref="K161:K161">IFERROR(CONCATENATE(TEXT(INDEX($K$7:$K$85,SMALL(IF($N$7:$N$85&lt;&gt;"",IF($K$7:$K$85&lt;&gt;"",ROW($K$7:$K$85)-MIN(ROW($K$7:$K$85))+1,""),""),ROW()-ROW(A$87)+1)),"##0"),","),"")</f>
        <v/>
      </c>
      <c r="L161" s="0" t="str">
        <f aca="false" t="array" ref="L161:L161">IFERROR(CONCATENATE((INDEX($N$7:$N$85,SMALL(IF($N$7:$N$85&lt;&gt;"",IF($K$7:$K$85&lt;&gt;"",ROW($K$7:$K$85)-MIN(ROW($K$7:$K$85))+1,""),""),ROW()-ROW(A$87)+1))),","),"")</f>
        <v/>
      </c>
      <c r="M161" s="0" t="str">
        <f aca="false" t="array" ref="M161:M161">IFERROR(CONCATENATE((INDEX($A$7:$A$85,SMALL(IF($N$7:$N$85&lt;&gt;"",IF($K$7:$K$85&lt;&gt;"",ROW($K$7:$K$85)-MIN(ROW($K$7:$K$85))+1,""),""),ROW()-ROW(A$87)+1))),),"")</f>
        <v/>
      </c>
      <c r="Q161" s="0" t="str">
        <f aca="false" t="array" ref="Q161:Q161">IFERROR(CONCATENATE((INDEX($T$7:$T$85,SMALL(IF($T$7:$T$85&lt;&gt;"",IF($Q$7:$Q$85&lt;&gt;"",ROW($Q$7:$Q$85)-MIN(ROW($Q$7:$Q$85))+1,""),""),ROW()-ROW(A$87)+1)))," "),"")</f>
        <v/>
      </c>
      <c r="R161" s="0" t="str">
        <f aca="false" t="array" ref="R161:R161">IFERROR(CONCATENATE(TEXT(INDEX($Q$7:$Q$85,SMALL(IF($T$7:$T$85&lt;&gt;"",IF($Q$7:$Q$85&lt;&gt;"",ROW($Q$7:$Q$85)-MIN(ROW($Q$7:$Q$85))+1,""),""),ROW()-ROW(A$87)+1)),"##0")," "),"")</f>
        <v/>
      </c>
      <c r="S161" s="0" t="str">
        <f aca="false" t="array" ref="S161:S161">IFERROR(CONCATENATE((INDEX($A$7:$A$85,SMALL(IF($T$7:$T$85&lt;&gt;"",IF($Q$7:$Q$85&lt;&gt;"",ROW($Q$7:$Q$85)-MIN(ROW($Q$7:$Q$85))+1,""),""),ROW()-ROW(A$87)+1))),),"")</f>
        <v/>
      </c>
      <c r="W161" s="0" t="str">
        <f aca="false" t="array" ref="W161:W161">IFERROR(CONCATENATE((INDEX($Z$7:$Z$85,SMALL(IF($Z$7:$Z$85&lt;&gt;"",IF($W$7:$W$85&lt;&gt;"",ROW($W$7:$W$85)-MIN(ROW($W$7:$W$85))+1,""),""),ROW()-ROW(A$87)+1)))," "),"")</f>
        <v/>
      </c>
      <c r="X161" s="0" t="str">
        <f aca="false" t="array" ref="X161:X161">IFERROR(CONCATENATE(TEXT(INDEX($W$7:$W$85,SMALL(IF($Z$7:$Z$85&lt;&gt;"",IF($W$7:$W$85&lt;&gt;"",ROW($W$7:$W$85)-MIN(ROW($W$7:$W$85))+1,""),""),ROW()-ROW(A$87)+1)),"##0")," "),"")</f>
        <v/>
      </c>
      <c r="Y161" s="0" t="str">
        <f aca="false" t="array" ref="Y161:Y161">IFERROR(CONCATENATE((INDEX($A$7:$A$85,SMALL(IF($Z$7:$Z$85&lt;&gt;"",IF($W$7:$W$85&lt;&gt;"",ROW($W$7:$W$85)-MIN(ROW($W$7:$W$85))+1,""),""),ROW()-ROW(A$87)+1))),),"")</f>
        <v/>
      </c>
      <c r="AC161" s="0" t="str">
        <f aca="false" t="array" ref="AC161:AC161">IFERROR(CONCATENATE((INDEX($AF$7:$AF$85,SMALL(IF($AF$7:$AF$85&lt;&gt;"",IF($AC$7:$AC$85&lt;&gt;"",ROW($AC$7:$AC$85)-MIN(ROW($AC$7:$AC$85))+1,""),""),ROW()-ROW(A$87)+1))),","),"")</f>
        <v/>
      </c>
      <c r="AD161" s="0" t="str">
        <f aca="false" t="array" ref="AD161:AD161">IFERROR(CONCATENATE(TEXT(INDEX($AC$7:$AC$85,SMALL(IF($AF$7:$AF$85&lt;&gt;"",IF($AC$7:$AC$85&lt;&gt;"",ROW($AC$7:$AC$85)-MIN(ROW($AC$7:$AC$85))+1,""),""),ROW()-ROW(A$87)+1)),"##0"),","),"")</f>
        <v/>
      </c>
      <c r="AE161" s="0" t="str">
        <f aca="false" t="array" ref="AE161:AE161">IFERROR(CONCATENATE((INDEX($A$7:$A$85,SMALL(IF($AF$7:$AF$85&lt;&gt;"",IF($AC$7:$AC$85&lt;&gt;"",ROW($AC$7:$AC$85)-MIN(ROW($AC$7:$AC$85))+1,""),""),ROW()-ROW(A$87)+1))),),"")</f>
        <v/>
      </c>
      <c r="AI161" s="0" t="str">
        <f aca="false" t="array" ref="AI161:AI161">IFERROR(CONCATENATE((INDEX($AL$7:$AL$85,SMALL(IF($AL$7:$AL$85&lt;&gt;"",IF($AI$7:$AI$85&lt;&gt;"",ROW($AI$7:$AI$85)-MIN(ROW($AI$7:$AI$85))+1,""),""),ROW()-ROW(A$87)+1)))," "),"")</f>
        <v/>
      </c>
      <c r="AJ161" s="0" t="str">
        <f aca="false" t="array" ref="AJ161:AJ161">IFERROR(CONCATENATE(TEXT(INDEX($AI$7:$AI$85,SMALL(IF($AL$7:$AL$85&lt;&gt;"",IF($AI$7:$AI$85&lt;&gt;"",ROW($AI$7:$AI$85)-MIN(ROW($AI$7:$AI$85))+1,""),""),ROW()-ROW(A$87)+1)),"##0")," "),"")</f>
        <v/>
      </c>
      <c r="AK161" s="0" t="str">
        <f aca="false" t="array" ref="AK161:AK161">IFERROR(CONCATENATE((INDEX($A$7:$A$85,SMALL(IF($AL$7:$AL$85&lt;&gt;"",IF($AI$7:$AI$85&lt;&gt;"",ROW($AI$7:$AI$85)-MIN(ROW($AI$7:$AI$85))+1,""),""),ROW()-ROW(A$87)+1))),),"")</f>
        <v/>
      </c>
    </row>
    <row r="162" customFormat="false" ht="15" hidden="false" customHeight="false" outlineLevel="0" collapsed="false">
      <c r="K162" s="0" t="str">
        <f aca="false" t="array" ref="K162:K162">IFERROR(CONCATENATE(TEXT(INDEX($K$7:$K$85,SMALL(IF($N$7:$N$85&lt;&gt;"",IF($K$7:$K$85&lt;&gt;"",ROW($K$7:$K$85)-MIN(ROW($K$7:$K$85))+1,""),""),ROW()-ROW(A$87)+1)),"##0"),","),"")</f>
        <v/>
      </c>
      <c r="L162" s="0" t="str">
        <f aca="false" t="array" ref="L162:L162">IFERROR(CONCATENATE((INDEX($N$7:$N$85,SMALL(IF($N$7:$N$85&lt;&gt;"",IF($K$7:$K$85&lt;&gt;"",ROW($K$7:$K$85)-MIN(ROW($K$7:$K$85))+1,""),""),ROW()-ROW(A$87)+1))),","),"")</f>
        <v/>
      </c>
      <c r="M162" s="0" t="str">
        <f aca="false" t="array" ref="M162:M162">IFERROR(CONCATENATE((INDEX($A$7:$A$85,SMALL(IF($N$7:$N$85&lt;&gt;"",IF($K$7:$K$85&lt;&gt;"",ROW($K$7:$K$85)-MIN(ROW($K$7:$K$85))+1,""),""),ROW()-ROW(A$87)+1))),),"")</f>
        <v/>
      </c>
      <c r="Q162" s="0" t="str">
        <f aca="false" t="array" ref="Q162:Q162">IFERROR(CONCATENATE((INDEX($T$7:$T$85,SMALL(IF($T$7:$T$85&lt;&gt;"",IF($Q$7:$Q$85&lt;&gt;"",ROW($Q$7:$Q$85)-MIN(ROW($Q$7:$Q$85))+1,""),""),ROW()-ROW(A$87)+1)))," "),"")</f>
        <v/>
      </c>
      <c r="R162" s="0" t="str">
        <f aca="false" t="array" ref="R162:R162">IFERROR(CONCATENATE(TEXT(INDEX($Q$7:$Q$85,SMALL(IF($T$7:$T$85&lt;&gt;"",IF($Q$7:$Q$85&lt;&gt;"",ROW($Q$7:$Q$85)-MIN(ROW($Q$7:$Q$85))+1,""),""),ROW()-ROW(A$87)+1)),"##0")," "),"")</f>
        <v/>
      </c>
      <c r="S162" s="0" t="str">
        <f aca="false" t="array" ref="S162:S162">IFERROR(CONCATENATE((INDEX($A$7:$A$85,SMALL(IF($T$7:$T$85&lt;&gt;"",IF($Q$7:$Q$85&lt;&gt;"",ROW($Q$7:$Q$85)-MIN(ROW($Q$7:$Q$85))+1,""),""),ROW()-ROW(A$87)+1))),),"")</f>
        <v/>
      </c>
      <c r="W162" s="0" t="str">
        <f aca="false" t="array" ref="W162:W162">IFERROR(CONCATENATE((INDEX($Z$7:$Z$85,SMALL(IF($Z$7:$Z$85&lt;&gt;"",IF($W$7:$W$85&lt;&gt;"",ROW($W$7:$W$85)-MIN(ROW($W$7:$W$85))+1,""),""),ROW()-ROW(A$87)+1)))," "),"")</f>
        <v/>
      </c>
      <c r="X162" s="0" t="str">
        <f aca="false" t="array" ref="X162:X162">IFERROR(CONCATENATE(TEXT(INDEX($W$7:$W$85,SMALL(IF($Z$7:$Z$85&lt;&gt;"",IF($W$7:$W$85&lt;&gt;"",ROW($W$7:$W$85)-MIN(ROW($W$7:$W$85))+1,""),""),ROW()-ROW(A$87)+1)),"##0")," "),"")</f>
        <v/>
      </c>
      <c r="Y162" s="0" t="str">
        <f aca="false" t="array" ref="Y162:Y162">IFERROR(CONCATENATE((INDEX($A$7:$A$85,SMALL(IF($Z$7:$Z$85&lt;&gt;"",IF($W$7:$W$85&lt;&gt;"",ROW($W$7:$W$85)-MIN(ROW($W$7:$W$85))+1,""),""),ROW()-ROW(A$87)+1))),),"")</f>
        <v/>
      </c>
      <c r="AC162" s="0" t="str">
        <f aca="false" t="array" ref="AC162:AC162">IFERROR(CONCATENATE((INDEX($AF$7:$AF$85,SMALL(IF($AF$7:$AF$85&lt;&gt;"",IF($AC$7:$AC$85&lt;&gt;"",ROW($AC$7:$AC$85)-MIN(ROW($AC$7:$AC$85))+1,""),""),ROW()-ROW(A$87)+1))),","),"")</f>
        <v/>
      </c>
      <c r="AD162" s="0" t="str">
        <f aca="false" t="array" ref="AD162:AD162">IFERROR(CONCATENATE(TEXT(INDEX($AC$7:$AC$85,SMALL(IF($AF$7:$AF$85&lt;&gt;"",IF($AC$7:$AC$85&lt;&gt;"",ROW($AC$7:$AC$85)-MIN(ROW($AC$7:$AC$85))+1,""),""),ROW()-ROW(A$87)+1)),"##0"),","),"")</f>
        <v/>
      </c>
      <c r="AE162" s="0" t="str">
        <f aca="false" t="array" ref="AE162:AE162">IFERROR(CONCATENATE((INDEX($A$7:$A$85,SMALL(IF($AF$7:$AF$85&lt;&gt;"",IF($AC$7:$AC$85&lt;&gt;"",ROW($AC$7:$AC$85)-MIN(ROW($AC$7:$AC$85))+1,""),""),ROW()-ROW(A$87)+1))),),"")</f>
        <v/>
      </c>
      <c r="AI162" s="0" t="str">
        <f aca="false" t="array" ref="AI162:AI162">IFERROR(CONCATENATE((INDEX($AL$7:$AL$85,SMALL(IF($AL$7:$AL$85&lt;&gt;"",IF($AI$7:$AI$85&lt;&gt;"",ROW($AI$7:$AI$85)-MIN(ROW($AI$7:$AI$85))+1,""),""),ROW()-ROW(A$87)+1)))," "),"")</f>
        <v/>
      </c>
      <c r="AJ162" s="0" t="str">
        <f aca="false" t="array" ref="AJ162:AJ162">IFERROR(CONCATENATE(TEXT(INDEX($AI$7:$AI$85,SMALL(IF($AL$7:$AL$85&lt;&gt;"",IF($AI$7:$AI$85&lt;&gt;"",ROW($AI$7:$AI$85)-MIN(ROW($AI$7:$AI$85))+1,""),""),ROW()-ROW(A$87)+1)),"##0")," "),"")</f>
        <v/>
      </c>
      <c r="AK162" s="0" t="str">
        <f aca="false" t="array" ref="AK162:AK162">IFERROR(CONCATENATE((INDEX($A$7:$A$85,SMALL(IF($AL$7:$AL$85&lt;&gt;"",IF($AI$7:$AI$85&lt;&gt;"",ROW($AI$7:$AI$85)-MIN(ROW($AI$7:$AI$85))+1,""),""),ROW()-ROW(A$87)+1))),),"")</f>
        <v/>
      </c>
    </row>
    <row r="163" customFormat="false" ht="15" hidden="false" customHeight="false" outlineLevel="0" collapsed="false">
      <c r="K163" s="0" t="str">
        <f aca="false" t="array" ref="K163:K163">IFERROR(CONCATENATE(TEXT(INDEX($K$7:$K$85,SMALL(IF($N$7:$N$85&lt;&gt;"",IF($K$7:$K$85&lt;&gt;"",ROW($K$7:$K$85)-MIN(ROW($K$7:$K$85))+1,""),""),ROW()-ROW(A$87)+1)),"##0"),","),"")</f>
        <v/>
      </c>
      <c r="L163" s="0" t="str">
        <f aca="false" t="array" ref="L163:L163">IFERROR(CONCATENATE((INDEX($N$7:$N$85,SMALL(IF($N$7:$N$85&lt;&gt;"",IF($K$7:$K$85&lt;&gt;"",ROW($K$7:$K$85)-MIN(ROW($K$7:$K$85))+1,""),""),ROW()-ROW(A$87)+1))),","),"")</f>
        <v/>
      </c>
      <c r="M163" s="0" t="str">
        <f aca="false" t="array" ref="M163:M163">IFERROR(CONCATENATE((INDEX($A$7:$A$85,SMALL(IF($N$7:$N$85&lt;&gt;"",IF($K$7:$K$85&lt;&gt;"",ROW($K$7:$K$85)-MIN(ROW($K$7:$K$85))+1,""),""),ROW()-ROW(A$87)+1))),),"")</f>
        <v/>
      </c>
      <c r="Q163" s="0" t="str">
        <f aca="false" t="array" ref="Q163:Q163">IFERROR(CONCATENATE((INDEX($T$7:$T$85,SMALL(IF($T$7:$T$85&lt;&gt;"",IF($Q$7:$Q$85&lt;&gt;"",ROW($Q$7:$Q$85)-MIN(ROW($Q$7:$Q$85))+1,""),""),ROW()-ROW(A$87)+1)))," "),"")</f>
        <v/>
      </c>
      <c r="R163" s="0" t="str">
        <f aca="false" t="array" ref="R163:R163">IFERROR(CONCATENATE(TEXT(INDEX($Q$7:$Q$85,SMALL(IF($T$7:$T$85&lt;&gt;"",IF($Q$7:$Q$85&lt;&gt;"",ROW($Q$7:$Q$85)-MIN(ROW($Q$7:$Q$85))+1,""),""),ROW()-ROW(A$87)+1)),"##0")," "),"")</f>
        <v/>
      </c>
      <c r="S163" s="0" t="str">
        <f aca="false" t="array" ref="S163:S163">IFERROR(CONCATENATE((INDEX($A$7:$A$85,SMALL(IF($T$7:$T$85&lt;&gt;"",IF($Q$7:$Q$85&lt;&gt;"",ROW($Q$7:$Q$85)-MIN(ROW($Q$7:$Q$85))+1,""),""),ROW()-ROW(A$87)+1))),),"")</f>
        <v/>
      </c>
      <c r="W163" s="0" t="str">
        <f aca="false" t="array" ref="W163:W163">IFERROR(CONCATENATE((INDEX($Z$7:$Z$85,SMALL(IF($Z$7:$Z$85&lt;&gt;"",IF($W$7:$W$85&lt;&gt;"",ROW($W$7:$W$85)-MIN(ROW($W$7:$W$85))+1,""),""),ROW()-ROW(A$87)+1)))," "),"")</f>
        <v/>
      </c>
      <c r="X163" s="0" t="str">
        <f aca="false" t="array" ref="X163:X163">IFERROR(CONCATENATE(TEXT(INDEX($W$7:$W$85,SMALL(IF($Z$7:$Z$85&lt;&gt;"",IF($W$7:$W$85&lt;&gt;"",ROW($W$7:$W$85)-MIN(ROW($W$7:$W$85))+1,""),""),ROW()-ROW(A$87)+1)),"##0")," "),"")</f>
        <v/>
      </c>
      <c r="Y163" s="0" t="str">
        <f aca="false" t="array" ref="Y163:Y163">IFERROR(CONCATENATE((INDEX($A$7:$A$85,SMALL(IF($Z$7:$Z$85&lt;&gt;"",IF($W$7:$W$85&lt;&gt;"",ROW($W$7:$W$85)-MIN(ROW($W$7:$W$85))+1,""),""),ROW()-ROW(A$87)+1))),),"")</f>
        <v/>
      </c>
      <c r="AC163" s="0" t="str">
        <f aca="false" t="array" ref="AC163:AC163">IFERROR(CONCATENATE((INDEX($AF$7:$AF$85,SMALL(IF($AF$7:$AF$85&lt;&gt;"",IF($AC$7:$AC$85&lt;&gt;"",ROW($AC$7:$AC$85)-MIN(ROW($AC$7:$AC$85))+1,""),""),ROW()-ROW(A$87)+1))),","),"")</f>
        <v/>
      </c>
      <c r="AD163" s="0" t="str">
        <f aca="false" t="array" ref="AD163:AD163">IFERROR(CONCATENATE(TEXT(INDEX($AC$7:$AC$85,SMALL(IF($AF$7:$AF$85&lt;&gt;"",IF($AC$7:$AC$85&lt;&gt;"",ROW($AC$7:$AC$85)-MIN(ROW($AC$7:$AC$85))+1,""),""),ROW()-ROW(A$87)+1)),"##0"),","),"")</f>
        <v/>
      </c>
      <c r="AE163" s="0" t="str">
        <f aca="false" t="array" ref="AE163:AE163">IFERROR(CONCATENATE((INDEX($A$7:$A$85,SMALL(IF($AF$7:$AF$85&lt;&gt;"",IF($AC$7:$AC$85&lt;&gt;"",ROW($AC$7:$AC$85)-MIN(ROW($AC$7:$AC$85))+1,""),""),ROW()-ROW(A$87)+1))),),"")</f>
        <v/>
      </c>
      <c r="AI163" s="0" t="str">
        <f aca="false" t="array" ref="AI163:AI163">IFERROR(CONCATENATE((INDEX($AL$7:$AL$85,SMALL(IF($AL$7:$AL$85&lt;&gt;"",IF($AI$7:$AI$85&lt;&gt;"",ROW($AI$7:$AI$85)-MIN(ROW($AI$7:$AI$85))+1,""),""),ROW()-ROW(A$87)+1)))," "),"")</f>
        <v/>
      </c>
      <c r="AJ163" s="0" t="str">
        <f aca="false" t="array" ref="AJ163:AJ163">IFERROR(CONCATENATE(TEXT(INDEX($AI$7:$AI$85,SMALL(IF($AL$7:$AL$85&lt;&gt;"",IF($AI$7:$AI$85&lt;&gt;"",ROW($AI$7:$AI$85)-MIN(ROW($AI$7:$AI$85))+1,""),""),ROW()-ROW(A$87)+1)),"##0")," "),"")</f>
        <v/>
      </c>
      <c r="AK163" s="0" t="str">
        <f aca="false" t="array" ref="AK163:AK163">IFERROR(CONCATENATE((INDEX($A$7:$A$85,SMALL(IF($AL$7:$AL$85&lt;&gt;"",IF($AI$7:$AI$85&lt;&gt;"",ROW($AI$7:$AI$85)-MIN(ROW($AI$7:$AI$85))+1,""),""),ROW()-ROW(A$87)+1))),),"")</f>
        <v/>
      </c>
    </row>
    <row r="164" customFormat="false" ht="15" hidden="false" customHeight="false" outlineLevel="0" collapsed="false">
      <c r="K164" s="0" t="str">
        <f aca="false" t="array" ref="K164:K164">IFERROR(CONCATENATE(TEXT(INDEX($K$7:$K$85,SMALL(IF($N$7:$N$85&lt;&gt;"",IF($K$7:$K$85&lt;&gt;"",ROW($K$7:$K$85)-MIN(ROW($K$7:$K$85))+1,""),""),ROW()-ROW(A$87)+1)),"##0"),","),"")</f>
        <v/>
      </c>
      <c r="L164" s="0" t="str">
        <f aca="false" t="array" ref="L164:L164">IFERROR(CONCATENATE((INDEX($N$7:$N$85,SMALL(IF($N$7:$N$85&lt;&gt;"",IF($K$7:$K$85&lt;&gt;"",ROW($K$7:$K$85)-MIN(ROW($K$7:$K$85))+1,""),""),ROW()-ROW(A$87)+1))),","),"")</f>
        <v/>
      </c>
      <c r="M164" s="0" t="str">
        <f aca="false" t="array" ref="M164:M164">IFERROR(CONCATENATE((INDEX($A$7:$A$85,SMALL(IF($N$7:$N$85&lt;&gt;"",IF($K$7:$K$85&lt;&gt;"",ROW($K$7:$K$85)-MIN(ROW($K$7:$K$85))+1,""),""),ROW()-ROW(A$87)+1))),),"")</f>
        <v/>
      </c>
      <c r="Q164" s="0" t="str">
        <f aca="false" t="array" ref="Q164:Q164">IFERROR(CONCATENATE((INDEX($T$7:$T$85,SMALL(IF($T$7:$T$85&lt;&gt;"",IF($Q$7:$Q$85&lt;&gt;"",ROW($Q$7:$Q$85)-MIN(ROW($Q$7:$Q$85))+1,""),""),ROW()-ROW(A$87)+1)))," "),"")</f>
        <v/>
      </c>
      <c r="R164" s="0" t="str">
        <f aca="false" t="array" ref="R164:R164">IFERROR(CONCATENATE(TEXT(INDEX($Q$7:$Q$85,SMALL(IF($T$7:$T$85&lt;&gt;"",IF($Q$7:$Q$85&lt;&gt;"",ROW($Q$7:$Q$85)-MIN(ROW($Q$7:$Q$85))+1,""),""),ROW()-ROW(A$87)+1)),"##0")," "),"")</f>
        <v/>
      </c>
      <c r="S164" s="0" t="str">
        <f aca="false" t="array" ref="S164:S164">IFERROR(CONCATENATE((INDEX($A$7:$A$85,SMALL(IF($T$7:$T$85&lt;&gt;"",IF($Q$7:$Q$85&lt;&gt;"",ROW($Q$7:$Q$85)-MIN(ROW($Q$7:$Q$85))+1,""),""),ROW()-ROW(A$87)+1))),),"")</f>
        <v/>
      </c>
      <c r="W164" s="0" t="str">
        <f aca="false" t="array" ref="W164:W164">IFERROR(CONCATENATE((INDEX($Z$7:$Z$85,SMALL(IF($Z$7:$Z$85&lt;&gt;"",IF($W$7:$W$85&lt;&gt;"",ROW($W$7:$W$85)-MIN(ROW($W$7:$W$85))+1,""),""),ROW()-ROW(A$87)+1)))," "),"")</f>
        <v/>
      </c>
      <c r="X164" s="0" t="str">
        <f aca="false" t="array" ref="X164:X164">IFERROR(CONCATENATE(TEXT(INDEX($W$7:$W$85,SMALL(IF($Z$7:$Z$85&lt;&gt;"",IF($W$7:$W$85&lt;&gt;"",ROW($W$7:$W$85)-MIN(ROW($W$7:$W$85))+1,""),""),ROW()-ROW(A$87)+1)),"##0")," "),"")</f>
        <v/>
      </c>
      <c r="Y164" s="0" t="str">
        <f aca="false" t="array" ref="Y164:Y164">IFERROR(CONCATENATE((INDEX($A$7:$A$85,SMALL(IF($Z$7:$Z$85&lt;&gt;"",IF($W$7:$W$85&lt;&gt;"",ROW($W$7:$W$85)-MIN(ROW($W$7:$W$85))+1,""),""),ROW()-ROW(A$87)+1))),),"")</f>
        <v/>
      </c>
      <c r="AC164" s="0" t="str">
        <f aca="false" t="array" ref="AC164:AC164">IFERROR(CONCATENATE((INDEX($AF$7:$AF$85,SMALL(IF($AF$7:$AF$85&lt;&gt;"",IF($AC$7:$AC$85&lt;&gt;"",ROW($AC$7:$AC$85)-MIN(ROW($AC$7:$AC$85))+1,""),""),ROW()-ROW(A$87)+1))),","),"")</f>
        <v/>
      </c>
      <c r="AD164" s="0" t="str">
        <f aca="false" t="array" ref="AD164:AD164">IFERROR(CONCATENATE(TEXT(INDEX($AC$7:$AC$85,SMALL(IF($AF$7:$AF$85&lt;&gt;"",IF($AC$7:$AC$85&lt;&gt;"",ROW($AC$7:$AC$85)-MIN(ROW($AC$7:$AC$85))+1,""),""),ROW()-ROW(A$87)+1)),"##0"),","),"")</f>
        <v/>
      </c>
      <c r="AE164" s="0" t="str">
        <f aca="false" t="array" ref="AE164:AE164">IFERROR(CONCATENATE((INDEX($A$7:$A$85,SMALL(IF($AF$7:$AF$85&lt;&gt;"",IF($AC$7:$AC$85&lt;&gt;"",ROW($AC$7:$AC$85)-MIN(ROW($AC$7:$AC$85))+1,""),""),ROW()-ROW(A$87)+1))),),"")</f>
        <v/>
      </c>
      <c r="AI164" s="0" t="str">
        <f aca="false" t="array" ref="AI164:AI164">IFERROR(CONCATENATE((INDEX($AL$7:$AL$85,SMALL(IF($AL$7:$AL$85&lt;&gt;"",IF($AI$7:$AI$85&lt;&gt;"",ROW($AI$7:$AI$85)-MIN(ROW($AI$7:$AI$85))+1,""),""),ROW()-ROW(A$87)+1)))," "),"")</f>
        <v/>
      </c>
      <c r="AJ164" s="0" t="str">
        <f aca="false" t="array" ref="AJ164:AJ164">IFERROR(CONCATENATE(TEXT(INDEX($AI$7:$AI$85,SMALL(IF($AL$7:$AL$85&lt;&gt;"",IF($AI$7:$AI$85&lt;&gt;"",ROW($AI$7:$AI$85)-MIN(ROW($AI$7:$AI$85))+1,""),""),ROW()-ROW(A$87)+1)),"##0")," "),"")</f>
        <v/>
      </c>
      <c r="AK164" s="0" t="str">
        <f aca="false" t="array" ref="AK164:AK164">IFERROR(CONCATENATE((INDEX($A$7:$A$85,SMALL(IF($AL$7:$AL$85&lt;&gt;"",IF($AI$7:$AI$85&lt;&gt;"",ROW($AI$7:$AI$85)-MIN(ROW($AI$7:$AI$85))+1,""),""),ROW()-ROW(A$87)+1))),),"")</f>
        <v/>
      </c>
    </row>
    <row r="165" customFormat="false" ht="15" hidden="false" customHeight="false" outlineLevel="0" collapsed="false">
      <c r="K165" s="0" t="str">
        <f aca="false" t="array" ref="K165:K165">IFERROR(CONCATENATE(TEXT(INDEX($K$7:$K$85,SMALL(IF($N$7:$N$85&lt;&gt;"",IF($K$7:$K$85&lt;&gt;"",ROW($K$7:$K$85)-MIN(ROW($K$7:$K$85))+1,""),""),ROW()-ROW(A$87)+1)),"##0"),","),"")</f>
        <v/>
      </c>
      <c r="L165" s="0" t="str">
        <f aca="false" t="array" ref="L165:L165">IFERROR(CONCATENATE((INDEX($N$7:$N$85,SMALL(IF($N$7:$N$85&lt;&gt;"",IF($K$7:$K$85&lt;&gt;"",ROW($K$7:$K$85)-MIN(ROW($K$7:$K$85))+1,""),""),ROW()-ROW(A$87)+1))),","),"")</f>
        <v/>
      </c>
      <c r="M165" s="0" t="str">
        <f aca="false" t="array" ref="M165:M165">IFERROR(CONCATENATE((INDEX($A$7:$A$85,SMALL(IF($N$7:$N$85&lt;&gt;"",IF($K$7:$K$85&lt;&gt;"",ROW($K$7:$K$85)-MIN(ROW($K$7:$K$85))+1,""),""),ROW()-ROW(A$87)+1))),),"")</f>
        <v/>
      </c>
      <c r="Q165" s="0" t="str">
        <f aca="false" t="array" ref="Q165:Q165">IFERROR(CONCATENATE((INDEX($T$7:$T$85,SMALL(IF($T$7:$T$85&lt;&gt;"",IF($Q$7:$Q$85&lt;&gt;"",ROW($Q$7:$Q$85)-MIN(ROW($Q$7:$Q$85))+1,""),""),ROW()-ROW(A$87)+1)))," "),"")</f>
        <v/>
      </c>
      <c r="R165" s="0" t="str">
        <f aca="false" t="array" ref="R165:R165">IFERROR(CONCATENATE(TEXT(INDEX($Q$7:$Q$85,SMALL(IF($T$7:$T$85&lt;&gt;"",IF($Q$7:$Q$85&lt;&gt;"",ROW($Q$7:$Q$85)-MIN(ROW($Q$7:$Q$85))+1,""),""),ROW()-ROW(A$87)+1)),"##0")," "),"")</f>
        <v/>
      </c>
      <c r="S165" s="0" t="str">
        <f aca="false" t="array" ref="S165:S165">IFERROR(CONCATENATE((INDEX($A$7:$A$85,SMALL(IF($T$7:$T$85&lt;&gt;"",IF($Q$7:$Q$85&lt;&gt;"",ROW($Q$7:$Q$85)-MIN(ROW($Q$7:$Q$85))+1,""),""),ROW()-ROW(A$87)+1))),),"")</f>
        <v/>
      </c>
      <c r="W165" s="0" t="str">
        <f aca="false" t="array" ref="W165:W165">IFERROR(CONCATENATE((INDEX($Z$7:$Z$85,SMALL(IF($Z$7:$Z$85&lt;&gt;"",IF($W$7:$W$85&lt;&gt;"",ROW($W$7:$W$85)-MIN(ROW($W$7:$W$85))+1,""),""),ROW()-ROW(A$87)+1)))," "),"")</f>
        <v/>
      </c>
      <c r="X165" s="0" t="str">
        <f aca="false" t="array" ref="X165:X165">IFERROR(CONCATENATE(TEXT(INDEX($W$7:$W$85,SMALL(IF($Z$7:$Z$85&lt;&gt;"",IF($W$7:$W$85&lt;&gt;"",ROW($W$7:$W$85)-MIN(ROW($W$7:$W$85))+1,""),""),ROW()-ROW(A$87)+1)),"##0")," "),"")</f>
        <v/>
      </c>
      <c r="Y165" s="0" t="str">
        <f aca="false" t="array" ref="Y165:Y165">IFERROR(CONCATENATE((INDEX($A$7:$A$85,SMALL(IF($Z$7:$Z$85&lt;&gt;"",IF($W$7:$W$85&lt;&gt;"",ROW($W$7:$W$85)-MIN(ROW($W$7:$W$85))+1,""),""),ROW()-ROW(A$87)+1))),),"")</f>
        <v/>
      </c>
      <c r="AC165" s="0" t="str">
        <f aca="false" t="array" ref="AC165:AC165">IFERROR(CONCATENATE((INDEX($AF$7:$AF$85,SMALL(IF($AF$7:$AF$85&lt;&gt;"",IF($AC$7:$AC$85&lt;&gt;"",ROW($AC$7:$AC$85)-MIN(ROW($AC$7:$AC$85))+1,""),""),ROW()-ROW(A$87)+1))),","),"")</f>
        <v/>
      </c>
      <c r="AD165" s="0" t="str">
        <f aca="false" t="array" ref="AD165:AD165">IFERROR(CONCATENATE(TEXT(INDEX($AC$7:$AC$85,SMALL(IF($AF$7:$AF$85&lt;&gt;"",IF($AC$7:$AC$85&lt;&gt;"",ROW($AC$7:$AC$85)-MIN(ROW($AC$7:$AC$85))+1,""),""),ROW()-ROW(A$87)+1)),"##0"),","),"")</f>
        <v/>
      </c>
      <c r="AE165" s="0" t="str">
        <f aca="false" t="array" ref="AE165:AE165">IFERROR(CONCATENATE((INDEX($A$7:$A$85,SMALL(IF($AF$7:$AF$85&lt;&gt;"",IF($AC$7:$AC$85&lt;&gt;"",ROW($AC$7:$AC$85)-MIN(ROW($AC$7:$AC$85))+1,""),""),ROW()-ROW(A$87)+1))),),"")</f>
        <v/>
      </c>
      <c r="AI165" s="0" t="str">
        <f aca="false" t="array" ref="AI165:AI165">IFERROR(CONCATENATE((INDEX($AL$7:$AL$85,SMALL(IF($AL$7:$AL$85&lt;&gt;"",IF($AI$7:$AI$85&lt;&gt;"",ROW($AI$7:$AI$85)-MIN(ROW($AI$7:$AI$85))+1,""),""),ROW()-ROW(A$87)+1)))," "),"")</f>
        <v/>
      </c>
      <c r="AJ165" s="0" t="str">
        <f aca="false" t="array" ref="AJ165:AJ165">IFERROR(CONCATENATE(TEXT(INDEX($AI$7:$AI$85,SMALL(IF($AL$7:$AL$85&lt;&gt;"",IF($AI$7:$AI$85&lt;&gt;"",ROW($AI$7:$AI$85)-MIN(ROW($AI$7:$AI$85))+1,""),""),ROW()-ROW(A$87)+1)),"##0")," "),"")</f>
        <v/>
      </c>
      <c r="AK165" s="0" t="str">
        <f aca="false" t="array" ref="AK165:AK165">IFERROR(CONCATENATE((INDEX($A$7:$A$85,SMALL(IF($AL$7:$AL$85&lt;&gt;"",IF($AI$7:$AI$85&lt;&gt;"",ROW($AI$7:$AI$85)-MIN(ROW($AI$7:$AI$85))+1,""),""),ROW()-ROW(A$87)+1))),),"")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1">
    <cfRule type="cellIs" priority="3" operator="lessThanOrEqual" aboveAverage="0" equalAverage="0" bottom="0" percent="0" rank="0" text="" dxfId="0">
      <formula>H11</formula>
    </cfRule>
  </conditionalFormatting>
  <conditionalFormatting sqref="AD12">
    <cfRule type="cellIs" priority="4" operator="lessThanOrEqual" aboveAverage="0" equalAverage="0" bottom="0" percent="0" rank="0" text="" dxfId="0">
      <formula>H12</formula>
    </cfRule>
  </conditionalFormatting>
  <conditionalFormatting sqref="AD13">
    <cfRule type="cellIs" priority="5" operator="lessThanOrEqual" aboveAverage="0" equalAverage="0" bottom="0" percent="0" rank="0" text="" dxfId="0">
      <formula>H13</formula>
    </cfRule>
  </conditionalFormatting>
  <conditionalFormatting sqref="AD14">
    <cfRule type="cellIs" priority="6" operator="lessThanOrEqual" aboveAverage="0" equalAverage="0" bottom="0" percent="0" rank="0" text="" dxfId="0">
      <formula>H14</formula>
    </cfRule>
  </conditionalFormatting>
  <conditionalFormatting sqref="AD15">
    <cfRule type="cellIs" priority="7" operator="lessThanOrEqual" aboveAverage="0" equalAverage="0" bottom="0" percent="0" rank="0" text="" dxfId="0">
      <formula>H15</formula>
    </cfRule>
  </conditionalFormatting>
  <conditionalFormatting sqref="AD16">
    <cfRule type="cellIs" priority="8" operator="lessThanOrEqual" aboveAverage="0" equalAverage="0" bottom="0" percent="0" rank="0" text="" dxfId="0">
      <formula>H16</formula>
    </cfRule>
  </conditionalFormatting>
  <conditionalFormatting sqref="AD19">
    <cfRule type="cellIs" priority="9" operator="lessThanOrEqual" aboveAverage="0" equalAverage="0" bottom="0" percent="0" rank="0" text="" dxfId="0">
      <formula>H19</formula>
    </cfRule>
  </conditionalFormatting>
  <conditionalFormatting sqref="AD20">
    <cfRule type="cellIs" priority="10" operator="lessThanOrEqual" aboveAverage="0" equalAverage="0" bottom="0" percent="0" rank="0" text="" dxfId="0">
      <formula>H20</formula>
    </cfRule>
  </conditionalFormatting>
  <conditionalFormatting sqref="AD21">
    <cfRule type="cellIs" priority="11" operator="lessThanOrEqual" aboveAverage="0" equalAverage="0" bottom="0" percent="0" rank="0" text="" dxfId="0">
      <formula>H21</formula>
    </cfRule>
  </conditionalFormatting>
  <conditionalFormatting sqref="AD22">
    <cfRule type="cellIs" priority="12" operator="lessThanOrEqual" aboveAverage="0" equalAverage="0" bottom="0" percent="0" rank="0" text="" dxfId="0">
      <formula>H22</formula>
    </cfRule>
  </conditionalFormatting>
  <conditionalFormatting sqref="AD23">
    <cfRule type="cellIs" priority="13" operator="lessThanOrEqual" aboveAverage="0" equalAverage="0" bottom="0" percent="0" rank="0" text="" dxfId="0">
      <formula>H23</formula>
    </cfRule>
  </conditionalFormatting>
  <conditionalFormatting sqref="AD25">
    <cfRule type="cellIs" priority="14" operator="lessThanOrEqual" aboveAverage="0" equalAverage="0" bottom="0" percent="0" rank="0" text="" dxfId="0">
      <formula>H25</formula>
    </cfRule>
  </conditionalFormatting>
  <conditionalFormatting sqref="AD26">
    <cfRule type="cellIs" priority="15" operator="lessThanOrEqual" aboveAverage="0" equalAverage="0" bottom="0" percent="0" rank="0" text="" dxfId="0">
      <formula>H26</formula>
    </cfRule>
  </conditionalFormatting>
  <conditionalFormatting sqref="AD27">
    <cfRule type="cellIs" priority="16" operator="lessThanOrEqual" aboveAverage="0" equalAverage="0" bottom="0" percent="0" rank="0" text="" dxfId="0">
      <formula>H27</formula>
    </cfRule>
  </conditionalFormatting>
  <conditionalFormatting sqref="AD28">
    <cfRule type="cellIs" priority="17" operator="lessThanOrEqual" aboveAverage="0" equalAverage="0" bottom="0" percent="0" rank="0" text="" dxfId="0">
      <formula>H28</formula>
    </cfRule>
  </conditionalFormatting>
  <conditionalFormatting sqref="AD29">
    <cfRule type="cellIs" priority="18" operator="lessThanOrEqual" aboveAverage="0" equalAverage="0" bottom="0" percent="0" rank="0" text="" dxfId="0">
      <formula>H29</formula>
    </cfRule>
  </conditionalFormatting>
  <conditionalFormatting sqref="AD31">
    <cfRule type="cellIs" priority="19" operator="lessThanOrEqual" aboveAverage="0" equalAverage="0" bottom="0" percent="0" rank="0" text="" dxfId="0">
      <formula>H31</formula>
    </cfRule>
  </conditionalFormatting>
  <conditionalFormatting sqref="AD33">
    <cfRule type="cellIs" priority="20" operator="lessThanOrEqual" aboveAverage="0" equalAverage="0" bottom="0" percent="0" rank="0" text="" dxfId="0">
      <formula>H33</formula>
    </cfRule>
  </conditionalFormatting>
  <conditionalFormatting sqref="AD34">
    <cfRule type="cellIs" priority="21" operator="lessThanOrEqual" aboveAverage="0" equalAverage="0" bottom="0" percent="0" rank="0" text="" dxfId="0">
      <formula>H34</formula>
    </cfRule>
  </conditionalFormatting>
  <conditionalFormatting sqref="AD38">
    <cfRule type="cellIs" priority="22" operator="lessThanOrEqual" aboveAverage="0" equalAverage="0" bottom="0" percent="0" rank="0" text="" dxfId="0">
      <formula>H38</formula>
    </cfRule>
  </conditionalFormatting>
  <conditionalFormatting sqref="AD41">
    <cfRule type="cellIs" priority="23" operator="lessThanOrEqual" aboveAverage="0" equalAverage="0" bottom="0" percent="0" rank="0" text="" dxfId="0">
      <formula>H41</formula>
    </cfRule>
  </conditionalFormatting>
  <conditionalFormatting sqref="AD42">
    <cfRule type="cellIs" priority="24" operator="lessThanOrEqual" aboveAverage="0" equalAverage="0" bottom="0" percent="0" rank="0" text="" dxfId="0">
      <formula>H42</formula>
    </cfRule>
  </conditionalFormatting>
  <conditionalFormatting sqref="AD43">
    <cfRule type="cellIs" priority="25" operator="lessThanOrEqual" aboveAverage="0" equalAverage="0" bottom="0" percent="0" rank="0" text="" dxfId="0">
      <formula>H43</formula>
    </cfRule>
  </conditionalFormatting>
  <conditionalFormatting sqref="AD44">
    <cfRule type="cellIs" priority="26" operator="lessThanOrEqual" aboveAverage="0" equalAverage="0" bottom="0" percent="0" rank="0" text="" dxfId="0">
      <formula>H44</formula>
    </cfRule>
  </conditionalFormatting>
  <conditionalFormatting sqref="AD46">
    <cfRule type="cellIs" priority="27" operator="lessThanOrEqual" aboveAverage="0" equalAverage="0" bottom="0" percent="0" rank="0" text="" dxfId="0">
      <formula>H46</formula>
    </cfRule>
  </conditionalFormatting>
  <conditionalFormatting sqref="AD47">
    <cfRule type="cellIs" priority="28" operator="lessThanOrEqual" aboveAverage="0" equalAverage="0" bottom="0" percent="0" rank="0" text="" dxfId="0">
      <formula>H47</formula>
    </cfRule>
  </conditionalFormatting>
  <conditionalFormatting sqref="AD48">
    <cfRule type="cellIs" priority="29" operator="lessThanOrEqual" aboveAverage="0" equalAverage="0" bottom="0" percent="0" rank="0" text="" dxfId="0">
      <formula>H48</formula>
    </cfRule>
  </conditionalFormatting>
  <conditionalFormatting sqref="AD49">
    <cfRule type="cellIs" priority="30" operator="lessThanOrEqual" aboveAverage="0" equalAverage="0" bottom="0" percent="0" rank="0" text="" dxfId="0">
      <formula>H49</formula>
    </cfRule>
  </conditionalFormatting>
  <conditionalFormatting sqref="AD51">
    <cfRule type="cellIs" priority="31" operator="lessThanOrEqual" aboveAverage="0" equalAverage="0" bottom="0" percent="0" rank="0" text="" dxfId="0">
      <formula>H51</formula>
    </cfRule>
  </conditionalFormatting>
  <conditionalFormatting sqref="AD52">
    <cfRule type="cellIs" priority="32" operator="lessThanOrEqual" aboveAverage="0" equalAverage="0" bottom="0" percent="0" rank="0" text="" dxfId="0">
      <formula>H52</formula>
    </cfRule>
  </conditionalFormatting>
  <conditionalFormatting sqref="AD53">
    <cfRule type="cellIs" priority="33" operator="lessThanOrEqual" aboveAverage="0" equalAverage="0" bottom="0" percent="0" rank="0" text="" dxfId="0">
      <formula>H53</formula>
    </cfRule>
  </conditionalFormatting>
  <conditionalFormatting sqref="AD56">
    <cfRule type="cellIs" priority="34" operator="lessThanOrEqual" aboveAverage="0" equalAverage="0" bottom="0" percent="0" rank="0" text="" dxfId="0">
      <formula>H56</formula>
    </cfRule>
  </conditionalFormatting>
  <conditionalFormatting sqref="AD58">
    <cfRule type="cellIs" priority="35" operator="lessThanOrEqual" aboveAverage="0" equalAverage="0" bottom="0" percent="0" rank="0" text="" dxfId="0">
      <formula>H58</formula>
    </cfRule>
  </conditionalFormatting>
  <conditionalFormatting sqref="AD60">
    <cfRule type="cellIs" priority="36" operator="lessThanOrEqual" aboveAverage="0" equalAverage="0" bottom="0" percent="0" rank="0" text="" dxfId="0">
      <formula>H60</formula>
    </cfRule>
  </conditionalFormatting>
  <conditionalFormatting sqref="AD61">
    <cfRule type="cellIs" priority="37" operator="lessThanOrEqual" aboveAverage="0" equalAverage="0" bottom="0" percent="0" rank="0" text="" dxfId="0">
      <formula>H61</formula>
    </cfRule>
  </conditionalFormatting>
  <conditionalFormatting sqref="AD62">
    <cfRule type="cellIs" priority="38" operator="lessThanOrEqual" aboveAverage="0" equalAverage="0" bottom="0" percent="0" rank="0" text="" dxfId="0">
      <formula>H62</formula>
    </cfRule>
  </conditionalFormatting>
  <conditionalFormatting sqref="AD63">
    <cfRule type="cellIs" priority="39" operator="lessThanOrEqual" aboveAverage="0" equalAverage="0" bottom="0" percent="0" rank="0" text="" dxfId="0">
      <formula>H63</formula>
    </cfRule>
  </conditionalFormatting>
  <conditionalFormatting sqref="AD64">
    <cfRule type="cellIs" priority="40" operator="lessThanOrEqual" aboveAverage="0" equalAverage="0" bottom="0" percent="0" rank="0" text="" dxfId="0">
      <formula>H64</formula>
    </cfRule>
  </conditionalFormatting>
  <conditionalFormatting sqref="AD65">
    <cfRule type="cellIs" priority="41" operator="lessThanOrEqual" aboveAverage="0" equalAverage="0" bottom="0" percent="0" rank="0" text="" dxfId="0">
      <formula>H65</formula>
    </cfRule>
  </conditionalFormatting>
  <conditionalFormatting sqref="AD66">
    <cfRule type="cellIs" priority="42" operator="lessThanOrEqual" aboveAverage="0" equalAverage="0" bottom="0" percent="0" rank="0" text="" dxfId="0">
      <formula>H66</formula>
    </cfRule>
  </conditionalFormatting>
  <conditionalFormatting sqref="AD67">
    <cfRule type="cellIs" priority="43" operator="lessThanOrEqual" aboveAverage="0" equalAverage="0" bottom="0" percent="0" rank="0" text="" dxfId="0">
      <formula>H67</formula>
    </cfRule>
  </conditionalFormatting>
  <conditionalFormatting sqref="AD69">
    <cfRule type="cellIs" priority="44" operator="lessThanOrEqual" aboveAverage="0" equalAverage="0" bottom="0" percent="0" rank="0" text="" dxfId="0">
      <formula>H69</formula>
    </cfRule>
  </conditionalFormatting>
  <conditionalFormatting sqref="AD7">
    <cfRule type="cellIs" priority="45" operator="lessThanOrEqual" aboveAverage="0" equalAverage="0" bottom="0" percent="0" rank="0" text="" dxfId="0">
      <formula>H7</formula>
    </cfRule>
  </conditionalFormatting>
  <conditionalFormatting sqref="AD71">
    <cfRule type="cellIs" priority="46" operator="lessThanOrEqual" aboveAverage="0" equalAverage="0" bottom="0" percent="0" rank="0" text="" dxfId="0">
      <formula>H71</formula>
    </cfRule>
  </conditionalFormatting>
  <conditionalFormatting sqref="AD73">
    <cfRule type="cellIs" priority="47" operator="lessThanOrEqual" aboveAverage="0" equalAverage="0" bottom="0" percent="0" rank="0" text="" dxfId="0">
      <formula>H73</formula>
    </cfRule>
  </conditionalFormatting>
  <conditionalFormatting sqref="AD74">
    <cfRule type="cellIs" priority="48" operator="lessThanOrEqual" aboveAverage="0" equalAverage="0" bottom="0" percent="0" rank="0" text="" dxfId="0">
      <formula>H74</formula>
    </cfRule>
  </conditionalFormatting>
  <conditionalFormatting sqref="AD75">
    <cfRule type="cellIs" priority="49" operator="lessThanOrEqual" aboveAverage="0" equalAverage="0" bottom="0" percent="0" rank="0" text="" dxfId="0">
      <formula>H75</formula>
    </cfRule>
  </conditionalFormatting>
  <conditionalFormatting sqref="AD76">
    <cfRule type="cellIs" priority="50" operator="lessThanOrEqual" aboveAverage="0" equalAverage="0" bottom="0" percent="0" rank="0" text="" dxfId="0">
      <formula>H76</formula>
    </cfRule>
  </conditionalFormatting>
  <conditionalFormatting sqref="AD78">
    <cfRule type="cellIs" priority="51" operator="lessThanOrEqual" aboveAverage="0" equalAverage="0" bottom="0" percent="0" rank="0" text="" dxfId="0">
      <formula>H78</formula>
    </cfRule>
  </conditionalFormatting>
  <conditionalFormatting sqref="AD79">
    <cfRule type="cellIs" priority="52" operator="lessThanOrEqual" aboveAverage="0" equalAverage="0" bottom="0" percent="0" rank="0" text="" dxfId="0">
      <formula>H79</formula>
    </cfRule>
  </conditionalFormatting>
  <conditionalFormatting sqref="AD8">
    <cfRule type="cellIs" priority="53" operator="lessThanOrEqual" aboveAverage="0" equalAverage="0" bottom="0" percent="0" rank="0" text="" dxfId="0">
      <formula>H8</formula>
    </cfRule>
  </conditionalFormatting>
  <conditionalFormatting sqref="AD80">
    <cfRule type="cellIs" priority="54" operator="lessThanOrEqual" aboveAverage="0" equalAverage="0" bottom="0" percent="0" rank="0" text="" dxfId="0">
      <formula>H80</formula>
    </cfRule>
  </conditionalFormatting>
  <conditionalFormatting sqref="AD81">
    <cfRule type="cellIs" priority="55" operator="lessThanOrEqual" aboveAverage="0" equalAverage="0" bottom="0" percent="0" rank="0" text="" dxfId="0">
      <formula>H81</formula>
    </cfRule>
  </conditionalFormatting>
  <conditionalFormatting sqref="AD84">
    <cfRule type="cellIs" priority="56" operator="lessThanOrEqual" aboveAverage="0" equalAverage="0" bottom="0" percent="0" rank="0" text="" dxfId="0">
      <formula>H84</formula>
    </cfRule>
  </conditionalFormatting>
  <conditionalFormatting sqref="AD85">
    <cfRule type="cellIs" priority="57" operator="lessThanOrEqual" aboveAverage="0" equalAverage="0" bottom="0" percent="0" rank="0" text="" dxfId="0">
      <formula>H85</formula>
    </cfRule>
  </conditionalFormatting>
  <conditionalFormatting sqref="AD9">
    <cfRule type="cellIs" priority="58" operator="lessThanOrEqual" aboveAverage="0" equalAverage="0" bottom="0" percent="0" rank="0" text="" dxfId="0">
      <formula>H9</formula>
    </cfRule>
  </conditionalFormatting>
  <conditionalFormatting sqref="AE10">
    <cfRule type="cellIs" priority="59" operator="lessThanOrEqual" aboveAverage="0" equalAverage="0" bottom="0" percent="0" rank="0" text="" dxfId="0">
      <formula>I10</formula>
    </cfRule>
  </conditionalFormatting>
  <conditionalFormatting sqref="AE11">
    <cfRule type="cellIs" priority="60" operator="lessThanOrEqual" aboveAverage="0" equalAverage="0" bottom="0" percent="0" rank="0" text="" dxfId="0">
      <formula>I11</formula>
    </cfRule>
  </conditionalFormatting>
  <conditionalFormatting sqref="AE12">
    <cfRule type="cellIs" priority="61" operator="lessThanOrEqual" aboveAverage="0" equalAverage="0" bottom="0" percent="0" rank="0" text="" dxfId="0">
      <formula>I12</formula>
    </cfRule>
  </conditionalFormatting>
  <conditionalFormatting sqref="AE13">
    <cfRule type="cellIs" priority="62" operator="lessThanOrEqual" aboveAverage="0" equalAverage="0" bottom="0" percent="0" rank="0" text="" dxfId="0">
      <formula>I13</formula>
    </cfRule>
  </conditionalFormatting>
  <conditionalFormatting sqref="AE14">
    <cfRule type="cellIs" priority="63" operator="lessThanOrEqual" aboveAverage="0" equalAverage="0" bottom="0" percent="0" rank="0" text="" dxfId="0">
      <formula>I14</formula>
    </cfRule>
  </conditionalFormatting>
  <conditionalFormatting sqref="AE15">
    <cfRule type="cellIs" priority="64" operator="lessThanOrEqual" aboveAverage="0" equalAverage="0" bottom="0" percent="0" rank="0" text="" dxfId="0">
      <formula>I15</formula>
    </cfRule>
  </conditionalFormatting>
  <conditionalFormatting sqref="AE16">
    <cfRule type="cellIs" priority="65" operator="lessThanOrEqual" aboveAverage="0" equalAverage="0" bottom="0" percent="0" rank="0" text="" dxfId="0">
      <formula>I16</formula>
    </cfRule>
  </conditionalFormatting>
  <conditionalFormatting sqref="AE19">
    <cfRule type="cellIs" priority="66" operator="lessThanOrEqual" aboveAverage="0" equalAverage="0" bottom="0" percent="0" rank="0" text="" dxfId="0">
      <formula>I19</formula>
    </cfRule>
  </conditionalFormatting>
  <conditionalFormatting sqref="AE20">
    <cfRule type="cellIs" priority="67" operator="lessThanOrEqual" aboveAverage="0" equalAverage="0" bottom="0" percent="0" rank="0" text="" dxfId="0">
      <formula>I20</formula>
    </cfRule>
  </conditionalFormatting>
  <conditionalFormatting sqref="AE21">
    <cfRule type="cellIs" priority="68" operator="lessThanOrEqual" aboveAverage="0" equalAverage="0" bottom="0" percent="0" rank="0" text="" dxfId="0">
      <formula>I21</formula>
    </cfRule>
  </conditionalFormatting>
  <conditionalFormatting sqref="AE22">
    <cfRule type="cellIs" priority="69" operator="lessThanOrEqual" aboveAverage="0" equalAverage="0" bottom="0" percent="0" rank="0" text="" dxfId="0">
      <formula>I22</formula>
    </cfRule>
  </conditionalFormatting>
  <conditionalFormatting sqref="AE23">
    <cfRule type="cellIs" priority="70" operator="lessThanOrEqual" aboveAverage="0" equalAverage="0" bottom="0" percent="0" rank="0" text="" dxfId="0">
      <formula>I23</formula>
    </cfRule>
  </conditionalFormatting>
  <conditionalFormatting sqref="AE25">
    <cfRule type="cellIs" priority="71" operator="lessThanOrEqual" aboveAverage="0" equalAverage="0" bottom="0" percent="0" rank="0" text="" dxfId="0">
      <formula>I25</formula>
    </cfRule>
  </conditionalFormatting>
  <conditionalFormatting sqref="AE26">
    <cfRule type="cellIs" priority="72" operator="lessThanOrEqual" aboveAverage="0" equalAverage="0" bottom="0" percent="0" rank="0" text="" dxfId="0">
      <formula>I26</formula>
    </cfRule>
  </conditionalFormatting>
  <conditionalFormatting sqref="AE27">
    <cfRule type="cellIs" priority="73" operator="lessThanOrEqual" aboveAverage="0" equalAverage="0" bottom="0" percent="0" rank="0" text="" dxfId="0">
      <formula>I27</formula>
    </cfRule>
  </conditionalFormatting>
  <conditionalFormatting sqref="AE28">
    <cfRule type="cellIs" priority="74" operator="lessThanOrEqual" aboveAverage="0" equalAverage="0" bottom="0" percent="0" rank="0" text="" dxfId="0">
      <formula>I28</formula>
    </cfRule>
  </conditionalFormatting>
  <conditionalFormatting sqref="AE29">
    <cfRule type="cellIs" priority="75" operator="lessThanOrEqual" aboveAverage="0" equalAverage="0" bottom="0" percent="0" rank="0" text="" dxfId="0">
      <formula>I29</formula>
    </cfRule>
  </conditionalFormatting>
  <conditionalFormatting sqref="AE31">
    <cfRule type="cellIs" priority="76" operator="lessThanOrEqual" aboveAverage="0" equalAverage="0" bottom="0" percent="0" rank="0" text="" dxfId="0">
      <formula>I31</formula>
    </cfRule>
  </conditionalFormatting>
  <conditionalFormatting sqref="AE33">
    <cfRule type="cellIs" priority="77" operator="lessThanOrEqual" aboveAverage="0" equalAverage="0" bottom="0" percent="0" rank="0" text="" dxfId="0">
      <formula>I33</formula>
    </cfRule>
  </conditionalFormatting>
  <conditionalFormatting sqref="AE34">
    <cfRule type="cellIs" priority="78" operator="lessThanOrEqual" aboveAverage="0" equalAverage="0" bottom="0" percent="0" rank="0" text="" dxfId="0">
      <formula>I34</formula>
    </cfRule>
  </conditionalFormatting>
  <conditionalFormatting sqref="AE38">
    <cfRule type="cellIs" priority="79" operator="lessThanOrEqual" aboveAverage="0" equalAverage="0" bottom="0" percent="0" rank="0" text="" dxfId="0">
      <formula>I38</formula>
    </cfRule>
  </conditionalFormatting>
  <conditionalFormatting sqref="AE41">
    <cfRule type="cellIs" priority="80" operator="lessThanOrEqual" aboveAverage="0" equalAverage="0" bottom="0" percent="0" rank="0" text="" dxfId="0">
      <formula>I41</formula>
    </cfRule>
  </conditionalFormatting>
  <conditionalFormatting sqref="AE42">
    <cfRule type="cellIs" priority="81" operator="lessThanOrEqual" aboveAverage="0" equalAverage="0" bottom="0" percent="0" rank="0" text="" dxfId="0">
      <formula>I42</formula>
    </cfRule>
  </conditionalFormatting>
  <conditionalFormatting sqref="AE43">
    <cfRule type="cellIs" priority="82" operator="lessThanOrEqual" aboveAverage="0" equalAverage="0" bottom="0" percent="0" rank="0" text="" dxfId="0">
      <formula>I43</formula>
    </cfRule>
  </conditionalFormatting>
  <conditionalFormatting sqref="AE44">
    <cfRule type="cellIs" priority="83" operator="lessThanOrEqual" aboveAverage="0" equalAverage="0" bottom="0" percent="0" rank="0" text="" dxfId="0">
      <formula>I44</formula>
    </cfRule>
  </conditionalFormatting>
  <conditionalFormatting sqref="AE46">
    <cfRule type="cellIs" priority="84" operator="lessThanOrEqual" aboveAverage="0" equalAverage="0" bottom="0" percent="0" rank="0" text="" dxfId="0">
      <formula>I46</formula>
    </cfRule>
  </conditionalFormatting>
  <conditionalFormatting sqref="AE47">
    <cfRule type="cellIs" priority="85" operator="lessThanOrEqual" aboveAverage="0" equalAverage="0" bottom="0" percent="0" rank="0" text="" dxfId="0">
      <formula>I47</formula>
    </cfRule>
  </conditionalFormatting>
  <conditionalFormatting sqref="AE48">
    <cfRule type="cellIs" priority="86" operator="lessThanOrEqual" aboveAverage="0" equalAverage="0" bottom="0" percent="0" rank="0" text="" dxfId="0">
      <formula>I48</formula>
    </cfRule>
  </conditionalFormatting>
  <conditionalFormatting sqref="AE49">
    <cfRule type="cellIs" priority="87" operator="lessThanOrEqual" aboveAverage="0" equalAverage="0" bottom="0" percent="0" rank="0" text="" dxfId="0">
      <formula>I49</formula>
    </cfRule>
  </conditionalFormatting>
  <conditionalFormatting sqref="AE51">
    <cfRule type="cellIs" priority="88" operator="lessThanOrEqual" aboveAverage="0" equalAverage="0" bottom="0" percent="0" rank="0" text="" dxfId="0">
      <formula>I51</formula>
    </cfRule>
  </conditionalFormatting>
  <conditionalFormatting sqref="AE52">
    <cfRule type="cellIs" priority="89" operator="lessThanOrEqual" aboveAverage="0" equalAverage="0" bottom="0" percent="0" rank="0" text="" dxfId="0">
      <formula>I52</formula>
    </cfRule>
  </conditionalFormatting>
  <conditionalFormatting sqref="AE53">
    <cfRule type="cellIs" priority="90" operator="lessThanOrEqual" aboveAverage="0" equalAverage="0" bottom="0" percent="0" rank="0" text="" dxfId="0">
      <formula>I53</formula>
    </cfRule>
  </conditionalFormatting>
  <conditionalFormatting sqref="AE56">
    <cfRule type="cellIs" priority="91" operator="lessThanOrEqual" aboveAverage="0" equalAverage="0" bottom="0" percent="0" rank="0" text="" dxfId="0">
      <formula>I56</formula>
    </cfRule>
  </conditionalFormatting>
  <conditionalFormatting sqref="AE58">
    <cfRule type="cellIs" priority="92" operator="lessThanOrEqual" aboveAverage="0" equalAverage="0" bottom="0" percent="0" rank="0" text="" dxfId="0">
      <formula>I58</formula>
    </cfRule>
  </conditionalFormatting>
  <conditionalFormatting sqref="AE60">
    <cfRule type="cellIs" priority="93" operator="lessThanOrEqual" aboveAverage="0" equalAverage="0" bottom="0" percent="0" rank="0" text="" dxfId="0">
      <formula>I60</formula>
    </cfRule>
  </conditionalFormatting>
  <conditionalFormatting sqref="AE61">
    <cfRule type="cellIs" priority="94" operator="lessThanOrEqual" aboveAverage="0" equalAverage="0" bottom="0" percent="0" rank="0" text="" dxfId="0">
      <formula>I61</formula>
    </cfRule>
  </conditionalFormatting>
  <conditionalFormatting sqref="AE62">
    <cfRule type="cellIs" priority="95" operator="lessThanOrEqual" aboveAverage="0" equalAverage="0" bottom="0" percent="0" rank="0" text="" dxfId="0">
      <formula>I62</formula>
    </cfRule>
  </conditionalFormatting>
  <conditionalFormatting sqref="AE63">
    <cfRule type="cellIs" priority="96" operator="lessThanOrEqual" aboveAverage="0" equalAverage="0" bottom="0" percent="0" rank="0" text="" dxfId="0">
      <formula>I63</formula>
    </cfRule>
  </conditionalFormatting>
  <conditionalFormatting sqref="AE64">
    <cfRule type="cellIs" priority="97" operator="lessThanOrEqual" aboveAverage="0" equalAverage="0" bottom="0" percent="0" rank="0" text="" dxfId="0">
      <formula>I64</formula>
    </cfRule>
  </conditionalFormatting>
  <conditionalFormatting sqref="AE65">
    <cfRule type="cellIs" priority="98" operator="lessThanOrEqual" aboveAverage="0" equalAverage="0" bottom="0" percent="0" rank="0" text="" dxfId="0">
      <formula>I65</formula>
    </cfRule>
  </conditionalFormatting>
  <conditionalFormatting sqref="AE66">
    <cfRule type="cellIs" priority="99" operator="lessThanOrEqual" aboveAverage="0" equalAverage="0" bottom="0" percent="0" rank="0" text="" dxfId="0">
      <formula>I66</formula>
    </cfRule>
  </conditionalFormatting>
  <conditionalFormatting sqref="AE67">
    <cfRule type="cellIs" priority="100" operator="lessThanOrEqual" aboveAverage="0" equalAverage="0" bottom="0" percent="0" rank="0" text="" dxfId="0">
      <formula>I67</formula>
    </cfRule>
  </conditionalFormatting>
  <conditionalFormatting sqref="AE69">
    <cfRule type="cellIs" priority="101" operator="lessThanOrEqual" aboveAverage="0" equalAverage="0" bottom="0" percent="0" rank="0" text="" dxfId="0">
      <formula>I69</formula>
    </cfRule>
  </conditionalFormatting>
  <conditionalFormatting sqref="AE7">
    <cfRule type="cellIs" priority="102" operator="lessThanOrEqual" aboveAverage="0" equalAverage="0" bottom="0" percent="0" rank="0" text="" dxfId="0">
      <formula>I7</formula>
    </cfRule>
  </conditionalFormatting>
  <conditionalFormatting sqref="AE71">
    <cfRule type="cellIs" priority="103" operator="lessThanOrEqual" aboveAverage="0" equalAverage="0" bottom="0" percent="0" rank="0" text="" dxfId="0">
      <formula>I71</formula>
    </cfRule>
  </conditionalFormatting>
  <conditionalFormatting sqref="AE73">
    <cfRule type="cellIs" priority="104" operator="lessThanOrEqual" aboveAverage="0" equalAverage="0" bottom="0" percent="0" rank="0" text="" dxfId="0">
      <formula>I73</formula>
    </cfRule>
  </conditionalFormatting>
  <conditionalFormatting sqref="AE74">
    <cfRule type="cellIs" priority="105" operator="lessThanOrEqual" aboveAverage="0" equalAverage="0" bottom="0" percent="0" rank="0" text="" dxfId="0">
      <formula>I74</formula>
    </cfRule>
  </conditionalFormatting>
  <conditionalFormatting sqref="AE75">
    <cfRule type="cellIs" priority="106" operator="lessThanOrEqual" aboveAverage="0" equalAverage="0" bottom="0" percent="0" rank="0" text="" dxfId="0">
      <formula>I75</formula>
    </cfRule>
  </conditionalFormatting>
  <conditionalFormatting sqref="AE76">
    <cfRule type="cellIs" priority="107" operator="lessThanOrEqual" aboveAverage="0" equalAverage="0" bottom="0" percent="0" rank="0" text="" dxfId="0">
      <formula>I76</formula>
    </cfRule>
  </conditionalFormatting>
  <conditionalFormatting sqref="AE78">
    <cfRule type="cellIs" priority="108" operator="lessThanOrEqual" aboveAverage="0" equalAverage="0" bottom="0" percent="0" rank="0" text="" dxfId="0">
      <formula>I78</formula>
    </cfRule>
  </conditionalFormatting>
  <conditionalFormatting sqref="AE79">
    <cfRule type="cellIs" priority="109" operator="lessThanOrEqual" aboveAverage="0" equalAverage="0" bottom="0" percent="0" rank="0" text="" dxfId="0">
      <formula>I79</formula>
    </cfRule>
  </conditionalFormatting>
  <conditionalFormatting sqref="AE8">
    <cfRule type="cellIs" priority="110" operator="lessThanOrEqual" aboveAverage="0" equalAverage="0" bottom="0" percent="0" rank="0" text="" dxfId="0">
      <formula>I8</formula>
    </cfRule>
  </conditionalFormatting>
  <conditionalFormatting sqref="AE80">
    <cfRule type="cellIs" priority="111" operator="lessThanOrEqual" aboveAverage="0" equalAverage="0" bottom="0" percent="0" rank="0" text="" dxfId="0">
      <formula>I80</formula>
    </cfRule>
  </conditionalFormatting>
  <conditionalFormatting sqref="AE81">
    <cfRule type="cellIs" priority="112" operator="lessThanOrEqual" aboveAverage="0" equalAverage="0" bottom="0" percent="0" rank="0" text="" dxfId="0">
      <formula>I81</formula>
    </cfRule>
  </conditionalFormatting>
  <conditionalFormatting sqref="AE84">
    <cfRule type="cellIs" priority="113" operator="lessThanOrEqual" aboveAverage="0" equalAverage="0" bottom="0" percent="0" rank="0" text="" dxfId="0">
      <formula>I84</formula>
    </cfRule>
  </conditionalFormatting>
  <conditionalFormatting sqref="AE85">
    <cfRule type="cellIs" priority="114" operator="lessThanOrEqual" aboveAverage="0" equalAverage="0" bottom="0" percent="0" rank="0" text="" dxfId="0">
      <formula>I85</formula>
    </cfRule>
  </conditionalFormatting>
  <conditionalFormatting sqref="AE9">
    <cfRule type="cellIs" priority="115" operator="lessThanOrEqual" aboveAverage="0" equalAverage="0" bottom="0" percent="0" rank="0" text="" dxfId="0">
      <formula>I9</formula>
    </cfRule>
  </conditionalFormatting>
  <conditionalFormatting sqref="AJ11">
    <cfRule type="cellIs" priority="116" operator="lessThanOrEqual" aboveAverage="0" equalAverage="0" bottom="0" percent="0" rank="0" text="" dxfId="0">
      <formula>H11</formula>
    </cfRule>
  </conditionalFormatting>
  <conditionalFormatting sqref="AJ12">
    <cfRule type="cellIs" priority="117" operator="lessThanOrEqual" aboveAverage="0" equalAverage="0" bottom="0" percent="0" rank="0" text="" dxfId="0">
      <formula>H12</formula>
    </cfRule>
  </conditionalFormatting>
  <conditionalFormatting sqref="AJ16">
    <cfRule type="cellIs" priority="118" operator="lessThanOrEqual" aboveAverage="0" equalAverage="0" bottom="0" percent="0" rank="0" text="" dxfId="0">
      <formula>H16</formula>
    </cfRule>
  </conditionalFormatting>
  <conditionalFormatting sqref="AJ19">
    <cfRule type="cellIs" priority="119" operator="lessThanOrEqual" aboveAverage="0" equalAverage="0" bottom="0" percent="0" rank="0" text="" dxfId="0">
      <formula>H19</formula>
    </cfRule>
  </conditionalFormatting>
  <conditionalFormatting sqref="AJ22">
    <cfRule type="cellIs" priority="120" operator="lessThanOrEqual" aboveAverage="0" equalAverage="0" bottom="0" percent="0" rank="0" text="" dxfId="0">
      <formula>H22</formula>
    </cfRule>
  </conditionalFormatting>
  <conditionalFormatting sqref="AJ23">
    <cfRule type="cellIs" priority="121" operator="lessThanOrEqual" aboveAverage="0" equalAverage="0" bottom="0" percent="0" rank="0" text="" dxfId="0">
      <formula>H23</formula>
    </cfRule>
  </conditionalFormatting>
  <conditionalFormatting sqref="AJ29">
    <cfRule type="cellIs" priority="122" operator="lessThanOrEqual" aboveAverage="0" equalAverage="0" bottom="0" percent="0" rank="0" text="" dxfId="0">
      <formula>H29</formula>
    </cfRule>
  </conditionalFormatting>
  <conditionalFormatting sqref="AJ30">
    <cfRule type="cellIs" priority="123" operator="lessThanOrEqual" aboveAverage="0" equalAverage="0" bottom="0" percent="0" rank="0" text="" dxfId="0">
      <formula>H30</formula>
    </cfRule>
  </conditionalFormatting>
  <conditionalFormatting sqref="AJ33">
    <cfRule type="cellIs" priority="124" operator="lessThanOrEqual" aboveAverage="0" equalAverage="0" bottom="0" percent="0" rank="0" text="" dxfId="0">
      <formula>H33</formula>
    </cfRule>
  </conditionalFormatting>
  <conditionalFormatting sqref="AJ38">
    <cfRule type="cellIs" priority="125" operator="lessThanOrEqual" aboveAverage="0" equalAverage="0" bottom="0" percent="0" rank="0" text="" dxfId="0">
      <formula>H38</formula>
    </cfRule>
  </conditionalFormatting>
  <conditionalFormatting sqref="AJ39">
    <cfRule type="cellIs" priority="126" operator="lessThanOrEqual" aboveAverage="0" equalAverage="0" bottom="0" percent="0" rank="0" text="" dxfId="0">
      <formula>H39</formula>
    </cfRule>
  </conditionalFormatting>
  <conditionalFormatting sqref="AJ41">
    <cfRule type="cellIs" priority="127" operator="lessThanOrEqual" aboveAverage="0" equalAverage="0" bottom="0" percent="0" rank="0" text="" dxfId="0">
      <formula>H41</formula>
    </cfRule>
  </conditionalFormatting>
  <conditionalFormatting sqref="AJ42">
    <cfRule type="cellIs" priority="128" operator="lessThanOrEqual" aboveAverage="0" equalAverage="0" bottom="0" percent="0" rank="0" text="" dxfId="0">
      <formula>H42</formula>
    </cfRule>
  </conditionalFormatting>
  <conditionalFormatting sqref="AJ44">
    <cfRule type="cellIs" priority="129" operator="lessThanOrEqual" aboveAverage="0" equalAverage="0" bottom="0" percent="0" rank="0" text="" dxfId="0">
      <formula>H44</formula>
    </cfRule>
  </conditionalFormatting>
  <conditionalFormatting sqref="AJ46">
    <cfRule type="cellIs" priority="130" operator="lessThanOrEqual" aboveAverage="0" equalAverage="0" bottom="0" percent="0" rank="0" text="" dxfId="0">
      <formula>H46</formula>
    </cfRule>
  </conditionalFormatting>
  <conditionalFormatting sqref="AJ47">
    <cfRule type="cellIs" priority="131" operator="lessThanOrEqual" aboveAverage="0" equalAverage="0" bottom="0" percent="0" rank="0" text="" dxfId="0">
      <formula>H47</formula>
    </cfRule>
  </conditionalFormatting>
  <conditionalFormatting sqref="AJ48">
    <cfRule type="cellIs" priority="132" operator="lessThanOrEqual" aboveAverage="0" equalAverage="0" bottom="0" percent="0" rank="0" text="" dxfId="0">
      <formula>H48</formula>
    </cfRule>
  </conditionalFormatting>
  <conditionalFormatting sqref="AJ50">
    <cfRule type="cellIs" priority="133" operator="lessThanOrEqual" aboveAverage="0" equalAverage="0" bottom="0" percent="0" rank="0" text="" dxfId="0">
      <formula>H50</formula>
    </cfRule>
  </conditionalFormatting>
  <conditionalFormatting sqref="AJ52">
    <cfRule type="cellIs" priority="134" operator="lessThanOrEqual" aboveAverage="0" equalAverage="0" bottom="0" percent="0" rank="0" text="" dxfId="0">
      <formula>H52</formula>
    </cfRule>
  </conditionalFormatting>
  <conditionalFormatting sqref="AJ60">
    <cfRule type="cellIs" priority="135" operator="lessThanOrEqual" aboveAverage="0" equalAverage="0" bottom="0" percent="0" rank="0" text="" dxfId="0">
      <formula>H60</formula>
    </cfRule>
  </conditionalFormatting>
  <conditionalFormatting sqref="AJ61">
    <cfRule type="cellIs" priority="136" operator="lessThanOrEqual" aboveAverage="0" equalAverage="0" bottom="0" percent="0" rank="0" text="" dxfId="0">
      <formula>H61</formula>
    </cfRule>
  </conditionalFormatting>
  <conditionalFormatting sqref="AJ71">
    <cfRule type="cellIs" priority="137" operator="lessThanOrEqual" aboveAverage="0" equalAverage="0" bottom="0" percent="0" rank="0" text="" dxfId="0">
      <formula>H71</formula>
    </cfRule>
  </conditionalFormatting>
  <conditionalFormatting sqref="AJ74">
    <cfRule type="cellIs" priority="138" operator="lessThanOrEqual" aboveAverage="0" equalAverage="0" bottom="0" percent="0" rank="0" text="" dxfId="0">
      <formula>H74</formula>
    </cfRule>
  </conditionalFormatting>
  <conditionalFormatting sqref="AJ76">
    <cfRule type="cellIs" priority="139" operator="lessThanOrEqual" aboveAverage="0" equalAverage="0" bottom="0" percent="0" rank="0" text="" dxfId="0">
      <formula>H76</formula>
    </cfRule>
  </conditionalFormatting>
  <conditionalFormatting sqref="AJ77">
    <cfRule type="cellIs" priority="140" operator="lessThanOrEqual" aboveAverage="0" equalAverage="0" bottom="0" percent="0" rank="0" text="" dxfId="0">
      <formula>H77</formula>
    </cfRule>
  </conditionalFormatting>
  <conditionalFormatting sqref="AJ78">
    <cfRule type="cellIs" priority="141" operator="lessThanOrEqual" aboveAverage="0" equalAverage="0" bottom="0" percent="0" rank="0" text="" dxfId="0">
      <formula>H78</formula>
    </cfRule>
  </conditionalFormatting>
  <conditionalFormatting sqref="AJ81">
    <cfRule type="cellIs" priority="142" operator="lessThanOrEqual" aboveAverage="0" equalAverage="0" bottom="0" percent="0" rank="0" text="" dxfId="0">
      <formula>H81</formula>
    </cfRule>
  </conditionalFormatting>
  <conditionalFormatting sqref="AJ82">
    <cfRule type="cellIs" priority="143" operator="lessThanOrEqual" aboveAverage="0" equalAverage="0" bottom="0" percent="0" rank="0" text="" dxfId="0">
      <formula>H82</formula>
    </cfRule>
  </conditionalFormatting>
  <conditionalFormatting sqref="AJ85">
    <cfRule type="cellIs" priority="144" operator="lessThanOrEqual" aboveAverage="0" equalAverage="0" bottom="0" percent="0" rank="0" text="" dxfId="0">
      <formula>H85</formula>
    </cfRule>
  </conditionalFormatting>
  <conditionalFormatting sqref="AJ9">
    <cfRule type="cellIs" priority="145" operator="lessThanOrEqual" aboveAverage="0" equalAverage="0" bottom="0" percent="0" rank="0" text="" dxfId="0">
      <formula>H9</formula>
    </cfRule>
  </conditionalFormatting>
  <conditionalFormatting sqref="AK11">
    <cfRule type="cellIs" priority="146" operator="lessThanOrEqual" aboveAverage="0" equalAverage="0" bottom="0" percent="0" rank="0" text="" dxfId="0">
      <formula>I11</formula>
    </cfRule>
  </conditionalFormatting>
  <conditionalFormatting sqref="AK12">
    <cfRule type="cellIs" priority="147" operator="lessThanOrEqual" aboveAverage="0" equalAverage="0" bottom="0" percent="0" rank="0" text="" dxfId="0">
      <formula>I12</formula>
    </cfRule>
  </conditionalFormatting>
  <conditionalFormatting sqref="AK16">
    <cfRule type="cellIs" priority="148" operator="lessThanOrEqual" aboveAverage="0" equalAverage="0" bottom="0" percent="0" rank="0" text="" dxfId="0">
      <formula>I16</formula>
    </cfRule>
  </conditionalFormatting>
  <conditionalFormatting sqref="AK19">
    <cfRule type="cellIs" priority="149" operator="lessThanOrEqual" aboveAverage="0" equalAverage="0" bottom="0" percent="0" rank="0" text="" dxfId="0">
      <formula>I19</formula>
    </cfRule>
  </conditionalFormatting>
  <conditionalFormatting sqref="AK22">
    <cfRule type="cellIs" priority="150" operator="lessThanOrEqual" aboveAverage="0" equalAverage="0" bottom="0" percent="0" rank="0" text="" dxfId="0">
      <formula>I22</formula>
    </cfRule>
  </conditionalFormatting>
  <conditionalFormatting sqref="AK23">
    <cfRule type="cellIs" priority="151" operator="lessThanOrEqual" aboveAverage="0" equalAverage="0" bottom="0" percent="0" rank="0" text="" dxfId="0">
      <formula>I23</formula>
    </cfRule>
  </conditionalFormatting>
  <conditionalFormatting sqref="AK29">
    <cfRule type="cellIs" priority="152" operator="lessThanOrEqual" aboveAverage="0" equalAverage="0" bottom="0" percent="0" rank="0" text="" dxfId="0">
      <formula>I29</formula>
    </cfRule>
  </conditionalFormatting>
  <conditionalFormatting sqref="AK30">
    <cfRule type="cellIs" priority="153" operator="lessThanOrEqual" aboveAverage="0" equalAverage="0" bottom="0" percent="0" rank="0" text="" dxfId="0">
      <formula>I30</formula>
    </cfRule>
  </conditionalFormatting>
  <conditionalFormatting sqref="AK33">
    <cfRule type="cellIs" priority="154" operator="lessThanOrEqual" aboveAverage="0" equalAverage="0" bottom="0" percent="0" rank="0" text="" dxfId="0">
      <formula>I33</formula>
    </cfRule>
  </conditionalFormatting>
  <conditionalFormatting sqref="AK38">
    <cfRule type="cellIs" priority="155" operator="lessThanOrEqual" aboveAverage="0" equalAverage="0" bottom="0" percent="0" rank="0" text="" dxfId="0">
      <formula>I38</formula>
    </cfRule>
  </conditionalFormatting>
  <conditionalFormatting sqref="AK39">
    <cfRule type="cellIs" priority="156" operator="lessThanOrEqual" aboveAverage="0" equalAverage="0" bottom="0" percent="0" rank="0" text="" dxfId="0">
      <formula>I39</formula>
    </cfRule>
  </conditionalFormatting>
  <conditionalFormatting sqref="AK41">
    <cfRule type="cellIs" priority="157" operator="lessThanOrEqual" aboveAverage="0" equalAverage="0" bottom="0" percent="0" rank="0" text="" dxfId="0">
      <formula>I41</formula>
    </cfRule>
  </conditionalFormatting>
  <conditionalFormatting sqref="AK42">
    <cfRule type="cellIs" priority="158" operator="lessThanOrEqual" aboveAverage="0" equalAverage="0" bottom="0" percent="0" rank="0" text="" dxfId="0">
      <formula>I42</formula>
    </cfRule>
  </conditionalFormatting>
  <conditionalFormatting sqref="AK44">
    <cfRule type="cellIs" priority="159" operator="lessThanOrEqual" aboveAverage="0" equalAverage="0" bottom="0" percent="0" rank="0" text="" dxfId="0">
      <formula>I44</formula>
    </cfRule>
  </conditionalFormatting>
  <conditionalFormatting sqref="AK46">
    <cfRule type="cellIs" priority="160" operator="lessThanOrEqual" aboveAverage="0" equalAverage="0" bottom="0" percent="0" rank="0" text="" dxfId="0">
      <formula>I46</formula>
    </cfRule>
  </conditionalFormatting>
  <conditionalFormatting sqref="AK47">
    <cfRule type="cellIs" priority="161" operator="lessThanOrEqual" aboveAverage="0" equalAverage="0" bottom="0" percent="0" rank="0" text="" dxfId="0">
      <formula>I47</formula>
    </cfRule>
  </conditionalFormatting>
  <conditionalFormatting sqref="AK48">
    <cfRule type="cellIs" priority="162" operator="lessThanOrEqual" aboveAverage="0" equalAverage="0" bottom="0" percent="0" rank="0" text="" dxfId="0">
      <formula>I48</formula>
    </cfRule>
  </conditionalFormatting>
  <conditionalFormatting sqref="AK50">
    <cfRule type="cellIs" priority="163" operator="lessThanOrEqual" aboveAverage="0" equalAverage="0" bottom="0" percent="0" rank="0" text="" dxfId="0">
      <formula>I50</formula>
    </cfRule>
  </conditionalFormatting>
  <conditionalFormatting sqref="AK52">
    <cfRule type="cellIs" priority="164" operator="lessThanOrEqual" aboveAverage="0" equalAverage="0" bottom="0" percent="0" rank="0" text="" dxfId="0">
      <formula>I52</formula>
    </cfRule>
  </conditionalFormatting>
  <conditionalFormatting sqref="AK60">
    <cfRule type="cellIs" priority="165" operator="lessThanOrEqual" aboveAverage="0" equalAverage="0" bottom="0" percent="0" rank="0" text="" dxfId="0">
      <formula>I60</formula>
    </cfRule>
  </conditionalFormatting>
  <conditionalFormatting sqref="AK61">
    <cfRule type="cellIs" priority="166" operator="lessThanOrEqual" aboveAverage="0" equalAverage="0" bottom="0" percent="0" rank="0" text="" dxfId="0">
      <formula>I61</formula>
    </cfRule>
  </conditionalFormatting>
  <conditionalFormatting sqref="AK71">
    <cfRule type="cellIs" priority="167" operator="lessThanOrEqual" aboveAverage="0" equalAverage="0" bottom="0" percent="0" rank="0" text="" dxfId="0">
      <formula>I71</formula>
    </cfRule>
  </conditionalFormatting>
  <conditionalFormatting sqref="AK74">
    <cfRule type="cellIs" priority="168" operator="lessThanOrEqual" aboveAverage="0" equalAverage="0" bottom="0" percent="0" rank="0" text="" dxfId="0">
      <formula>I74</formula>
    </cfRule>
  </conditionalFormatting>
  <conditionalFormatting sqref="AK76">
    <cfRule type="cellIs" priority="169" operator="lessThanOrEqual" aboveAverage="0" equalAverage="0" bottom="0" percent="0" rank="0" text="" dxfId="0">
      <formula>I76</formula>
    </cfRule>
  </conditionalFormatting>
  <conditionalFormatting sqref="AK77">
    <cfRule type="cellIs" priority="170" operator="lessThanOrEqual" aboveAverage="0" equalAverage="0" bottom="0" percent="0" rank="0" text="" dxfId="0">
      <formula>I77</formula>
    </cfRule>
  </conditionalFormatting>
  <conditionalFormatting sqref="AK78">
    <cfRule type="cellIs" priority="171" operator="lessThanOrEqual" aboveAverage="0" equalAverage="0" bottom="0" percent="0" rank="0" text="" dxfId="0">
      <formula>I78</formula>
    </cfRule>
  </conditionalFormatting>
  <conditionalFormatting sqref="AK81">
    <cfRule type="cellIs" priority="172" operator="lessThanOrEqual" aboveAverage="0" equalAverage="0" bottom="0" percent="0" rank="0" text="" dxfId="0">
      <formula>I81</formula>
    </cfRule>
  </conditionalFormatting>
  <conditionalFormatting sqref="AK82">
    <cfRule type="cellIs" priority="173" operator="lessThanOrEqual" aboveAverage="0" equalAverage="0" bottom="0" percent="0" rank="0" text="" dxfId="0">
      <formula>I82</formula>
    </cfRule>
  </conditionalFormatting>
  <conditionalFormatting sqref="AK85">
    <cfRule type="cellIs" priority="174" operator="lessThanOrEqual" aboveAverage="0" equalAverage="0" bottom="0" percent="0" rank="0" text="" dxfId="0">
      <formula>I85</formula>
    </cfRule>
  </conditionalFormatting>
  <conditionalFormatting sqref="AK9">
    <cfRule type="cellIs" priority="175" operator="lessThanOrEqual" aboveAverage="0" equalAverage="0" bottom="0" percent="0" rank="0" text="" dxfId="0">
      <formula>I9</formula>
    </cfRule>
  </conditionalFormatting>
  <conditionalFormatting sqref="L10">
    <cfRule type="cellIs" priority="176" operator="lessThanOrEqual" aboveAverage="0" equalAverage="0" bottom="0" percent="0" rank="0" text="" dxfId="0">
      <formula>H10</formula>
    </cfRule>
  </conditionalFormatting>
  <conditionalFormatting sqref="L11">
    <cfRule type="cellIs" priority="177" operator="lessThanOrEqual" aboveAverage="0" equalAverage="0" bottom="0" percent="0" rank="0" text="" dxfId="0">
      <formula>H11</formula>
    </cfRule>
  </conditionalFormatting>
  <conditionalFormatting sqref="L12">
    <cfRule type="cellIs" priority="178" operator="lessThanOrEqual" aboveAverage="0" equalAverage="0" bottom="0" percent="0" rank="0" text="" dxfId="0">
      <formula>H12</formula>
    </cfRule>
  </conditionalFormatting>
  <conditionalFormatting sqref="L13">
    <cfRule type="cellIs" priority="179" operator="lessThanOrEqual" aboveAverage="0" equalAverage="0" bottom="0" percent="0" rank="0" text="" dxfId="0">
      <formula>H13</formula>
    </cfRule>
  </conditionalFormatting>
  <conditionalFormatting sqref="L14">
    <cfRule type="cellIs" priority="180" operator="lessThanOrEqual" aboveAverage="0" equalAverage="0" bottom="0" percent="0" rank="0" text="" dxfId="0">
      <formula>H14</formula>
    </cfRule>
  </conditionalFormatting>
  <conditionalFormatting sqref="L15">
    <cfRule type="cellIs" priority="181" operator="lessThanOrEqual" aboveAverage="0" equalAverage="0" bottom="0" percent="0" rank="0" text="" dxfId="0">
      <formula>H15</formula>
    </cfRule>
  </conditionalFormatting>
  <conditionalFormatting sqref="L16">
    <cfRule type="cellIs" priority="182" operator="lessThanOrEqual" aboveAverage="0" equalAverage="0" bottom="0" percent="0" rank="0" text="" dxfId="0">
      <formula>H16</formula>
    </cfRule>
  </conditionalFormatting>
  <conditionalFormatting sqref="L17">
    <cfRule type="cellIs" priority="183" operator="lessThanOrEqual" aboveAverage="0" equalAverage="0" bottom="0" percent="0" rank="0" text="" dxfId="0">
      <formula>H17</formula>
    </cfRule>
  </conditionalFormatting>
  <conditionalFormatting sqref="L18">
    <cfRule type="cellIs" priority="184" operator="lessThanOrEqual" aboveAverage="0" equalAverage="0" bottom="0" percent="0" rank="0" text="" dxfId="0">
      <formula>H18</formula>
    </cfRule>
  </conditionalFormatting>
  <conditionalFormatting sqref="L19">
    <cfRule type="cellIs" priority="185" operator="lessThanOrEqual" aboveAverage="0" equalAverage="0" bottom="0" percent="0" rank="0" text="" dxfId="0">
      <formula>H19</formula>
    </cfRule>
  </conditionalFormatting>
  <conditionalFormatting sqref="L20">
    <cfRule type="cellIs" priority="186" operator="lessThanOrEqual" aboveAverage="0" equalAverage="0" bottom="0" percent="0" rank="0" text="" dxfId="0">
      <formula>H20</formula>
    </cfRule>
  </conditionalFormatting>
  <conditionalFormatting sqref="L21">
    <cfRule type="cellIs" priority="187" operator="lessThanOrEqual" aboveAverage="0" equalAverage="0" bottom="0" percent="0" rank="0" text="" dxfId="0">
      <formula>H21</formula>
    </cfRule>
  </conditionalFormatting>
  <conditionalFormatting sqref="L22">
    <cfRule type="cellIs" priority="188" operator="lessThanOrEqual" aboveAverage="0" equalAverage="0" bottom="0" percent="0" rank="0" text="" dxfId="0">
      <formula>H22</formula>
    </cfRule>
  </conditionalFormatting>
  <conditionalFormatting sqref="L23">
    <cfRule type="cellIs" priority="189" operator="lessThanOrEqual" aboveAverage="0" equalAverage="0" bottom="0" percent="0" rank="0" text="" dxfId="0">
      <formula>H23</formula>
    </cfRule>
  </conditionalFormatting>
  <conditionalFormatting sqref="L25">
    <cfRule type="cellIs" priority="190" operator="lessThanOrEqual" aboveAverage="0" equalAverage="0" bottom="0" percent="0" rank="0" text="" dxfId="0">
      <formula>H25</formula>
    </cfRule>
  </conditionalFormatting>
  <conditionalFormatting sqref="L26">
    <cfRule type="cellIs" priority="191" operator="lessThanOrEqual" aboveAverage="0" equalAverage="0" bottom="0" percent="0" rank="0" text="" dxfId="0">
      <formula>H26</formula>
    </cfRule>
  </conditionalFormatting>
  <conditionalFormatting sqref="L27">
    <cfRule type="cellIs" priority="192" operator="lessThanOrEqual" aboveAverage="0" equalAverage="0" bottom="0" percent="0" rank="0" text="" dxfId="0">
      <formula>H27</formula>
    </cfRule>
  </conditionalFormatting>
  <conditionalFormatting sqref="L28">
    <cfRule type="cellIs" priority="193" operator="lessThanOrEqual" aboveAverage="0" equalAverage="0" bottom="0" percent="0" rank="0" text="" dxfId="0">
      <formula>H28</formula>
    </cfRule>
  </conditionalFormatting>
  <conditionalFormatting sqref="L29">
    <cfRule type="cellIs" priority="194" operator="lessThanOrEqual" aboveAverage="0" equalAverage="0" bottom="0" percent="0" rank="0" text="" dxfId="0">
      <formula>H29</formula>
    </cfRule>
  </conditionalFormatting>
  <conditionalFormatting sqref="L30">
    <cfRule type="cellIs" priority="195" operator="lessThanOrEqual" aboveAverage="0" equalAverage="0" bottom="0" percent="0" rank="0" text="" dxfId="0">
      <formula>H30</formula>
    </cfRule>
  </conditionalFormatting>
  <conditionalFormatting sqref="L31">
    <cfRule type="cellIs" priority="196" operator="lessThanOrEqual" aboveAverage="0" equalAverage="0" bottom="0" percent="0" rank="0" text="" dxfId="0">
      <formula>H31</formula>
    </cfRule>
  </conditionalFormatting>
  <conditionalFormatting sqref="L32">
    <cfRule type="cellIs" priority="197" operator="lessThanOrEqual" aboveAverage="0" equalAverage="0" bottom="0" percent="0" rank="0" text="" dxfId="0">
      <formula>H32</formula>
    </cfRule>
  </conditionalFormatting>
  <conditionalFormatting sqref="L33">
    <cfRule type="cellIs" priority="198" operator="lessThanOrEqual" aboveAverage="0" equalAverage="0" bottom="0" percent="0" rank="0" text="" dxfId="0">
      <formula>H33</formula>
    </cfRule>
  </conditionalFormatting>
  <conditionalFormatting sqref="L34">
    <cfRule type="cellIs" priority="199" operator="lessThanOrEqual" aboveAverage="0" equalAverage="0" bottom="0" percent="0" rank="0" text="" dxfId="0">
      <formula>H34</formula>
    </cfRule>
  </conditionalFormatting>
  <conditionalFormatting sqref="L35">
    <cfRule type="cellIs" priority="200" operator="lessThanOrEqual" aboveAverage="0" equalAverage="0" bottom="0" percent="0" rank="0" text="" dxfId="0">
      <formula>H35</formula>
    </cfRule>
  </conditionalFormatting>
  <conditionalFormatting sqref="L37">
    <cfRule type="cellIs" priority="201" operator="lessThanOrEqual" aboveAverage="0" equalAverage="0" bottom="0" percent="0" rank="0" text="" dxfId="0">
      <formula>H37</formula>
    </cfRule>
  </conditionalFormatting>
  <conditionalFormatting sqref="L38">
    <cfRule type="cellIs" priority="202" operator="lessThanOrEqual" aboveAverage="0" equalAverage="0" bottom="0" percent="0" rank="0" text="" dxfId="0">
      <formula>H38</formula>
    </cfRule>
  </conditionalFormatting>
  <conditionalFormatting sqref="L39">
    <cfRule type="cellIs" priority="203" operator="lessThanOrEqual" aboveAverage="0" equalAverage="0" bottom="0" percent="0" rank="0" text="" dxfId="0">
      <formula>H39</formula>
    </cfRule>
  </conditionalFormatting>
  <conditionalFormatting sqref="L40">
    <cfRule type="cellIs" priority="204" operator="lessThanOrEqual" aboveAverage="0" equalAverage="0" bottom="0" percent="0" rank="0" text="" dxfId="0">
      <formula>H40</formula>
    </cfRule>
  </conditionalFormatting>
  <conditionalFormatting sqref="L41">
    <cfRule type="cellIs" priority="205" operator="lessThanOrEqual" aboveAverage="0" equalAverage="0" bottom="0" percent="0" rank="0" text="" dxfId="0">
      <formula>H41</formula>
    </cfRule>
  </conditionalFormatting>
  <conditionalFormatting sqref="L42">
    <cfRule type="cellIs" priority="206" operator="lessThanOrEqual" aboveAverage="0" equalAverage="0" bottom="0" percent="0" rank="0" text="" dxfId="0">
      <formula>H42</formula>
    </cfRule>
  </conditionalFormatting>
  <conditionalFormatting sqref="L43">
    <cfRule type="cellIs" priority="207" operator="lessThanOrEqual" aboveAverage="0" equalAverage="0" bottom="0" percent="0" rank="0" text="" dxfId="0">
      <formula>H43</formula>
    </cfRule>
  </conditionalFormatting>
  <conditionalFormatting sqref="L44">
    <cfRule type="cellIs" priority="208" operator="lessThanOrEqual" aboveAverage="0" equalAverage="0" bottom="0" percent="0" rank="0" text="" dxfId="0">
      <formula>H44</formula>
    </cfRule>
  </conditionalFormatting>
  <conditionalFormatting sqref="L45">
    <cfRule type="cellIs" priority="209" operator="lessThanOrEqual" aboveAverage="0" equalAverage="0" bottom="0" percent="0" rank="0" text="" dxfId="0">
      <formula>H45</formula>
    </cfRule>
  </conditionalFormatting>
  <conditionalFormatting sqref="L46">
    <cfRule type="cellIs" priority="210" operator="lessThanOrEqual" aboveAverage="0" equalAverage="0" bottom="0" percent="0" rank="0" text="" dxfId="0">
      <formula>H46</formula>
    </cfRule>
  </conditionalFormatting>
  <conditionalFormatting sqref="L48">
    <cfRule type="cellIs" priority="211" operator="lessThanOrEqual" aboveAverage="0" equalAverage="0" bottom="0" percent="0" rank="0" text="" dxfId="0">
      <formula>H48</formula>
    </cfRule>
  </conditionalFormatting>
  <conditionalFormatting sqref="L49">
    <cfRule type="cellIs" priority="212" operator="lessThanOrEqual" aboveAverage="0" equalAverage="0" bottom="0" percent="0" rank="0" text="" dxfId="0">
      <formula>H49</formula>
    </cfRule>
  </conditionalFormatting>
  <conditionalFormatting sqref="L51">
    <cfRule type="cellIs" priority="213" operator="lessThanOrEqual" aboveAverage="0" equalAverage="0" bottom="0" percent="0" rank="0" text="" dxfId="0">
      <formula>H51</formula>
    </cfRule>
  </conditionalFormatting>
  <conditionalFormatting sqref="L52">
    <cfRule type="cellIs" priority="214" operator="lessThanOrEqual" aboveAverage="0" equalAverage="0" bottom="0" percent="0" rank="0" text="" dxfId="0">
      <formula>H52</formula>
    </cfRule>
  </conditionalFormatting>
  <conditionalFormatting sqref="L53">
    <cfRule type="cellIs" priority="215" operator="lessThanOrEqual" aboveAverage="0" equalAverage="0" bottom="0" percent="0" rank="0" text="" dxfId="0">
      <formula>H53</formula>
    </cfRule>
  </conditionalFormatting>
  <conditionalFormatting sqref="L54">
    <cfRule type="cellIs" priority="216" operator="lessThanOrEqual" aboveAverage="0" equalAverage="0" bottom="0" percent="0" rank="0" text="" dxfId="0">
      <formula>H54</formula>
    </cfRule>
  </conditionalFormatting>
  <conditionalFormatting sqref="L55">
    <cfRule type="cellIs" priority="217" operator="lessThanOrEqual" aboveAverage="0" equalAverage="0" bottom="0" percent="0" rank="0" text="" dxfId="0">
      <formula>H55</formula>
    </cfRule>
  </conditionalFormatting>
  <conditionalFormatting sqref="L56">
    <cfRule type="cellIs" priority="218" operator="lessThanOrEqual" aboveAverage="0" equalAverage="0" bottom="0" percent="0" rank="0" text="" dxfId="0">
      <formula>H56</formula>
    </cfRule>
  </conditionalFormatting>
  <conditionalFormatting sqref="L57">
    <cfRule type="cellIs" priority="219" operator="lessThanOrEqual" aboveAverage="0" equalAverage="0" bottom="0" percent="0" rank="0" text="" dxfId="0">
      <formula>H57</formula>
    </cfRule>
  </conditionalFormatting>
  <conditionalFormatting sqref="L58">
    <cfRule type="cellIs" priority="220" operator="lessThanOrEqual" aboveAverage="0" equalAverage="0" bottom="0" percent="0" rank="0" text="" dxfId="0">
      <formula>H58</formula>
    </cfRule>
  </conditionalFormatting>
  <conditionalFormatting sqref="L60">
    <cfRule type="cellIs" priority="221" operator="lessThanOrEqual" aboveAverage="0" equalAverage="0" bottom="0" percent="0" rank="0" text="" dxfId="0">
      <formula>H60</formula>
    </cfRule>
  </conditionalFormatting>
  <conditionalFormatting sqref="L61">
    <cfRule type="cellIs" priority="222" operator="lessThanOrEqual" aboveAverage="0" equalAverage="0" bottom="0" percent="0" rank="0" text="" dxfId="0">
      <formula>H61</formula>
    </cfRule>
  </conditionalFormatting>
  <conditionalFormatting sqref="L62">
    <cfRule type="cellIs" priority="223" operator="lessThanOrEqual" aboveAverage="0" equalAverage="0" bottom="0" percent="0" rank="0" text="" dxfId="0">
      <formula>H62</formula>
    </cfRule>
  </conditionalFormatting>
  <conditionalFormatting sqref="L63">
    <cfRule type="cellIs" priority="224" operator="lessThanOrEqual" aboveAverage="0" equalAverage="0" bottom="0" percent="0" rank="0" text="" dxfId="0">
      <formula>H63</formula>
    </cfRule>
  </conditionalFormatting>
  <conditionalFormatting sqref="L64">
    <cfRule type="cellIs" priority="225" operator="lessThanOrEqual" aboveAverage="0" equalAverage="0" bottom="0" percent="0" rank="0" text="" dxfId="0">
      <formula>H64</formula>
    </cfRule>
  </conditionalFormatting>
  <conditionalFormatting sqref="L65">
    <cfRule type="cellIs" priority="226" operator="lessThanOrEqual" aboveAverage="0" equalAverage="0" bottom="0" percent="0" rank="0" text="" dxfId="0">
      <formula>H65</formula>
    </cfRule>
  </conditionalFormatting>
  <conditionalFormatting sqref="L66">
    <cfRule type="cellIs" priority="227" operator="lessThanOrEqual" aboveAverage="0" equalAverage="0" bottom="0" percent="0" rank="0" text="" dxfId="0">
      <formula>H66</formula>
    </cfRule>
  </conditionalFormatting>
  <conditionalFormatting sqref="L67">
    <cfRule type="cellIs" priority="228" operator="lessThanOrEqual" aboveAverage="0" equalAverage="0" bottom="0" percent="0" rank="0" text="" dxfId="0">
      <formula>H67</formula>
    </cfRule>
  </conditionalFormatting>
  <conditionalFormatting sqref="L69">
    <cfRule type="cellIs" priority="229" operator="lessThanOrEqual" aboveAverage="0" equalAverage="0" bottom="0" percent="0" rank="0" text="" dxfId="0">
      <formula>H69</formula>
    </cfRule>
  </conditionalFormatting>
  <conditionalFormatting sqref="L7">
    <cfRule type="cellIs" priority="230" operator="lessThanOrEqual" aboveAverage="0" equalAverage="0" bottom="0" percent="0" rank="0" text="" dxfId="0">
      <formula>H7</formula>
    </cfRule>
  </conditionalFormatting>
  <conditionalFormatting sqref="L72">
    <cfRule type="cellIs" priority="231" operator="lessThanOrEqual" aboveAverage="0" equalAverage="0" bottom="0" percent="0" rank="0" text="" dxfId="0">
      <formula>H72</formula>
    </cfRule>
  </conditionalFormatting>
  <conditionalFormatting sqref="L73">
    <cfRule type="cellIs" priority="232" operator="lessThanOrEqual" aboveAverage="0" equalAverage="0" bottom="0" percent="0" rank="0" text="" dxfId="0">
      <formula>H73</formula>
    </cfRule>
  </conditionalFormatting>
  <conditionalFormatting sqref="L74">
    <cfRule type="cellIs" priority="233" operator="lessThanOrEqual" aboveAverage="0" equalAverage="0" bottom="0" percent="0" rank="0" text="" dxfId="0">
      <formula>H74</formula>
    </cfRule>
  </conditionalFormatting>
  <conditionalFormatting sqref="L75">
    <cfRule type="cellIs" priority="234" operator="lessThanOrEqual" aboveAverage="0" equalAverage="0" bottom="0" percent="0" rank="0" text="" dxfId="0">
      <formula>H75</formula>
    </cfRule>
  </conditionalFormatting>
  <conditionalFormatting sqref="L76">
    <cfRule type="cellIs" priority="235" operator="lessThanOrEqual" aboveAverage="0" equalAverage="0" bottom="0" percent="0" rank="0" text="" dxfId="0">
      <formula>H76</formula>
    </cfRule>
  </conditionalFormatting>
  <conditionalFormatting sqref="L77">
    <cfRule type="cellIs" priority="236" operator="lessThanOrEqual" aboveAverage="0" equalAverage="0" bottom="0" percent="0" rank="0" text="" dxfId="0">
      <formula>H77</formula>
    </cfRule>
  </conditionalFormatting>
  <conditionalFormatting sqref="L78">
    <cfRule type="cellIs" priority="237" operator="lessThanOrEqual" aboveAverage="0" equalAverage="0" bottom="0" percent="0" rank="0" text="" dxfId="0">
      <formula>H78</formula>
    </cfRule>
  </conditionalFormatting>
  <conditionalFormatting sqref="L79">
    <cfRule type="cellIs" priority="238" operator="lessThanOrEqual" aboveAverage="0" equalAverage="0" bottom="0" percent="0" rank="0" text="" dxfId="0">
      <formula>H79</formula>
    </cfRule>
  </conditionalFormatting>
  <conditionalFormatting sqref="L8">
    <cfRule type="cellIs" priority="239" operator="lessThanOrEqual" aboveAverage="0" equalAverage="0" bottom="0" percent="0" rank="0" text="" dxfId="0">
      <formula>H8</formula>
    </cfRule>
  </conditionalFormatting>
  <conditionalFormatting sqref="L80">
    <cfRule type="cellIs" priority="240" operator="lessThanOrEqual" aboveAverage="0" equalAverage="0" bottom="0" percent="0" rank="0" text="" dxfId="0">
      <formula>H80</formula>
    </cfRule>
  </conditionalFormatting>
  <conditionalFormatting sqref="L81">
    <cfRule type="cellIs" priority="241" operator="lessThanOrEqual" aboveAverage="0" equalAverage="0" bottom="0" percent="0" rank="0" text="" dxfId="0">
      <formula>H81</formula>
    </cfRule>
  </conditionalFormatting>
  <conditionalFormatting sqref="L82">
    <cfRule type="cellIs" priority="242" operator="lessThanOrEqual" aboveAverage="0" equalAverage="0" bottom="0" percent="0" rank="0" text="" dxfId="0">
      <formula>H82</formula>
    </cfRule>
  </conditionalFormatting>
  <conditionalFormatting sqref="L83">
    <cfRule type="cellIs" priority="243" operator="lessThanOrEqual" aboveAverage="0" equalAverage="0" bottom="0" percent="0" rank="0" text="" dxfId="0">
      <formula>H83</formula>
    </cfRule>
  </conditionalFormatting>
  <conditionalFormatting sqref="L84">
    <cfRule type="cellIs" priority="244" operator="lessThanOrEqual" aboveAverage="0" equalAverage="0" bottom="0" percent="0" rank="0" text="" dxfId="0">
      <formula>H84</formula>
    </cfRule>
  </conditionalFormatting>
  <conditionalFormatting sqref="L85">
    <cfRule type="cellIs" priority="245" operator="lessThanOrEqual" aboveAverage="0" equalAverage="0" bottom="0" percent="0" rank="0" text="" dxfId="0">
      <formula>H85</formula>
    </cfRule>
  </conditionalFormatting>
  <conditionalFormatting sqref="L9">
    <cfRule type="cellIs" priority="246" operator="lessThanOrEqual" aboveAverage="0" equalAverage="0" bottom="0" percent="0" rank="0" text="" dxfId="0">
      <formula>H9</formula>
    </cfRule>
  </conditionalFormatting>
  <conditionalFormatting sqref="M10">
    <cfRule type="cellIs" priority="247" operator="lessThanOrEqual" aboveAverage="0" equalAverage="0" bottom="0" percent="0" rank="0" text="" dxfId="0">
      <formula>I10</formula>
    </cfRule>
  </conditionalFormatting>
  <conditionalFormatting sqref="M11">
    <cfRule type="cellIs" priority="248" operator="lessThanOrEqual" aboveAverage="0" equalAverage="0" bottom="0" percent="0" rank="0" text="" dxfId="0">
      <formula>I11</formula>
    </cfRule>
  </conditionalFormatting>
  <conditionalFormatting sqref="M12">
    <cfRule type="cellIs" priority="249" operator="lessThanOrEqual" aboveAverage="0" equalAverage="0" bottom="0" percent="0" rank="0" text="" dxfId="0">
      <formula>I12</formula>
    </cfRule>
  </conditionalFormatting>
  <conditionalFormatting sqref="M13">
    <cfRule type="cellIs" priority="250" operator="lessThanOrEqual" aboveAverage="0" equalAverage="0" bottom="0" percent="0" rank="0" text="" dxfId="0">
      <formula>I13</formula>
    </cfRule>
  </conditionalFormatting>
  <conditionalFormatting sqref="M14">
    <cfRule type="cellIs" priority="251" operator="lessThanOrEqual" aboveAverage="0" equalAverage="0" bottom="0" percent="0" rank="0" text="" dxfId="0">
      <formula>I14</formula>
    </cfRule>
  </conditionalFormatting>
  <conditionalFormatting sqref="M15">
    <cfRule type="cellIs" priority="252" operator="lessThanOrEqual" aboveAverage="0" equalAverage="0" bottom="0" percent="0" rank="0" text="" dxfId="0">
      <formula>I15</formula>
    </cfRule>
  </conditionalFormatting>
  <conditionalFormatting sqref="M16">
    <cfRule type="cellIs" priority="253" operator="lessThanOrEqual" aboveAverage="0" equalAverage="0" bottom="0" percent="0" rank="0" text="" dxfId="0">
      <formula>I16</formula>
    </cfRule>
  </conditionalFormatting>
  <conditionalFormatting sqref="M17">
    <cfRule type="cellIs" priority="254" operator="lessThanOrEqual" aboveAverage="0" equalAverage="0" bottom="0" percent="0" rank="0" text="" dxfId="0">
      <formula>I17</formula>
    </cfRule>
  </conditionalFormatting>
  <conditionalFormatting sqref="M18">
    <cfRule type="cellIs" priority="255" operator="lessThanOrEqual" aboveAverage="0" equalAverage="0" bottom="0" percent="0" rank="0" text="" dxfId="0">
      <formula>I18</formula>
    </cfRule>
  </conditionalFormatting>
  <conditionalFormatting sqref="M19">
    <cfRule type="cellIs" priority="256" operator="lessThanOrEqual" aboveAverage="0" equalAverage="0" bottom="0" percent="0" rank="0" text="" dxfId="0">
      <formula>I19</formula>
    </cfRule>
  </conditionalFormatting>
  <conditionalFormatting sqref="M20">
    <cfRule type="cellIs" priority="257" operator="lessThanOrEqual" aboveAverage="0" equalAverage="0" bottom="0" percent="0" rank="0" text="" dxfId="0">
      <formula>I20</formula>
    </cfRule>
  </conditionalFormatting>
  <conditionalFormatting sqref="M21">
    <cfRule type="cellIs" priority="258" operator="lessThanOrEqual" aboveAverage="0" equalAverage="0" bottom="0" percent="0" rank="0" text="" dxfId="0">
      <formula>I21</formula>
    </cfRule>
  </conditionalFormatting>
  <conditionalFormatting sqref="M22">
    <cfRule type="cellIs" priority="259" operator="lessThanOrEqual" aboveAverage="0" equalAverage="0" bottom="0" percent="0" rank="0" text="" dxfId="0">
      <formula>I22</formula>
    </cfRule>
  </conditionalFormatting>
  <conditionalFormatting sqref="M23">
    <cfRule type="cellIs" priority="260" operator="lessThanOrEqual" aboveAverage="0" equalAverage="0" bottom="0" percent="0" rank="0" text="" dxfId="0">
      <formula>I23</formula>
    </cfRule>
  </conditionalFormatting>
  <conditionalFormatting sqref="M25">
    <cfRule type="cellIs" priority="261" operator="lessThanOrEqual" aboveAverage="0" equalAverage="0" bottom="0" percent="0" rank="0" text="" dxfId="0">
      <formula>I25</formula>
    </cfRule>
  </conditionalFormatting>
  <conditionalFormatting sqref="M26">
    <cfRule type="cellIs" priority="262" operator="lessThanOrEqual" aboveAverage="0" equalAverage="0" bottom="0" percent="0" rank="0" text="" dxfId="0">
      <formula>I26</formula>
    </cfRule>
  </conditionalFormatting>
  <conditionalFormatting sqref="M27">
    <cfRule type="cellIs" priority="263" operator="lessThanOrEqual" aboveAverage="0" equalAverage="0" bottom="0" percent="0" rank="0" text="" dxfId="0">
      <formula>I27</formula>
    </cfRule>
  </conditionalFormatting>
  <conditionalFormatting sqref="M28">
    <cfRule type="cellIs" priority="264" operator="lessThanOrEqual" aboveAverage="0" equalAverage="0" bottom="0" percent="0" rank="0" text="" dxfId="0">
      <formula>I28</formula>
    </cfRule>
  </conditionalFormatting>
  <conditionalFormatting sqref="M29">
    <cfRule type="cellIs" priority="265" operator="lessThanOrEqual" aboveAverage="0" equalAverage="0" bottom="0" percent="0" rank="0" text="" dxfId="0">
      <formula>I29</formula>
    </cfRule>
  </conditionalFormatting>
  <conditionalFormatting sqref="M30">
    <cfRule type="cellIs" priority="266" operator="lessThanOrEqual" aboveAverage="0" equalAverage="0" bottom="0" percent="0" rank="0" text="" dxfId="0">
      <formula>I30</formula>
    </cfRule>
  </conditionalFormatting>
  <conditionalFormatting sqref="M31">
    <cfRule type="cellIs" priority="267" operator="lessThanOrEqual" aboveAverage="0" equalAverage="0" bottom="0" percent="0" rank="0" text="" dxfId="0">
      <formula>I31</formula>
    </cfRule>
  </conditionalFormatting>
  <conditionalFormatting sqref="M32">
    <cfRule type="cellIs" priority="268" operator="lessThanOrEqual" aboveAverage="0" equalAverage="0" bottom="0" percent="0" rank="0" text="" dxfId="0">
      <formula>I32</formula>
    </cfRule>
  </conditionalFormatting>
  <conditionalFormatting sqref="M33">
    <cfRule type="cellIs" priority="269" operator="lessThanOrEqual" aboveAverage="0" equalAverage="0" bottom="0" percent="0" rank="0" text="" dxfId="0">
      <formula>I33</formula>
    </cfRule>
  </conditionalFormatting>
  <conditionalFormatting sqref="M34">
    <cfRule type="cellIs" priority="270" operator="lessThanOrEqual" aboveAverage="0" equalAverage="0" bottom="0" percent="0" rank="0" text="" dxfId="0">
      <formula>I34</formula>
    </cfRule>
  </conditionalFormatting>
  <conditionalFormatting sqref="M35">
    <cfRule type="cellIs" priority="271" operator="lessThanOrEqual" aboveAverage="0" equalAverage="0" bottom="0" percent="0" rank="0" text="" dxfId="0">
      <formula>I35</formula>
    </cfRule>
  </conditionalFormatting>
  <conditionalFormatting sqref="M37">
    <cfRule type="cellIs" priority="272" operator="lessThanOrEqual" aboveAverage="0" equalAverage="0" bottom="0" percent="0" rank="0" text="" dxfId="0">
      <formula>I37</formula>
    </cfRule>
  </conditionalFormatting>
  <conditionalFormatting sqref="M38">
    <cfRule type="cellIs" priority="273" operator="lessThanOrEqual" aboveAverage="0" equalAverage="0" bottom="0" percent="0" rank="0" text="" dxfId="0">
      <formula>I38</formula>
    </cfRule>
  </conditionalFormatting>
  <conditionalFormatting sqref="M39">
    <cfRule type="cellIs" priority="274" operator="lessThanOrEqual" aboveAverage="0" equalAverage="0" bottom="0" percent="0" rank="0" text="" dxfId="0">
      <formula>I39</formula>
    </cfRule>
  </conditionalFormatting>
  <conditionalFormatting sqref="M40">
    <cfRule type="cellIs" priority="275" operator="lessThanOrEqual" aboveAverage="0" equalAverage="0" bottom="0" percent="0" rank="0" text="" dxfId="0">
      <formula>I40</formula>
    </cfRule>
  </conditionalFormatting>
  <conditionalFormatting sqref="M41">
    <cfRule type="cellIs" priority="276" operator="lessThanOrEqual" aboveAverage="0" equalAverage="0" bottom="0" percent="0" rank="0" text="" dxfId="0">
      <formula>I41</formula>
    </cfRule>
  </conditionalFormatting>
  <conditionalFormatting sqref="M42">
    <cfRule type="cellIs" priority="277" operator="lessThanOrEqual" aboveAverage="0" equalAverage="0" bottom="0" percent="0" rank="0" text="" dxfId="0">
      <formula>I42</formula>
    </cfRule>
  </conditionalFormatting>
  <conditionalFormatting sqref="M43">
    <cfRule type="cellIs" priority="278" operator="lessThanOrEqual" aboveAverage="0" equalAverage="0" bottom="0" percent="0" rank="0" text="" dxfId="0">
      <formula>I43</formula>
    </cfRule>
  </conditionalFormatting>
  <conditionalFormatting sqref="M44">
    <cfRule type="cellIs" priority="279" operator="lessThanOrEqual" aboveAverage="0" equalAverage="0" bottom="0" percent="0" rank="0" text="" dxfId="0">
      <formula>I44</formula>
    </cfRule>
  </conditionalFormatting>
  <conditionalFormatting sqref="M45">
    <cfRule type="cellIs" priority="280" operator="lessThanOrEqual" aboveAverage="0" equalAverage="0" bottom="0" percent="0" rank="0" text="" dxfId="0">
      <formula>I45</formula>
    </cfRule>
  </conditionalFormatting>
  <conditionalFormatting sqref="M46">
    <cfRule type="cellIs" priority="281" operator="lessThanOrEqual" aboveAverage="0" equalAverage="0" bottom="0" percent="0" rank="0" text="" dxfId="0">
      <formula>I46</formula>
    </cfRule>
  </conditionalFormatting>
  <conditionalFormatting sqref="M48">
    <cfRule type="cellIs" priority="282" operator="lessThanOrEqual" aboveAverage="0" equalAverage="0" bottom="0" percent="0" rank="0" text="" dxfId="0">
      <formula>I48</formula>
    </cfRule>
  </conditionalFormatting>
  <conditionalFormatting sqref="M49">
    <cfRule type="cellIs" priority="283" operator="lessThanOrEqual" aboveAverage="0" equalAverage="0" bottom="0" percent="0" rank="0" text="" dxfId="0">
      <formula>I49</formula>
    </cfRule>
  </conditionalFormatting>
  <conditionalFormatting sqref="M51">
    <cfRule type="cellIs" priority="284" operator="lessThanOrEqual" aboveAverage="0" equalAverage="0" bottom="0" percent="0" rank="0" text="" dxfId="0">
      <formula>I51</formula>
    </cfRule>
  </conditionalFormatting>
  <conditionalFormatting sqref="M52">
    <cfRule type="cellIs" priority="285" operator="lessThanOrEqual" aboveAverage="0" equalAverage="0" bottom="0" percent="0" rank="0" text="" dxfId="0">
      <formula>I52</formula>
    </cfRule>
  </conditionalFormatting>
  <conditionalFormatting sqref="M53">
    <cfRule type="cellIs" priority="286" operator="lessThanOrEqual" aboveAverage="0" equalAverage="0" bottom="0" percent="0" rank="0" text="" dxfId="0">
      <formula>I53</formula>
    </cfRule>
  </conditionalFormatting>
  <conditionalFormatting sqref="M54">
    <cfRule type="cellIs" priority="287" operator="lessThanOrEqual" aboveAverage="0" equalAverage="0" bottom="0" percent="0" rank="0" text="" dxfId="0">
      <formula>I54</formula>
    </cfRule>
  </conditionalFormatting>
  <conditionalFormatting sqref="M55">
    <cfRule type="cellIs" priority="288" operator="lessThanOrEqual" aboveAverage="0" equalAverage="0" bottom="0" percent="0" rank="0" text="" dxfId="0">
      <formula>I55</formula>
    </cfRule>
  </conditionalFormatting>
  <conditionalFormatting sqref="M56">
    <cfRule type="cellIs" priority="289" operator="lessThanOrEqual" aboveAverage="0" equalAverage="0" bottom="0" percent="0" rank="0" text="" dxfId="0">
      <formula>I56</formula>
    </cfRule>
  </conditionalFormatting>
  <conditionalFormatting sqref="M57">
    <cfRule type="cellIs" priority="290" operator="lessThanOrEqual" aboveAverage="0" equalAverage="0" bottom="0" percent="0" rank="0" text="" dxfId="0">
      <formula>I57</formula>
    </cfRule>
  </conditionalFormatting>
  <conditionalFormatting sqref="M58">
    <cfRule type="cellIs" priority="291" operator="lessThanOrEqual" aboveAverage="0" equalAverage="0" bottom="0" percent="0" rank="0" text="" dxfId="0">
      <formula>I58</formula>
    </cfRule>
  </conditionalFormatting>
  <conditionalFormatting sqref="M60">
    <cfRule type="cellIs" priority="292" operator="lessThanOrEqual" aboveAverage="0" equalAverage="0" bottom="0" percent="0" rank="0" text="" dxfId="0">
      <formula>I60</formula>
    </cfRule>
  </conditionalFormatting>
  <conditionalFormatting sqref="M61">
    <cfRule type="cellIs" priority="293" operator="lessThanOrEqual" aboveAverage="0" equalAverage="0" bottom="0" percent="0" rank="0" text="" dxfId="0">
      <formula>I61</formula>
    </cfRule>
  </conditionalFormatting>
  <conditionalFormatting sqref="M62">
    <cfRule type="cellIs" priority="294" operator="lessThanOrEqual" aboveAverage="0" equalAverage="0" bottom="0" percent="0" rank="0" text="" dxfId="0">
      <formula>I62</formula>
    </cfRule>
  </conditionalFormatting>
  <conditionalFormatting sqref="M63">
    <cfRule type="cellIs" priority="295" operator="lessThanOrEqual" aboveAverage="0" equalAverage="0" bottom="0" percent="0" rank="0" text="" dxfId="0">
      <formula>I63</formula>
    </cfRule>
  </conditionalFormatting>
  <conditionalFormatting sqref="M64">
    <cfRule type="cellIs" priority="296" operator="lessThanOrEqual" aboveAverage="0" equalAverage="0" bottom="0" percent="0" rank="0" text="" dxfId="0">
      <formula>I64</formula>
    </cfRule>
  </conditionalFormatting>
  <conditionalFormatting sqref="M65">
    <cfRule type="cellIs" priority="297" operator="lessThanOrEqual" aboveAverage="0" equalAverage="0" bottom="0" percent="0" rank="0" text="" dxfId="0">
      <formula>I65</formula>
    </cfRule>
  </conditionalFormatting>
  <conditionalFormatting sqref="M66">
    <cfRule type="cellIs" priority="298" operator="lessThanOrEqual" aboveAverage="0" equalAverage="0" bottom="0" percent="0" rank="0" text="" dxfId="0">
      <formula>I66</formula>
    </cfRule>
  </conditionalFormatting>
  <conditionalFormatting sqref="M67">
    <cfRule type="cellIs" priority="299" operator="lessThanOrEqual" aboveAverage="0" equalAverage="0" bottom="0" percent="0" rank="0" text="" dxfId="0">
      <formula>I67</formula>
    </cfRule>
  </conditionalFormatting>
  <conditionalFormatting sqref="M69">
    <cfRule type="cellIs" priority="300" operator="lessThanOrEqual" aboveAverage="0" equalAverage="0" bottom="0" percent="0" rank="0" text="" dxfId="0">
      <formula>I69</formula>
    </cfRule>
  </conditionalFormatting>
  <conditionalFormatting sqref="M7">
    <cfRule type="cellIs" priority="301" operator="lessThanOrEqual" aboveAverage="0" equalAverage="0" bottom="0" percent="0" rank="0" text="" dxfId="0">
      <formula>I7</formula>
    </cfRule>
  </conditionalFormatting>
  <conditionalFormatting sqref="M72">
    <cfRule type="cellIs" priority="302" operator="lessThanOrEqual" aboveAverage="0" equalAverage="0" bottom="0" percent="0" rank="0" text="" dxfId="0">
      <formula>I72</formula>
    </cfRule>
  </conditionalFormatting>
  <conditionalFormatting sqref="M73">
    <cfRule type="cellIs" priority="303" operator="lessThanOrEqual" aboveAverage="0" equalAverage="0" bottom="0" percent="0" rank="0" text="" dxfId="0">
      <formula>I73</formula>
    </cfRule>
  </conditionalFormatting>
  <conditionalFormatting sqref="M74">
    <cfRule type="cellIs" priority="304" operator="lessThanOrEqual" aboveAverage="0" equalAverage="0" bottom="0" percent="0" rank="0" text="" dxfId="0">
      <formula>I74</formula>
    </cfRule>
  </conditionalFormatting>
  <conditionalFormatting sqref="M75">
    <cfRule type="cellIs" priority="305" operator="lessThanOrEqual" aboveAverage="0" equalAverage="0" bottom="0" percent="0" rank="0" text="" dxfId="0">
      <formula>I75</formula>
    </cfRule>
  </conditionalFormatting>
  <conditionalFormatting sqref="M76">
    <cfRule type="cellIs" priority="306" operator="lessThanOrEqual" aboveAverage="0" equalAverage="0" bottom="0" percent="0" rank="0" text="" dxfId="0">
      <formula>I76</formula>
    </cfRule>
  </conditionalFormatting>
  <conditionalFormatting sqref="M77">
    <cfRule type="cellIs" priority="307" operator="lessThanOrEqual" aboveAverage="0" equalAverage="0" bottom="0" percent="0" rank="0" text="" dxfId="0">
      <formula>I77</formula>
    </cfRule>
  </conditionalFormatting>
  <conditionalFormatting sqref="M78">
    <cfRule type="cellIs" priority="308" operator="lessThanOrEqual" aboveAverage="0" equalAverage="0" bottom="0" percent="0" rank="0" text="" dxfId="0">
      <formula>I78</formula>
    </cfRule>
  </conditionalFormatting>
  <conditionalFormatting sqref="M79">
    <cfRule type="cellIs" priority="309" operator="lessThanOrEqual" aboveAverage="0" equalAverage="0" bottom="0" percent="0" rank="0" text="" dxfId="0">
      <formula>I79</formula>
    </cfRule>
  </conditionalFormatting>
  <conditionalFormatting sqref="M8">
    <cfRule type="cellIs" priority="310" operator="lessThanOrEqual" aboveAverage="0" equalAverage="0" bottom="0" percent="0" rank="0" text="" dxfId="0">
      <formula>I8</formula>
    </cfRule>
  </conditionalFormatting>
  <conditionalFormatting sqref="M80">
    <cfRule type="cellIs" priority="311" operator="lessThanOrEqual" aboveAverage="0" equalAverage="0" bottom="0" percent="0" rank="0" text="" dxfId="0">
      <formula>I80</formula>
    </cfRule>
  </conditionalFormatting>
  <conditionalFormatting sqref="M81">
    <cfRule type="cellIs" priority="312" operator="lessThanOrEqual" aboveAverage="0" equalAverage="0" bottom="0" percent="0" rank="0" text="" dxfId="0">
      <formula>I81</formula>
    </cfRule>
  </conditionalFormatting>
  <conditionalFormatting sqref="M82">
    <cfRule type="cellIs" priority="313" operator="lessThanOrEqual" aboveAverage="0" equalAverage="0" bottom="0" percent="0" rank="0" text="" dxfId="0">
      <formula>I82</formula>
    </cfRule>
  </conditionalFormatting>
  <conditionalFormatting sqref="M83">
    <cfRule type="cellIs" priority="314" operator="lessThanOrEqual" aboveAverage="0" equalAverage="0" bottom="0" percent="0" rank="0" text="" dxfId="0">
      <formula>I83</formula>
    </cfRule>
  </conditionalFormatting>
  <conditionalFormatting sqref="M84">
    <cfRule type="cellIs" priority="315" operator="lessThanOrEqual" aboveAverage="0" equalAverage="0" bottom="0" percent="0" rank="0" text="" dxfId="0">
      <formula>I84</formula>
    </cfRule>
  </conditionalFormatting>
  <conditionalFormatting sqref="M85">
    <cfRule type="cellIs" priority="316" operator="lessThanOrEqual" aboveAverage="0" equalAverage="0" bottom="0" percent="0" rank="0" text="" dxfId="0">
      <formula>I85</formula>
    </cfRule>
  </conditionalFormatting>
  <conditionalFormatting sqref="M9">
    <cfRule type="cellIs" priority="317" operator="lessThanOrEqual" aboveAverage="0" equalAverage="0" bottom="0" percent="0" rank="0" text="" dxfId="0">
      <formula>I9</formula>
    </cfRule>
  </conditionalFormatting>
  <conditionalFormatting sqref="R10">
    <cfRule type="cellIs" priority="318" operator="lessThanOrEqual" aboveAverage="0" equalAverage="0" bottom="0" percent="0" rank="0" text="" dxfId="0">
      <formula>H10</formula>
    </cfRule>
  </conditionalFormatting>
  <conditionalFormatting sqref="R11">
    <cfRule type="cellIs" priority="319" operator="lessThanOrEqual" aboveAverage="0" equalAverage="0" bottom="0" percent="0" rank="0" text="" dxfId="0">
      <formula>H11</formula>
    </cfRule>
  </conditionalFormatting>
  <conditionalFormatting sqref="R12">
    <cfRule type="cellIs" priority="320" operator="lessThanOrEqual" aboveAverage="0" equalAverage="0" bottom="0" percent="0" rank="0" text="" dxfId="0">
      <formula>H12</formula>
    </cfRule>
  </conditionalFormatting>
  <conditionalFormatting sqref="R13">
    <cfRule type="cellIs" priority="321" operator="lessThanOrEqual" aboveAverage="0" equalAverage="0" bottom="0" percent="0" rank="0" text="" dxfId="0">
      <formula>H13</formula>
    </cfRule>
  </conditionalFormatting>
  <conditionalFormatting sqref="R14">
    <cfRule type="cellIs" priority="322" operator="lessThanOrEqual" aboveAverage="0" equalAverage="0" bottom="0" percent="0" rank="0" text="" dxfId="0">
      <formula>H14</formula>
    </cfRule>
  </conditionalFormatting>
  <conditionalFormatting sqref="R15">
    <cfRule type="cellIs" priority="323" operator="lessThanOrEqual" aboveAverage="0" equalAverage="0" bottom="0" percent="0" rank="0" text="" dxfId="0">
      <formula>H15</formula>
    </cfRule>
  </conditionalFormatting>
  <conditionalFormatting sqref="R16">
    <cfRule type="cellIs" priority="324" operator="lessThanOrEqual" aboveAverage="0" equalAverage="0" bottom="0" percent="0" rank="0" text="" dxfId="0">
      <formula>H16</formula>
    </cfRule>
  </conditionalFormatting>
  <conditionalFormatting sqref="R19">
    <cfRule type="cellIs" priority="325" operator="lessThanOrEqual" aboveAverage="0" equalAverage="0" bottom="0" percent="0" rank="0" text="" dxfId="0">
      <formula>H19</formula>
    </cfRule>
  </conditionalFormatting>
  <conditionalFormatting sqref="R22">
    <cfRule type="cellIs" priority="326" operator="lessThanOrEqual" aboveAverage="0" equalAverage="0" bottom="0" percent="0" rank="0" text="" dxfId="0">
      <formula>H22</formula>
    </cfRule>
  </conditionalFormatting>
  <conditionalFormatting sqref="R23">
    <cfRule type="cellIs" priority="327" operator="lessThanOrEqual" aboveAverage="0" equalAverage="0" bottom="0" percent="0" rank="0" text="" dxfId="0">
      <formula>H23</formula>
    </cfRule>
  </conditionalFormatting>
  <conditionalFormatting sqref="R25">
    <cfRule type="cellIs" priority="328" operator="lessThanOrEqual" aboveAverage="0" equalAverage="0" bottom="0" percent="0" rank="0" text="" dxfId="0">
      <formula>H25</formula>
    </cfRule>
  </conditionalFormatting>
  <conditionalFormatting sqref="R26">
    <cfRule type="cellIs" priority="329" operator="lessThanOrEqual" aboveAverage="0" equalAverage="0" bottom="0" percent="0" rank="0" text="" dxfId="0">
      <formula>H26</formula>
    </cfRule>
  </conditionalFormatting>
  <conditionalFormatting sqref="R27">
    <cfRule type="cellIs" priority="330" operator="lessThanOrEqual" aboveAverage="0" equalAverage="0" bottom="0" percent="0" rank="0" text="" dxfId="0">
      <formula>H27</formula>
    </cfRule>
  </conditionalFormatting>
  <conditionalFormatting sqref="R29">
    <cfRule type="cellIs" priority="331" operator="lessThanOrEqual" aboveAverage="0" equalAverage="0" bottom="0" percent="0" rank="0" text="" dxfId="0">
      <formula>H29</formula>
    </cfRule>
  </conditionalFormatting>
  <conditionalFormatting sqref="R31">
    <cfRule type="cellIs" priority="332" operator="lessThanOrEqual" aboveAverage="0" equalAverage="0" bottom="0" percent="0" rank="0" text="" dxfId="0">
      <formula>H31</formula>
    </cfRule>
  </conditionalFormatting>
  <conditionalFormatting sqref="R33">
    <cfRule type="cellIs" priority="333" operator="lessThanOrEqual" aboveAverage="0" equalAverage="0" bottom="0" percent="0" rank="0" text="" dxfId="0">
      <formula>H33</formula>
    </cfRule>
  </conditionalFormatting>
  <conditionalFormatting sqref="R38">
    <cfRule type="cellIs" priority="334" operator="lessThanOrEqual" aboveAverage="0" equalAverage="0" bottom="0" percent="0" rank="0" text="" dxfId="0">
      <formula>H38</formula>
    </cfRule>
  </conditionalFormatting>
  <conditionalFormatting sqref="R41">
    <cfRule type="cellIs" priority="335" operator="lessThanOrEqual" aboveAverage="0" equalAverage="0" bottom="0" percent="0" rank="0" text="" dxfId="0">
      <formula>H41</formula>
    </cfRule>
  </conditionalFormatting>
  <conditionalFormatting sqref="R42">
    <cfRule type="cellIs" priority="336" operator="lessThanOrEqual" aboveAverage="0" equalAverage="0" bottom="0" percent="0" rank="0" text="" dxfId="0">
      <formula>H42</formula>
    </cfRule>
  </conditionalFormatting>
  <conditionalFormatting sqref="R43">
    <cfRule type="cellIs" priority="337" operator="lessThanOrEqual" aboveAverage="0" equalAverage="0" bottom="0" percent="0" rank="0" text="" dxfId="0">
      <formula>H43</formula>
    </cfRule>
  </conditionalFormatting>
  <conditionalFormatting sqref="R44">
    <cfRule type="cellIs" priority="338" operator="lessThanOrEqual" aboveAverage="0" equalAverage="0" bottom="0" percent="0" rank="0" text="" dxfId="0">
      <formula>H44</formula>
    </cfRule>
  </conditionalFormatting>
  <conditionalFormatting sqref="R46">
    <cfRule type="cellIs" priority="339" operator="lessThanOrEqual" aboveAverage="0" equalAverage="0" bottom="0" percent="0" rank="0" text="" dxfId="0">
      <formula>H46</formula>
    </cfRule>
  </conditionalFormatting>
  <conditionalFormatting sqref="R47">
    <cfRule type="cellIs" priority="340" operator="lessThanOrEqual" aboveAverage="0" equalAverage="0" bottom="0" percent="0" rank="0" text="" dxfId="0">
      <formula>H47</formula>
    </cfRule>
  </conditionalFormatting>
  <conditionalFormatting sqref="R48">
    <cfRule type="cellIs" priority="341" operator="lessThanOrEqual" aboveAverage="0" equalAverage="0" bottom="0" percent="0" rank="0" text="" dxfId="0">
      <formula>H48</formula>
    </cfRule>
  </conditionalFormatting>
  <conditionalFormatting sqref="R51">
    <cfRule type="cellIs" priority="342" operator="lessThanOrEqual" aboveAverage="0" equalAverage="0" bottom="0" percent="0" rank="0" text="" dxfId="0">
      <formula>H51</formula>
    </cfRule>
  </conditionalFormatting>
  <conditionalFormatting sqref="R52">
    <cfRule type="cellIs" priority="343" operator="lessThanOrEqual" aboveAverage="0" equalAverage="0" bottom="0" percent="0" rank="0" text="" dxfId="0">
      <formula>H52</formula>
    </cfRule>
  </conditionalFormatting>
  <conditionalFormatting sqref="R53">
    <cfRule type="cellIs" priority="344" operator="lessThanOrEqual" aboveAverage="0" equalAverage="0" bottom="0" percent="0" rank="0" text="" dxfId="0">
      <formula>H53</formula>
    </cfRule>
  </conditionalFormatting>
  <conditionalFormatting sqref="R56">
    <cfRule type="cellIs" priority="345" operator="lessThanOrEqual" aboveAverage="0" equalAverage="0" bottom="0" percent="0" rank="0" text="" dxfId="0">
      <formula>H56</formula>
    </cfRule>
  </conditionalFormatting>
  <conditionalFormatting sqref="R58">
    <cfRule type="cellIs" priority="346" operator="lessThanOrEqual" aboveAverage="0" equalAverage="0" bottom="0" percent="0" rank="0" text="" dxfId="0">
      <formula>H58</formula>
    </cfRule>
  </conditionalFormatting>
  <conditionalFormatting sqref="R60">
    <cfRule type="cellIs" priority="347" operator="lessThanOrEqual" aboveAverage="0" equalAverage="0" bottom="0" percent="0" rank="0" text="" dxfId="0">
      <formula>H60</formula>
    </cfRule>
  </conditionalFormatting>
  <conditionalFormatting sqref="R61">
    <cfRule type="cellIs" priority="348" operator="lessThanOrEqual" aboveAverage="0" equalAverage="0" bottom="0" percent="0" rank="0" text="" dxfId="0">
      <formula>H61</formula>
    </cfRule>
  </conditionalFormatting>
  <conditionalFormatting sqref="R62">
    <cfRule type="cellIs" priority="349" operator="lessThanOrEqual" aboveAverage="0" equalAverage="0" bottom="0" percent="0" rank="0" text="" dxfId="0">
      <formula>H62</formula>
    </cfRule>
  </conditionalFormatting>
  <conditionalFormatting sqref="R63">
    <cfRule type="cellIs" priority="350" operator="lessThanOrEqual" aboveAverage="0" equalAverage="0" bottom="0" percent="0" rank="0" text="" dxfId="0">
      <formula>H63</formula>
    </cfRule>
  </conditionalFormatting>
  <conditionalFormatting sqref="R64">
    <cfRule type="cellIs" priority="351" operator="lessThanOrEqual" aboveAverage="0" equalAverage="0" bottom="0" percent="0" rank="0" text="" dxfId="0">
      <formula>H64</formula>
    </cfRule>
  </conditionalFormatting>
  <conditionalFormatting sqref="R65">
    <cfRule type="cellIs" priority="352" operator="lessThanOrEqual" aboveAverage="0" equalAverage="0" bottom="0" percent="0" rank="0" text="" dxfId="0">
      <formula>H65</formula>
    </cfRule>
  </conditionalFormatting>
  <conditionalFormatting sqref="R67">
    <cfRule type="cellIs" priority="353" operator="lessThanOrEqual" aboveAverage="0" equalAverage="0" bottom="0" percent="0" rank="0" text="" dxfId="0">
      <formula>H67</formula>
    </cfRule>
  </conditionalFormatting>
  <conditionalFormatting sqref="R7">
    <cfRule type="cellIs" priority="354" operator="lessThanOrEqual" aboveAverage="0" equalAverage="0" bottom="0" percent="0" rank="0" text="" dxfId="0">
      <formula>H7</formula>
    </cfRule>
  </conditionalFormatting>
  <conditionalFormatting sqref="R71">
    <cfRule type="cellIs" priority="355" operator="lessThanOrEqual" aboveAverage="0" equalAverage="0" bottom="0" percent="0" rank="0" text="" dxfId="0">
      <formula>H71</formula>
    </cfRule>
  </conditionalFormatting>
  <conditionalFormatting sqref="R73">
    <cfRule type="cellIs" priority="356" operator="lessThanOrEqual" aboveAverage="0" equalAverage="0" bottom="0" percent="0" rank="0" text="" dxfId="0">
      <formula>H73</formula>
    </cfRule>
  </conditionalFormatting>
  <conditionalFormatting sqref="R74">
    <cfRule type="cellIs" priority="357" operator="lessThanOrEqual" aboveAverage="0" equalAverage="0" bottom="0" percent="0" rank="0" text="" dxfId="0">
      <formula>H74</formula>
    </cfRule>
  </conditionalFormatting>
  <conditionalFormatting sqref="R75">
    <cfRule type="cellIs" priority="358" operator="lessThanOrEqual" aboveAverage="0" equalAverage="0" bottom="0" percent="0" rank="0" text="" dxfId="0">
      <formula>H75</formula>
    </cfRule>
  </conditionalFormatting>
  <conditionalFormatting sqref="R76">
    <cfRule type="cellIs" priority="359" operator="lessThanOrEqual" aboveAverage="0" equalAverage="0" bottom="0" percent="0" rank="0" text="" dxfId="0">
      <formula>H76</formula>
    </cfRule>
  </conditionalFormatting>
  <conditionalFormatting sqref="R79">
    <cfRule type="cellIs" priority="360" operator="lessThanOrEqual" aboveAverage="0" equalAverage="0" bottom="0" percent="0" rank="0" text="" dxfId="0">
      <formula>H79</formula>
    </cfRule>
  </conditionalFormatting>
  <conditionalFormatting sqref="R8">
    <cfRule type="cellIs" priority="361" operator="lessThanOrEqual" aboveAverage="0" equalAverage="0" bottom="0" percent="0" rank="0" text="" dxfId="0">
      <formula>H8</formula>
    </cfRule>
  </conditionalFormatting>
  <conditionalFormatting sqref="R81">
    <cfRule type="cellIs" priority="362" operator="lessThanOrEqual" aboveAverage="0" equalAverage="0" bottom="0" percent="0" rank="0" text="" dxfId="0">
      <formula>H81</formula>
    </cfRule>
  </conditionalFormatting>
  <conditionalFormatting sqref="R84">
    <cfRule type="cellIs" priority="363" operator="lessThanOrEqual" aboveAverage="0" equalAverage="0" bottom="0" percent="0" rank="0" text="" dxfId="0">
      <formula>H84</formula>
    </cfRule>
  </conditionalFormatting>
  <conditionalFormatting sqref="R85">
    <cfRule type="cellIs" priority="364" operator="lessThanOrEqual" aboveAverage="0" equalAverage="0" bottom="0" percent="0" rank="0" text="" dxfId="0">
      <formula>H85</formula>
    </cfRule>
  </conditionalFormatting>
  <conditionalFormatting sqref="R9">
    <cfRule type="cellIs" priority="365" operator="lessThanOrEqual" aboveAverage="0" equalAverage="0" bottom="0" percent="0" rank="0" text="" dxfId="0">
      <formula>H9</formula>
    </cfRule>
  </conditionalFormatting>
  <conditionalFormatting sqref="S10">
    <cfRule type="cellIs" priority="366" operator="lessThanOrEqual" aboveAverage="0" equalAverage="0" bottom="0" percent="0" rank="0" text="" dxfId="0">
      <formula>I10</formula>
    </cfRule>
  </conditionalFormatting>
  <conditionalFormatting sqref="S11">
    <cfRule type="cellIs" priority="367" operator="lessThanOrEqual" aboveAverage="0" equalAverage="0" bottom="0" percent="0" rank="0" text="" dxfId="0">
      <formula>I11</formula>
    </cfRule>
  </conditionalFormatting>
  <conditionalFormatting sqref="S12">
    <cfRule type="cellIs" priority="368" operator="lessThanOrEqual" aboveAverage="0" equalAverage="0" bottom="0" percent="0" rank="0" text="" dxfId="0">
      <formula>I12</formula>
    </cfRule>
  </conditionalFormatting>
  <conditionalFormatting sqref="S13">
    <cfRule type="cellIs" priority="369" operator="lessThanOrEqual" aboveAverage="0" equalAverage="0" bottom="0" percent="0" rank="0" text="" dxfId="0">
      <formula>I13</formula>
    </cfRule>
  </conditionalFormatting>
  <conditionalFormatting sqref="S14">
    <cfRule type="cellIs" priority="370" operator="lessThanOrEqual" aboveAverage="0" equalAverage="0" bottom="0" percent="0" rank="0" text="" dxfId="0">
      <formula>I14</formula>
    </cfRule>
  </conditionalFormatting>
  <conditionalFormatting sqref="S15">
    <cfRule type="cellIs" priority="371" operator="lessThanOrEqual" aboveAverage="0" equalAverage="0" bottom="0" percent="0" rank="0" text="" dxfId="0">
      <formula>I15</formula>
    </cfRule>
  </conditionalFormatting>
  <conditionalFormatting sqref="S16">
    <cfRule type="cellIs" priority="372" operator="lessThanOrEqual" aboveAverage="0" equalAverage="0" bottom="0" percent="0" rank="0" text="" dxfId="0">
      <formula>I16</formula>
    </cfRule>
  </conditionalFormatting>
  <conditionalFormatting sqref="S19">
    <cfRule type="cellIs" priority="373" operator="lessThanOrEqual" aboveAverage="0" equalAverage="0" bottom="0" percent="0" rank="0" text="" dxfId="0">
      <formula>I19</formula>
    </cfRule>
  </conditionalFormatting>
  <conditionalFormatting sqref="S22">
    <cfRule type="cellIs" priority="374" operator="lessThanOrEqual" aboveAverage="0" equalAverage="0" bottom="0" percent="0" rank="0" text="" dxfId="0">
      <formula>I22</formula>
    </cfRule>
  </conditionalFormatting>
  <conditionalFormatting sqref="S23">
    <cfRule type="cellIs" priority="375" operator="lessThanOrEqual" aboveAverage="0" equalAverage="0" bottom="0" percent="0" rank="0" text="" dxfId="0">
      <formula>I23</formula>
    </cfRule>
  </conditionalFormatting>
  <conditionalFormatting sqref="S25">
    <cfRule type="cellIs" priority="376" operator="lessThanOrEqual" aboveAverage="0" equalAverage="0" bottom="0" percent="0" rank="0" text="" dxfId="0">
      <formula>I25</formula>
    </cfRule>
  </conditionalFormatting>
  <conditionalFormatting sqref="S26">
    <cfRule type="cellIs" priority="377" operator="lessThanOrEqual" aboveAverage="0" equalAverage="0" bottom="0" percent="0" rank="0" text="" dxfId="0">
      <formula>I26</formula>
    </cfRule>
  </conditionalFormatting>
  <conditionalFormatting sqref="S27">
    <cfRule type="cellIs" priority="378" operator="lessThanOrEqual" aboveAverage="0" equalAverage="0" bottom="0" percent="0" rank="0" text="" dxfId="0">
      <formula>I27</formula>
    </cfRule>
  </conditionalFormatting>
  <conditionalFormatting sqref="S29">
    <cfRule type="cellIs" priority="379" operator="lessThanOrEqual" aboveAverage="0" equalAverage="0" bottom="0" percent="0" rank="0" text="" dxfId="0">
      <formula>I29</formula>
    </cfRule>
  </conditionalFormatting>
  <conditionalFormatting sqref="S31">
    <cfRule type="cellIs" priority="380" operator="lessThanOrEqual" aboveAverage="0" equalAverage="0" bottom="0" percent="0" rank="0" text="" dxfId="0">
      <formula>I31</formula>
    </cfRule>
  </conditionalFormatting>
  <conditionalFormatting sqref="S33">
    <cfRule type="cellIs" priority="381" operator="lessThanOrEqual" aboveAverage="0" equalAverage="0" bottom="0" percent="0" rank="0" text="" dxfId="0">
      <formula>I33</formula>
    </cfRule>
  </conditionalFormatting>
  <conditionalFormatting sqref="S38">
    <cfRule type="cellIs" priority="382" operator="lessThanOrEqual" aboveAverage="0" equalAverage="0" bottom="0" percent="0" rank="0" text="" dxfId="0">
      <formula>I38</formula>
    </cfRule>
  </conditionalFormatting>
  <conditionalFormatting sqref="S41">
    <cfRule type="cellIs" priority="383" operator="lessThanOrEqual" aboveAverage="0" equalAverage="0" bottom="0" percent="0" rank="0" text="" dxfId="0">
      <formula>I41</formula>
    </cfRule>
  </conditionalFormatting>
  <conditionalFormatting sqref="S42">
    <cfRule type="cellIs" priority="384" operator="lessThanOrEqual" aboveAverage="0" equalAverage="0" bottom="0" percent="0" rank="0" text="" dxfId="0">
      <formula>I42</formula>
    </cfRule>
  </conditionalFormatting>
  <conditionalFormatting sqref="S43">
    <cfRule type="cellIs" priority="385" operator="lessThanOrEqual" aboveAverage="0" equalAverage="0" bottom="0" percent="0" rank="0" text="" dxfId="0">
      <formula>I43</formula>
    </cfRule>
  </conditionalFormatting>
  <conditionalFormatting sqref="S44">
    <cfRule type="cellIs" priority="386" operator="lessThanOrEqual" aboveAverage="0" equalAverage="0" bottom="0" percent="0" rank="0" text="" dxfId="0">
      <formula>I44</formula>
    </cfRule>
  </conditionalFormatting>
  <conditionalFormatting sqref="S46">
    <cfRule type="cellIs" priority="387" operator="lessThanOrEqual" aboveAverage="0" equalAverage="0" bottom="0" percent="0" rank="0" text="" dxfId="0">
      <formula>I46</formula>
    </cfRule>
  </conditionalFormatting>
  <conditionalFormatting sqref="S47">
    <cfRule type="cellIs" priority="388" operator="lessThanOrEqual" aboveAverage="0" equalAverage="0" bottom="0" percent="0" rank="0" text="" dxfId="0">
      <formula>I47</formula>
    </cfRule>
  </conditionalFormatting>
  <conditionalFormatting sqref="S48">
    <cfRule type="cellIs" priority="389" operator="lessThanOrEqual" aboveAverage="0" equalAverage="0" bottom="0" percent="0" rank="0" text="" dxfId="0">
      <formula>I48</formula>
    </cfRule>
  </conditionalFormatting>
  <conditionalFormatting sqref="S51">
    <cfRule type="cellIs" priority="390" operator="lessThanOrEqual" aboveAverage="0" equalAverage="0" bottom="0" percent="0" rank="0" text="" dxfId="0">
      <formula>I51</formula>
    </cfRule>
  </conditionalFormatting>
  <conditionalFormatting sqref="S52">
    <cfRule type="cellIs" priority="391" operator="lessThanOrEqual" aboveAverage="0" equalAverage="0" bottom="0" percent="0" rank="0" text="" dxfId="0">
      <formula>I52</formula>
    </cfRule>
  </conditionalFormatting>
  <conditionalFormatting sqref="S53">
    <cfRule type="cellIs" priority="392" operator="lessThanOrEqual" aboveAverage="0" equalAverage="0" bottom="0" percent="0" rank="0" text="" dxfId="0">
      <formula>I53</formula>
    </cfRule>
  </conditionalFormatting>
  <conditionalFormatting sqref="S56">
    <cfRule type="cellIs" priority="393" operator="lessThanOrEqual" aboveAverage="0" equalAverage="0" bottom="0" percent="0" rank="0" text="" dxfId="0">
      <formula>I56</formula>
    </cfRule>
  </conditionalFormatting>
  <conditionalFormatting sqref="S58">
    <cfRule type="cellIs" priority="394" operator="lessThanOrEqual" aboveAverage="0" equalAverage="0" bottom="0" percent="0" rank="0" text="" dxfId="0">
      <formula>I58</formula>
    </cfRule>
  </conditionalFormatting>
  <conditionalFormatting sqref="S60">
    <cfRule type="cellIs" priority="395" operator="lessThanOrEqual" aboveAverage="0" equalAverage="0" bottom="0" percent="0" rank="0" text="" dxfId="0">
      <formula>I60</formula>
    </cfRule>
  </conditionalFormatting>
  <conditionalFormatting sqref="S61">
    <cfRule type="cellIs" priority="396" operator="lessThanOrEqual" aboveAverage="0" equalAverage="0" bottom="0" percent="0" rank="0" text="" dxfId="0">
      <formula>I61</formula>
    </cfRule>
  </conditionalFormatting>
  <conditionalFormatting sqref="S62">
    <cfRule type="cellIs" priority="397" operator="lessThanOrEqual" aboveAverage="0" equalAverage="0" bottom="0" percent="0" rank="0" text="" dxfId="0">
      <formula>I62</formula>
    </cfRule>
  </conditionalFormatting>
  <conditionalFormatting sqref="S63">
    <cfRule type="cellIs" priority="398" operator="lessThanOrEqual" aboveAverage="0" equalAverage="0" bottom="0" percent="0" rank="0" text="" dxfId="0">
      <formula>I63</formula>
    </cfRule>
  </conditionalFormatting>
  <conditionalFormatting sqref="S64">
    <cfRule type="cellIs" priority="399" operator="lessThanOrEqual" aboveAverage="0" equalAverage="0" bottom="0" percent="0" rank="0" text="" dxfId="0">
      <formula>I64</formula>
    </cfRule>
  </conditionalFormatting>
  <conditionalFormatting sqref="S65">
    <cfRule type="cellIs" priority="400" operator="lessThanOrEqual" aboveAverage="0" equalAverage="0" bottom="0" percent="0" rank="0" text="" dxfId="0">
      <formula>I65</formula>
    </cfRule>
  </conditionalFormatting>
  <conditionalFormatting sqref="S67">
    <cfRule type="cellIs" priority="401" operator="lessThanOrEqual" aboveAverage="0" equalAverage="0" bottom="0" percent="0" rank="0" text="" dxfId="0">
      <formula>I67</formula>
    </cfRule>
  </conditionalFormatting>
  <conditionalFormatting sqref="S7">
    <cfRule type="cellIs" priority="402" operator="lessThanOrEqual" aboveAverage="0" equalAverage="0" bottom="0" percent="0" rank="0" text="" dxfId="0">
      <formula>I7</formula>
    </cfRule>
  </conditionalFormatting>
  <conditionalFormatting sqref="S71">
    <cfRule type="cellIs" priority="403" operator="lessThanOrEqual" aboveAverage="0" equalAverage="0" bottom="0" percent="0" rank="0" text="" dxfId="0">
      <formula>I71</formula>
    </cfRule>
  </conditionalFormatting>
  <conditionalFormatting sqref="S73">
    <cfRule type="cellIs" priority="404" operator="lessThanOrEqual" aboveAverage="0" equalAverage="0" bottom="0" percent="0" rank="0" text="" dxfId="0">
      <formula>I73</formula>
    </cfRule>
  </conditionalFormatting>
  <conditionalFormatting sqref="S74">
    <cfRule type="cellIs" priority="405" operator="lessThanOrEqual" aboveAverage="0" equalAverage="0" bottom="0" percent="0" rank="0" text="" dxfId="0">
      <formula>I74</formula>
    </cfRule>
  </conditionalFormatting>
  <conditionalFormatting sqref="S75">
    <cfRule type="cellIs" priority="406" operator="lessThanOrEqual" aboveAverage="0" equalAverage="0" bottom="0" percent="0" rank="0" text="" dxfId="0">
      <formula>I75</formula>
    </cfRule>
  </conditionalFormatting>
  <conditionalFormatting sqref="S76">
    <cfRule type="cellIs" priority="407" operator="lessThanOrEqual" aboveAverage="0" equalAverage="0" bottom="0" percent="0" rank="0" text="" dxfId="0">
      <formula>I76</formula>
    </cfRule>
  </conditionalFormatting>
  <conditionalFormatting sqref="S79">
    <cfRule type="cellIs" priority="408" operator="lessThanOrEqual" aboveAverage="0" equalAverage="0" bottom="0" percent="0" rank="0" text="" dxfId="0">
      <formula>I79</formula>
    </cfRule>
  </conditionalFormatting>
  <conditionalFormatting sqref="S8">
    <cfRule type="cellIs" priority="409" operator="lessThanOrEqual" aboveAverage="0" equalAverage="0" bottom="0" percent="0" rank="0" text="" dxfId="0">
      <formula>I8</formula>
    </cfRule>
  </conditionalFormatting>
  <conditionalFormatting sqref="S81">
    <cfRule type="cellIs" priority="410" operator="lessThanOrEqual" aboveAverage="0" equalAverage="0" bottom="0" percent="0" rank="0" text="" dxfId="0">
      <formula>I81</formula>
    </cfRule>
  </conditionalFormatting>
  <conditionalFormatting sqref="S84">
    <cfRule type="cellIs" priority="411" operator="lessThanOrEqual" aboveAverage="0" equalAverage="0" bottom="0" percent="0" rank="0" text="" dxfId="0">
      <formula>I84</formula>
    </cfRule>
  </conditionalFormatting>
  <conditionalFormatting sqref="S85">
    <cfRule type="cellIs" priority="412" operator="lessThanOrEqual" aboveAverage="0" equalAverage="0" bottom="0" percent="0" rank="0" text="" dxfId="0">
      <formula>I85</formula>
    </cfRule>
  </conditionalFormatting>
  <conditionalFormatting sqref="S9">
    <cfRule type="cellIs" priority="413" operator="lessThanOrEqual" aboveAverage="0" equalAverage="0" bottom="0" percent="0" rank="0" text="" dxfId="0">
      <formula>I9</formula>
    </cfRule>
  </conditionalFormatting>
  <conditionalFormatting sqref="X10">
    <cfRule type="cellIs" priority="414" operator="lessThanOrEqual" aboveAverage="0" equalAverage="0" bottom="0" percent="0" rank="0" text="" dxfId="0">
      <formula>H10</formula>
    </cfRule>
  </conditionalFormatting>
  <conditionalFormatting sqref="X11">
    <cfRule type="cellIs" priority="415" operator="lessThanOrEqual" aboveAverage="0" equalAverage="0" bottom="0" percent="0" rank="0" text="" dxfId="0">
      <formula>H11</formula>
    </cfRule>
  </conditionalFormatting>
  <conditionalFormatting sqref="X12">
    <cfRule type="cellIs" priority="416" operator="lessThanOrEqual" aboveAverage="0" equalAverage="0" bottom="0" percent="0" rank="0" text="" dxfId="0">
      <formula>H12</formula>
    </cfRule>
  </conditionalFormatting>
  <conditionalFormatting sqref="X13">
    <cfRule type="cellIs" priority="417" operator="lessThanOrEqual" aboveAverage="0" equalAverage="0" bottom="0" percent="0" rank="0" text="" dxfId="0">
      <formula>H13</formula>
    </cfRule>
  </conditionalFormatting>
  <conditionalFormatting sqref="X14">
    <cfRule type="cellIs" priority="418" operator="lessThanOrEqual" aboveAverage="0" equalAverage="0" bottom="0" percent="0" rank="0" text="" dxfId="0">
      <formula>H14</formula>
    </cfRule>
  </conditionalFormatting>
  <conditionalFormatting sqref="X15">
    <cfRule type="cellIs" priority="419" operator="lessThanOrEqual" aboveAverage="0" equalAverage="0" bottom="0" percent="0" rank="0" text="" dxfId="0">
      <formula>H15</formula>
    </cfRule>
  </conditionalFormatting>
  <conditionalFormatting sqref="X16">
    <cfRule type="cellIs" priority="420" operator="lessThanOrEqual" aboveAverage="0" equalAverage="0" bottom="0" percent="0" rank="0" text="" dxfId="0">
      <formula>H16</formula>
    </cfRule>
  </conditionalFormatting>
  <conditionalFormatting sqref="X17">
    <cfRule type="cellIs" priority="421" operator="lessThanOrEqual" aboveAverage="0" equalAverage="0" bottom="0" percent="0" rank="0" text="" dxfId="0">
      <formula>H17</formula>
    </cfRule>
  </conditionalFormatting>
  <conditionalFormatting sqref="X18">
    <cfRule type="cellIs" priority="422" operator="lessThanOrEqual" aboveAverage="0" equalAverage="0" bottom="0" percent="0" rank="0" text="" dxfId="0">
      <formula>H18</formula>
    </cfRule>
  </conditionalFormatting>
  <conditionalFormatting sqref="X19">
    <cfRule type="cellIs" priority="423" operator="lessThanOrEqual" aboveAverage="0" equalAverage="0" bottom="0" percent="0" rank="0" text="" dxfId="0">
      <formula>H19</formula>
    </cfRule>
  </conditionalFormatting>
  <conditionalFormatting sqref="X20">
    <cfRule type="cellIs" priority="424" operator="lessThanOrEqual" aboveAverage="0" equalAverage="0" bottom="0" percent="0" rank="0" text="" dxfId="0">
      <formula>H20</formula>
    </cfRule>
  </conditionalFormatting>
  <conditionalFormatting sqref="X21">
    <cfRule type="cellIs" priority="425" operator="lessThanOrEqual" aboveAverage="0" equalAverage="0" bottom="0" percent="0" rank="0" text="" dxfId="0">
      <formula>H21</formula>
    </cfRule>
  </conditionalFormatting>
  <conditionalFormatting sqref="X22">
    <cfRule type="cellIs" priority="426" operator="lessThanOrEqual" aboveAverage="0" equalAverage="0" bottom="0" percent="0" rank="0" text="" dxfId="0">
      <formula>H22</formula>
    </cfRule>
  </conditionalFormatting>
  <conditionalFormatting sqref="X23">
    <cfRule type="cellIs" priority="427" operator="lessThanOrEqual" aboveAverage="0" equalAverage="0" bottom="0" percent="0" rank="0" text="" dxfId="0">
      <formula>H23</formula>
    </cfRule>
  </conditionalFormatting>
  <conditionalFormatting sqref="X24">
    <cfRule type="cellIs" priority="428" operator="lessThanOrEqual" aboveAverage="0" equalAverage="0" bottom="0" percent="0" rank="0" text="" dxfId="0">
      <formula>H24</formula>
    </cfRule>
  </conditionalFormatting>
  <conditionalFormatting sqref="X25">
    <cfRule type="cellIs" priority="429" operator="lessThanOrEqual" aboveAverage="0" equalAverage="0" bottom="0" percent="0" rank="0" text="" dxfId="0">
      <formula>H25</formula>
    </cfRule>
  </conditionalFormatting>
  <conditionalFormatting sqref="X26">
    <cfRule type="cellIs" priority="430" operator="lessThanOrEqual" aboveAverage="0" equalAverage="0" bottom="0" percent="0" rank="0" text="" dxfId="0">
      <formula>H26</formula>
    </cfRule>
  </conditionalFormatting>
  <conditionalFormatting sqref="X27">
    <cfRule type="cellIs" priority="431" operator="lessThanOrEqual" aboveAverage="0" equalAverage="0" bottom="0" percent="0" rank="0" text="" dxfId="0">
      <formula>H27</formula>
    </cfRule>
  </conditionalFormatting>
  <conditionalFormatting sqref="X28">
    <cfRule type="cellIs" priority="432" operator="lessThanOrEqual" aboveAverage="0" equalAverage="0" bottom="0" percent="0" rank="0" text="" dxfId="0">
      <formula>H28</formula>
    </cfRule>
  </conditionalFormatting>
  <conditionalFormatting sqref="X29">
    <cfRule type="cellIs" priority="433" operator="lessThanOrEqual" aboveAverage="0" equalAverage="0" bottom="0" percent="0" rank="0" text="" dxfId="0">
      <formula>H29</formula>
    </cfRule>
  </conditionalFormatting>
  <conditionalFormatting sqref="X30">
    <cfRule type="cellIs" priority="434" operator="lessThanOrEqual" aboveAverage="0" equalAverage="0" bottom="0" percent="0" rank="0" text="" dxfId="0">
      <formula>H30</formula>
    </cfRule>
  </conditionalFormatting>
  <conditionalFormatting sqref="X31">
    <cfRule type="cellIs" priority="435" operator="lessThanOrEqual" aboveAverage="0" equalAverage="0" bottom="0" percent="0" rank="0" text="" dxfId="0">
      <formula>H31</formula>
    </cfRule>
  </conditionalFormatting>
  <conditionalFormatting sqref="X32">
    <cfRule type="cellIs" priority="436" operator="lessThanOrEqual" aboveAverage="0" equalAverage="0" bottom="0" percent="0" rank="0" text="" dxfId="0">
      <formula>H32</formula>
    </cfRule>
  </conditionalFormatting>
  <conditionalFormatting sqref="X33">
    <cfRule type="cellIs" priority="437" operator="lessThanOrEqual" aboveAverage="0" equalAverage="0" bottom="0" percent="0" rank="0" text="" dxfId="0">
      <formula>H33</formula>
    </cfRule>
  </conditionalFormatting>
  <conditionalFormatting sqref="X34">
    <cfRule type="cellIs" priority="438" operator="lessThanOrEqual" aboveAverage="0" equalAverage="0" bottom="0" percent="0" rank="0" text="" dxfId="0">
      <formula>H34</formula>
    </cfRule>
  </conditionalFormatting>
  <conditionalFormatting sqref="X35">
    <cfRule type="cellIs" priority="439" operator="lessThanOrEqual" aboveAverage="0" equalAverage="0" bottom="0" percent="0" rank="0" text="" dxfId="0">
      <formula>H35</formula>
    </cfRule>
  </conditionalFormatting>
  <conditionalFormatting sqref="X36">
    <cfRule type="cellIs" priority="440" operator="lessThanOrEqual" aboveAverage="0" equalAverage="0" bottom="0" percent="0" rank="0" text="" dxfId="0">
      <formula>H36</formula>
    </cfRule>
  </conditionalFormatting>
  <conditionalFormatting sqref="X37">
    <cfRule type="cellIs" priority="441" operator="lessThanOrEqual" aboveAverage="0" equalAverage="0" bottom="0" percent="0" rank="0" text="" dxfId="0">
      <formula>H37</formula>
    </cfRule>
  </conditionalFormatting>
  <conditionalFormatting sqref="X38">
    <cfRule type="cellIs" priority="442" operator="lessThanOrEqual" aboveAverage="0" equalAverage="0" bottom="0" percent="0" rank="0" text="" dxfId="0">
      <formula>H38</formula>
    </cfRule>
  </conditionalFormatting>
  <conditionalFormatting sqref="X39">
    <cfRule type="cellIs" priority="443" operator="lessThanOrEqual" aboveAverage="0" equalAverage="0" bottom="0" percent="0" rank="0" text="" dxfId="0">
      <formula>H39</formula>
    </cfRule>
  </conditionalFormatting>
  <conditionalFormatting sqref="X40">
    <cfRule type="cellIs" priority="444" operator="lessThanOrEqual" aboveAverage="0" equalAverage="0" bottom="0" percent="0" rank="0" text="" dxfId="0">
      <formula>H40</formula>
    </cfRule>
  </conditionalFormatting>
  <conditionalFormatting sqref="X41">
    <cfRule type="cellIs" priority="445" operator="lessThanOrEqual" aboveAverage="0" equalAverage="0" bottom="0" percent="0" rank="0" text="" dxfId="0">
      <formula>H41</formula>
    </cfRule>
  </conditionalFormatting>
  <conditionalFormatting sqref="X42">
    <cfRule type="cellIs" priority="446" operator="lessThanOrEqual" aboveAverage="0" equalAverage="0" bottom="0" percent="0" rank="0" text="" dxfId="0">
      <formula>H42</formula>
    </cfRule>
  </conditionalFormatting>
  <conditionalFormatting sqref="X43">
    <cfRule type="cellIs" priority="447" operator="lessThanOrEqual" aboveAverage="0" equalAverage="0" bottom="0" percent="0" rank="0" text="" dxfId="0">
      <formula>H43</formula>
    </cfRule>
  </conditionalFormatting>
  <conditionalFormatting sqref="X44">
    <cfRule type="cellIs" priority="448" operator="lessThanOrEqual" aboveAverage="0" equalAverage="0" bottom="0" percent="0" rank="0" text="" dxfId="0">
      <formula>H44</formula>
    </cfRule>
  </conditionalFormatting>
  <conditionalFormatting sqref="X45">
    <cfRule type="cellIs" priority="449" operator="lessThanOrEqual" aboveAverage="0" equalAverage="0" bottom="0" percent="0" rank="0" text="" dxfId="0">
      <formula>H45</formula>
    </cfRule>
  </conditionalFormatting>
  <conditionalFormatting sqref="X46">
    <cfRule type="cellIs" priority="450" operator="lessThanOrEqual" aboveAverage="0" equalAverage="0" bottom="0" percent="0" rank="0" text="" dxfId="0">
      <formula>H46</formula>
    </cfRule>
  </conditionalFormatting>
  <conditionalFormatting sqref="X47">
    <cfRule type="cellIs" priority="451" operator="lessThanOrEqual" aboveAverage="0" equalAverage="0" bottom="0" percent="0" rank="0" text="" dxfId="0">
      <formula>H47</formula>
    </cfRule>
  </conditionalFormatting>
  <conditionalFormatting sqref="X48">
    <cfRule type="cellIs" priority="452" operator="lessThanOrEqual" aboveAverage="0" equalAverage="0" bottom="0" percent="0" rank="0" text="" dxfId="0">
      <formula>H48</formula>
    </cfRule>
  </conditionalFormatting>
  <conditionalFormatting sqref="X49">
    <cfRule type="cellIs" priority="453" operator="lessThanOrEqual" aboveAverage="0" equalAverage="0" bottom="0" percent="0" rank="0" text="" dxfId="0">
      <formula>H49</formula>
    </cfRule>
  </conditionalFormatting>
  <conditionalFormatting sqref="X50">
    <cfRule type="cellIs" priority="454" operator="lessThanOrEqual" aboveAverage="0" equalAverage="0" bottom="0" percent="0" rank="0" text="" dxfId="0">
      <formula>H50</formula>
    </cfRule>
  </conditionalFormatting>
  <conditionalFormatting sqref="X51">
    <cfRule type="cellIs" priority="455" operator="lessThanOrEqual" aboveAverage="0" equalAverage="0" bottom="0" percent="0" rank="0" text="" dxfId="0">
      <formula>H51</formula>
    </cfRule>
  </conditionalFormatting>
  <conditionalFormatting sqref="X52">
    <cfRule type="cellIs" priority="456" operator="lessThanOrEqual" aboveAverage="0" equalAverage="0" bottom="0" percent="0" rank="0" text="" dxfId="0">
      <formula>H52</formula>
    </cfRule>
  </conditionalFormatting>
  <conditionalFormatting sqref="X53">
    <cfRule type="cellIs" priority="457" operator="lessThanOrEqual" aboveAverage="0" equalAverage="0" bottom="0" percent="0" rank="0" text="" dxfId="0">
      <formula>H53</formula>
    </cfRule>
  </conditionalFormatting>
  <conditionalFormatting sqref="X54">
    <cfRule type="cellIs" priority="458" operator="lessThanOrEqual" aboveAverage="0" equalAverage="0" bottom="0" percent="0" rank="0" text="" dxfId="0">
      <formula>H54</formula>
    </cfRule>
  </conditionalFormatting>
  <conditionalFormatting sqref="X55">
    <cfRule type="cellIs" priority="459" operator="lessThanOrEqual" aboveAverage="0" equalAverage="0" bottom="0" percent="0" rank="0" text="" dxfId="0">
      <formula>H55</formula>
    </cfRule>
  </conditionalFormatting>
  <conditionalFormatting sqref="X56">
    <cfRule type="cellIs" priority="460" operator="lessThanOrEqual" aboveAverage="0" equalAverage="0" bottom="0" percent="0" rank="0" text="" dxfId="0">
      <formula>H56</formula>
    </cfRule>
  </conditionalFormatting>
  <conditionalFormatting sqref="X57">
    <cfRule type="cellIs" priority="461" operator="lessThanOrEqual" aboveAverage="0" equalAverage="0" bottom="0" percent="0" rank="0" text="" dxfId="0">
      <formula>H57</formula>
    </cfRule>
  </conditionalFormatting>
  <conditionalFormatting sqref="X58">
    <cfRule type="cellIs" priority="462" operator="lessThanOrEqual" aboveAverage="0" equalAverage="0" bottom="0" percent="0" rank="0" text="" dxfId="0">
      <formula>H58</formula>
    </cfRule>
  </conditionalFormatting>
  <conditionalFormatting sqref="X60">
    <cfRule type="cellIs" priority="463" operator="lessThanOrEqual" aboveAverage="0" equalAverage="0" bottom="0" percent="0" rank="0" text="" dxfId="0">
      <formula>H60</formula>
    </cfRule>
  </conditionalFormatting>
  <conditionalFormatting sqref="X61">
    <cfRule type="cellIs" priority="464" operator="lessThanOrEqual" aboveAverage="0" equalAverage="0" bottom="0" percent="0" rank="0" text="" dxfId="0">
      <formula>H61</formula>
    </cfRule>
  </conditionalFormatting>
  <conditionalFormatting sqref="X62">
    <cfRule type="cellIs" priority="465" operator="lessThanOrEqual" aboveAverage="0" equalAverage="0" bottom="0" percent="0" rank="0" text="" dxfId="0">
      <formula>H62</formula>
    </cfRule>
  </conditionalFormatting>
  <conditionalFormatting sqref="X63">
    <cfRule type="cellIs" priority="466" operator="lessThanOrEqual" aboveAverage="0" equalAverage="0" bottom="0" percent="0" rank="0" text="" dxfId="0">
      <formula>H63</formula>
    </cfRule>
  </conditionalFormatting>
  <conditionalFormatting sqref="X64">
    <cfRule type="cellIs" priority="467" operator="lessThanOrEqual" aboveAverage="0" equalAverage="0" bottom="0" percent="0" rank="0" text="" dxfId="0">
      <formula>H64</formula>
    </cfRule>
  </conditionalFormatting>
  <conditionalFormatting sqref="X65">
    <cfRule type="cellIs" priority="468" operator="lessThanOrEqual" aboveAverage="0" equalAverage="0" bottom="0" percent="0" rank="0" text="" dxfId="0">
      <formula>H65</formula>
    </cfRule>
  </conditionalFormatting>
  <conditionalFormatting sqref="X66">
    <cfRule type="cellIs" priority="469" operator="lessThanOrEqual" aboveAverage="0" equalAverage="0" bottom="0" percent="0" rank="0" text="" dxfId="0">
      <formula>H66</formula>
    </cfRule>
  </conditionalFormatting>
  <conditionalFormatting sqref="X67">
    <cfRule type="cellIs" priority="470" operator="lessThanOrEqual" aboveAverage="0" equalAverage="0" bottom="0" percent="0" rank="0" text="" dxfId="0">
      <formula>H67</formula>
    </cfRule>
  </conditionalFormatting>
  <conditionalFormatting sqref="X68">
    <cfRule type="cellIs" priority="471" operator="lessThanOrEqual" aboveAverage="0" equalAverage="0" bottom="0" percent="0" rank="0" text="" dxfId="0">
      <formula>H68</formula>
    </cfRule>
  </conditionalFormatting>
  <conditionalFormatting sqref="X69">
    <cfRule type="cellIs" priority="472" operator="lessThanOrEqual" aboveAverage="0" equalAverage="0" bottom="0" percent="0" rank="0" text="" dxfId="0">
      <formula>H69</formula>
    </cfRule>
  </conditionalFormatting>
  <conditionalFormatting sqref="X7">
    <cfRule type="cellIs" priority="473" operator="lessThanOrEqual" aboveAverage="0" equalAverage="0" bottom="0" percent="0" rank="0" text="" dxfId="0">
      <formula>H7</formula>
    </cfRule>
  </conditionalFormatting>
  <conditionalFormatting sqref="X70">
    <cfRule type="cellIs" priority="474" operator="lessThanOrEqual" aboveAverage="0" equalAverage="0" bottom="0" percent="0" rank="0" text="" dxfId="0">
      <formula>H70</formula>
    </cfRule>
  </conditionalFormatting>
  <conditionalFormatting sqref="X71">
    <cfRule type="cellIs" priority="475" operator="lessThanOrEqual" aboveAverage="0" equalAverage="0" bottom="0" percent="0" rank="0" text="" dxfId="0">
      <formula>H71</formula>
    </cfRule>
  </conditionalFormatting>
  <conditionalFormatting sqref="X72">
    <cfRule type="cellIs" priority="476" operator="lessThanOrEqual" aboveAverage="0" equalAverage="0" bottom="0" percent="0" rank="0" text="" dxfId="0">
      <formula>H72</formula>
    </cfRule>
  </conditionalFormatting>
  <conditionalFormatting sqref="X73">
    <cfRule type="cellIs" priority="477" operator="lessThanOrEqual" aboveAverage="0" equalAverage="0" bottom="0" percent="0" rank="0" text="" dxfId="0">
      <formula>H73</formula>
    </cfRule>
  </conditionalFormatting>
  <conditionalFormatting sqref="X74">
    <cfRule type="cellIs" priority="478" operator="lessThanOrEqual" aboveAverage="0" equalAverage="0" bottom="0" percent="0" rank="0" text="" dxfId="0">
      <formula>H74</formula>
    </cfRule>
  </conditionalFormatting>
  <conditionalFormatting sqref="X75">
    <cfRule type="cellIs" priority="479" operator="lessThanOrEqual" aboveAverage="0" equalAverage="0" bottom="0" percent="0" rank="0" text="" dxfId="0">
      <formula>H75</formula>
    </cfRule>
  </conditionalFormatting>
  <conditionalFormatting sqref="X76">
    <cfRule type="cellIs" priority="480" operator="lessThanOrEqual" aboveAverage="0" equalAverage="0" bottom="0" percent="0" rank="0" text="" dxfId="0">
      <formula>H76</formula>
    </cfRule>
  </conditionalFormatting>
  <conditionalFormatting sqref="X77">
    <cfRule type="cellIs" priority="481" operator="lessThanOrEqual" aboveAverage="0" equalAverage="0" bottom="0" percent="0" rank="0" text="" dxfId="0">
      <formula>H77</formula>
    </cfRule>
  </conditionalFormatting>
  <conditionalFormatting sqref="X78">
    <cfRule type="cellIs" priority="482" operator="lessThanOrEqual" aboveAverage="0" equalAverage="0" bottom="0" percent="0" rank="0" text="" dxfId="0">
      <formula>H78</formula>
    </cfRule>
  </conditionalFormatting>
  <conditionalFormatting sqref="X79">
    <cfRule type="cellIs" priority="483" operator="lessThanOrEqual" aboveAverage="0" equalAverage="0" bottom="0" percent="0" rank="0" text="" dxfId="0">
      <formula>H79</formula>
    </cfRule>
  </conditionalFormatting>
  <conditionalFormatting sqref="X8">
    <cfRule type="cellIs" priority="484" operator="lessThanOrEqual" aboveAverage="0" equalAverage="0" bottom="0" percent="0" rank="0" text="" dxfId="0">
      <formula>H8</formula>
    </cfRule>
  </conditionalFormatting>
  <conditionalFormatting sqref="X80">
    <cfRule type="cellIs" priority="485" operator="lessThanOrEqual" aboveAverage="0" equalAverage="0" bottom="0" percent="0" rank="0" text="" dxfId="0">
      <formula>H80</formula>
    </cfRule>
  </conditionalFormatting>
  <conditionalFormatting sqref="X81">
    <cfRule type="cellIs" priority="486" operator="lessThanOrEqual" aboveAverage="0" equalAverage="0" bottom="0" percent="0" rank="0" text="" dxfId="0">
      <formula>H81</formula>
    </cfRule>
  </conditionalFormatting>
  <conditionalFormatting sqref="X82">
    <cfRule type="cellIs" priority="487" operator="lessThanOrEqual" aboveAverage="0" equalAverage="0" bottom="0" percent="0" rank="0" text="" dxfId="0">
      <formula>H82</formula>
    </cfRule>
  </conditionalFormatting>
  <conditionalFormatting sqref="X83">
    <cfRule type="cellIs" priority="488" operator="lessThanOrEqual" aboveAverage="0" equalAverage="0" bottom="0" percent="0" rank="0" text="" dxfId="0">
      <formula>H83</formula>
    </cfRule>
  </conditionalFormatting>
  <conditionalFormatting sqref="X84">
    <cfRule type="cellIs" priority="489" operator="lessThanOrEqual" aboveAverage="0" equalAverage="0" bottom="0" percent="0" rank="0" text="" dxfId="0">
      <formula>H84</formula>
    </cfRule>
  </conditionalFormatting>
  <conditionalFormatting sqref="X85">
    <cfRule type="cellIs" priority="490" operator="lessThanOrEqual" aboveAverage="0" equalAverage="0" bottom="0" percent="0" rank="0" text="" dxfId="0">
      <formula>H85</formula>
    </cfRule>
  </conditionalFormatting>
  <conditionalFormatting sqref="X9">
    <cfRule type="cellIs" priority="491" operator="lessThanOrEqual" aboveAverage="0" equalAverage="0" bottom="0" percent="0" rank="0" text="" dxfId="0">
      <formula>H9</formula>
    </cfRule>
  </conditionalFormatting>
  <conditionalFormatting sqref="Y10">
    <cfRule type="cellIs" priority="492" operator="lessThanOrEqual" aboveAverage="0" equalAverage="0" bottom="0" percent="0" rank="0" text="" dxfId="0">
      <formula>I10</formula>
    </cfRule>
  </conditionalFormatting>
  <conditionalFormatting sqref="Y11">
    <cfRule type="cellIs" priority="493" operator="lessThanOrEqual" aboveAverage="0" equalAverage="0" bottom="0" percent="0" rank="0" text="" dxfId="0">
      <formula>I11</formula>
    </cfRule>
  </conditionalFormatting>
  <conditionalFormatting sqref="Y12">
    <cfRule type="cellIs" priority="494" operator="lessThanOrEqual" aboveAverage="0" equalAverage="0" bottom="0" percent="0" rank="0" text="" dxfId="0">
      <formula>I12</formula>
    </cfRule>
  </conditionalFormatting>
  <conditionalFormatting sqref="Y13">
    <cfRule type="cellIs" priority="495" operator="lessThanOrEqual" aboveAverage="0" equalAverage="0" bottom="0" percent="0" rank="0" text="" dxfId="0">
      <formula>I13</formula>
    </cfRule>
  </conditionalFormatting>
  <conditionalFormatting sqref="Y14">
    <cfRule type="cellIs" priority="496" operator="lessThanOrEqual" aboveAverage="0" equalAverage="0" bottom="0" percent="0" rank="0" text="" dxfId="0">
      <formula>I14</formula>
    </cfRule>
  </conditionalFormatting>
  <conditionalFormatting sqref="Y15">
    <cfRule type="cellIs" priority="497" operator="lessThanOrEqual" aboveAverage="0" equalAverage="0" bottom="0" percent="0" rank="0" text="" dxfId="0">
      <formula>I15</formula>
    </cfRule>
  </conditionalFormatting>
  <conditionalFormatting sqref="Y16">
    <cfRule type="cellIs" priority="498" operator="lessThanOrEqual" aboveAverage="0" equalAverage="0" bottom="0" percent="0" rank="0" text="" dxfId="0">
      <formula>I16</formula>
    </cfRule>
  </conditionalFormatting>
  <conditionalFormatting sqref="Y17">
    <cfRule type="cellIs" priority="499" operator="lessThanOrEqual" aboveAverage="0" equalAverage="0" bottom="0" percent="0" rank="0" text="" dxfId="0">
      <formula>I17</formula>
    </cfRule>
  </conditionalFormatting>
  <conditionalFormatting sqref="Y18">
    <cfRule type="cellIs" priority="500" operator="lessThanOrEqual" aboveAverage="0" equalAverage="0" bottom="0" percent="0" rank="0" text="" dxfId="0">
      <formula>I18</formula>
    </cfRule>
  </conditionalFormatting>
  <conditionalFormatting sqref="Y19">
    <cfRule type="cellIs" priority="501" operator="lessThanOrEqual" aboveAverage="0" equalAverage="0" bottom="0" percent="0" rank="0" text="" dxfId="0">
      <formula>I19</formula>
    </cfRule>
  </conditionalFormatting>
  <conditionalFormatting sqref="Y20">
    <cfRule type="cellIs" priority="502" operator="lessThanOrEqual" aboveAverage="0" equalAverage="0" bottom="0" percent="0" rank="0" text="" dxfId="0">
      <formula>I20</formula>
    </cfRule>
  </conditionalFormatting>
  <conditionalFormatting sqref="Y21">
    <cfRule type="cellIs" priority="503" operator="lessThanOrEqual" aboveAverage="0" equalAverage="0" bottom="0" percent="0" rank="0" text="" dxfId="0">
      <formula>I21</formula>
    </cfRule>
  </conditionalFormatting>
  <conditionalFormatting sqref="Y22">
    <cfRule type="cellIs" priority="504" operator="lessThanOrEqual" aboveAverage="0" equalAverage="0" bottom="0" percent="0" rank="0" text="" dxfId="0">
      <formula>I22</formula>
    </cfRule>
  </conditionalFormatting>
  <conditionalFormatting sqref="Y23">
    <cfRule type="cellIs" priority="505" operator="lessThanOrEqual" aboveAverage="0" equalAverage="0" bottom="0" percent="0" rank="0" text="" dxfId="0">
      <formula>I23</formula>
    </cfRule>
  </conditionalFormatting>
  <conditionalFormatting sqref="Y24">
    <cfRule type="cellIs" priority="506" operator="lessThanOrEqual" aboveAverage="0" equalAverage="0" bottom="0" percent="0" rank="0" text="" dxfId="0">
      <formula>I24</formula>
    </cfRule>
  </conditionalFormatting>
  <conditionalFormatting sqref="Y25">
    <cfRule type="cellIs" priority="507" operator="lessThanOrEqual" aboveAverage="0" equalAverage="0" bottom="0" percent="0" rank="0" text="" dxfId="0">
      <formula>I25</formula>
    </cfRule>
  </conditionalFormatting>
  <conditionalFormatting sqref="Y26">
    <cfRule type="cellIs" priority="508" operator="lessThanOrEqual" aboveAverage="0" equalAverage="0" bottom="0" percent="0" rank="0" text="" dxfId="0">
      <formula>I26</formula>
    </cfRule>
  </conditionalFormatting>
  <conditionalFormatting sqref="Y27">
    <cfRule type="cellIs" priority="509" operator="lessThanOrEqual" aboveAverage="0" equalAverage="0" bottom="0" percent="0" rank="0" text="" dxfId="0">
      <formula>I27</formula>
    </cfRule>
  </conditionalFormatting>
  <conditionalFormatting sqref="Y28">
    <cfRule type="cellIs" priority="510" operator="lessThanOrEqual" aboveAverage="0" equalAverage="0" bottom="0" percent="0" rank="0" text="" dxfId="0">
      <formula>I28</formula>
    </cfRule>
  </conditionalFormatting>
  <conditionalFormatting sqref="Y29">
    <cfRule type="cellIs" priority="511" operator="lessThanOrEqual" aboveAverage="0" equalAverage="0" bottom="0" percent="0" rank="0" text="" dxfId="0">
      <formula>I29</formula>
    </cfRule>
  </conditionalFormatting>
  <conditionalFormatting sqref="Y30">
    <cfRule type="cellIs" priority="512" operator="lessThanOrEqual" aboveAverage="0" equalAverage="0" bottom="0" percent="0" rank="0" text="" dxfId="0">
      <formula>I30</formula>
    </cfRule>
  </conditionalFormatting>
  <conditionalFormatting sqref="Y31">
    <cfRule type="cellIs" priority="513" operator="lessThanOrEqual" aboveAverage="0" equalAverage="0" bottom="0" percent="0" rank="0" text="" dxfId="0">
      <formula>I31</formula>
    </cfRule>
  </conditionalFormatting>
  <conditionalFormatting sqref="Y32">
    <cfRule type="cellIs" priority="514" operator="lessThanOrEqual" aboveAverage="0" equalAverage="0" bottom="0" percent="0" rank="0" text="" dxfId="0">
      <formula>I32</formula>
    </cfRule>
  </conditionalFormatting>
  <conditionalFormatting sqref="Y33">
    <cfRule type="cellIs" priority="515" operator="lessThanOrEqual" aboveAverage="0" equalAverage="0" bottom="0" percent="0" rank="0" text="" dxfId="0">
      <formula>I33</formula>
    </cfRule>
  </conditionalFormatting>
  <conditionalFormatting sqref="Y34">
    <cfRule type="cellIs" priority="516" operator="lessThanOrEqual" aboveAverage="0" equalAverage="0" bottom="0" percent="0" rank="0" text="" dxfId="0">
      <formula>I34</formula>
    </cfRule>
  </conditionalFormatting>
  <conditionalFormatting sqref="Y35">
    <cfRule type="cellIs" priority="517" operator="lessThanOrEqual" aboveAverage="0" equalAverage="0" bottom="0" percent="0" rank="0" text="" dxfId="0">
      <formula>I35</formula>
    </cfRule>
  </conditionalFormatting>
  <conditionalFormatting sqref="Y36">
    <cfRule type="cellIs" priority="518" operator="lessThanOrEqual" aboveAverage="0" equalAverage="0" bottom="0" percent="0" rank="0" text="" dxfId="0">
      <formula>I36</formula>
    </cfRule>
  </conditionalFormatting>
  <conditionalFormatting sqref="Y37">
    <cfRule type="cellIs" priority="519" operator="lessThanOrEqual" aboveAverage="0" equalAverage="0" bottom="0" percent="0" rank="0" text="" dxfId="0">
      <formula>I37</formula>
    </cfRule>
  </conditionalFormatting>
  <conditionalFormatting sqref="Y38">
    <cfRule type="cellIs" priority="520" operator="lessThanOrEqual" aboveAverage="0" equalAverage="0" bottom="0" percent="0" rank="0" text="" dxfId="0">
      <formula>I38</formula>
    </cfRule>
  </conditionalFormatting>
  <conditionalFormatting sqref="Y39">
    <cfRule type="cellIs" priority="521" operator="lessThanOrEqual" aboveAverage="0" equalAverage="0" bottom="0" percent="0" rank="0" text="" dxfId="0">
      <formula>I39</formula>
    </cfRule>
  </conditionalFormatting>
  <conditionalFormatting sqref="Y40">
    <cfRule type="cellIs" priority="522" operator="lessThanOrEqual" aboveAverage="0" equalAverage="0" bottom="0" percent="0" rank="0" text="" dxfId="0">
      <formula>I40</formula>
    </cfRule>
  </conditionalFormatting>
  <conditionalFormatting sqref="Y41">
    <cfRule type="cellIs" priority="523" operator="lessThanOrEqual" aboveAverage="0" equalAverage="0" bottom="0" percent="0" rank="0" text="" dxfId="0">
      <formula>I41</formula>
    </cfRule>
  </conditionalFormatting>
  <conditionalFormatting sqref="Y42">
    <cfRule type="cellIs" priority="524" operator="lessThanOrEqual" aboveAverage="0" equalAverage="0" bottom="0" percent="0" rank="0" text="" dxfId="0">
      <formula>I42</formula>
    </cfRule>
  </conditionalFormatting>
  <conditionalFormatting sqref="Y43">
    <cfRule type="cellIs" priority="525" operator="lessThanOrEqual" aboveAverage="0" equalAverage="0" bottom="0" percent="0" rank="0" text="" dxfId="0">
      <formula>I43</formula>
    </cfRule>
  </conditionalFormatting>
  <conditionalFormatting sqref="Y44">
    <cfRule type="cellIs" priority="526" operator="lessThanOrEqual" aboveAverage="0" equalAverage="0" bottom="0" percent="0" rank="0" text="" dxfId="0">
      <formula>I44</formula>
    </cfRule>
  </conditionalFormatting>
  <conditionalFormatting sqref="Y45">
    <cfRule type="cellIs" priority="527" operator="lessThanOrEqual" aboveAverage="0" equalAverage="0" bottom="0" percent="0" rank="0" text="" dxfId="0">
      <formula>I45</formula>
    </cfRule>
  </conditionalFormatting>
  <conditionalFormatting sqref="Y46">
    <cfRule type="cellIs" priority="528" operator="lessThanOrEqual" aboveAverage="0" equalAverage="0" bottom="0" percent="0" rank="0" text="" dxfId="0">
      <formula>I46</formula>
    </cfRule>
  </conditionalFormatting>
  <conditionalFormatting sqref="Y47">
    <cfRule type="cellIs" priority="529" operator="lessThanOrEqual" aboveAverage="0" equalAverage="0" bottom="0" percent="0" rank="0" text="" dxfId="0">
      <formula>I47</formula>
    </cfRule>
  </conditionalFormatting>
  <conditionalFormatting sqref="Y48">
    <cfRule type="cellIs" priority="530" operator="lessThanOrEqual" aboveAverage="0" equalAverage="0" bottom="0" percent="0" rank="0" text="" dxfId="0">
      <formula>I48</formula>
    </cfRule>
  </conditionalFormatting>
  <conditionalFormatting sqref="Y49">
    <cfRule type="cellIs" priority="531" operator="lessThanOrEqual" aboveAverage="0" equalAverage="0" bottom="0" percent="0" rank="0" text="" dxfId="0">
      <formula>I49</formula>
    </cfRule>
  </conditionalFormatting>
  <conditionalFormatting sqref="Y50">
    <cfRule type="cellIs" priority="532" operator="lessThanOrEqual" aboveAverage="0" equalAverage="0" bottom="0" percent="0" rank="0" text="" dxfId="0">
      <formula>I50</formula>
    </cfRule>
  </conditionalFormatting>
  <conditionalFormatting sqref="Y51">
    <cfRule type="cellIs" priority="533" operator="lessThanOrEqual" aboveAverage="0" equalAverage="0" bottom="0" percent="0" rank="0" text="" dxfId="0">
      <formula>I51</formula>
    </cfRule>
  </conditionalFormatting>
  <conditionalFormatting sqref="Y52">
    <cfRule type="cellIs" priority="534" operator="lessThanOrEqual" aboveAverage="0" equalAverage="0" bottom="0" percent="0" rank="0" text="" dxfId="0">
      <formula>I52</formula>
    </cfRule>
  </conditionalFormatting>
  <conditionalFormatting sqref="Y53">
    <cfRule type="cellIs" priority="535" operator="lessThanOrEqual" aboveAverage="0" equalAverage="0" bottom="0" percent="0" rank="0" text="" dxfId="0">
      <formula>I53</formula>
    </cfRule>
  </conditionalFormatting>
  <conditionalFormatting sqref="Y54">
    <cfRule type="cellIs" priority="536" operator="lessThanOrEqual" aboveAverage="0" equalAverage="0" bottom="0" percent="0" rank="0" text="" dxfId="0">
      <formula>I54</formula>
    </cfRule>
  </conditionalFormatting>
  <conditionalFormatting sqref="Y55">
    <cfRule type="cellIs" priority="537" operator="lessThanOrEqual" aboveAverage="0" equalAverage="0" bottom="0" percent="0" rank="0" text="" dxfId="0">
      <formula>I55</formula>
    </cfRule>
  </conditionalFormatting>
  <conditionalFormatting sqref="Y56">
    <cfRule type="cellIs" priority="538" operator="lessThanOrEqual" aboveAverage="0" equalAverage="0" bottom="0" percent="0" rank="0" text="" dxfId="0">
      <formula>I56</formula>
    </cfRule>
  </conditionalFormatting>
  <conditionalFormatting sqref="Y57">
    <cfRule type="cellIs" priority="539" operator="lessThanOrEqual" aboveAverage="0" equalAverage="0" bottom="0" percent="0" rank="0" text="" dxfId="0">
      <formula>I57</formula>
    </cfRule>
  </conditionalFormatting>
  <conditionalFormatting sqref="Y58">
    <cfRule type="cellIs" priority="540" operator="lessThanOrEqual" aboveAverage="0" equalAverage="0" bottom="0" percent="0" rank="0" text="" dxfId="0">
      <formula>I58</formula>
    </cfRule>
  </conditionalFormatting>
  <conditionalFormatting sqref="Y60">
    <cfRule type="cellIs" priority="541" operator="lessThanOrEqual" aboveAverage="0" equalAverage="0" bottom="0" percent="0" rank="0" text="" dxfId="0">
      <formula>I60</formula>
    </cfRule>
  </conditionalFormatting>
  <conditionalFormatting sqref="Y61">
    <cfRule type="cellIs" priority="542" operator="lessThanOrEqual" aboveAverage="0" equalAverage="0" bottom="0" percent="0" rank="0" text="" dxfId="0">
      <formula>I61</formula>
    </cfRule>
  </conditionalFormatting>
  <conditionalFormatting sqref="Y62">
    <cfRule type="cellIs" priority="543" operator="lessThanOrEqual" aboveAverage="0" equalAverage="0" bottom="0" percent="0" rank="0" text="" dxfId="0">
      <formula>I62</formula>
    </cfRule>
  </conditionalFormatting>
  <conditionalFormatting sqref="Y63">
    <cfRule type="cellIs" priority="544" operator="lessThanOrEqual" aboveAverage="0" equalAverage="0" bottom="0" percent="0" rank="0" text="" dxfId="0">
      <formula>I63</formula>
    </cfRule>
  </conditionalFormatting>
  <conditionalFormatting sqref="Y64">
    <cfRule type="cellIs" priority="545" operator="lessThanOrEqual" aboveAverage="0" equalAverage="0" bottom="0" percent="0" rank="0" text="" dxfId="0">
      <formula>I64</formula>
    </cfRule>
  </conditionalFormatting>
  <conditionalFormatting sqref="Y65">
    <cfRule type="cellIs" priority="546" operator="lessThanOrEqual" aboveAverage="0" equalAverage="0" bottom="0" percent="0" rank="0" text="" dxfId="0">
      <formula>I65</formula>
    </cfRule>
  </conditionalFormatting>
  <conditionalFormatting sqref="Y66">
    <cfRule type="cellIs" priority="547" operator="lessThanOrEqual" aboveAverage="0" equalAverage="0" bottom="0" percent="0" rank="0" text="" dxfId="0">
      <formula>I66</formula>
    </cfRule>
  </conditionalFormatting>
  <conditionalFormatting sqref="Y67">
    <cfRule type="cellIs" priority="548" operator="lessThanOrEqual" aboveAverage="0" equalAverage="0" bottom="0" percent="0" rank="0" text="" dxfId="0">
      <formula>I67</formula>
    </cfRule>
  </conditionalFormatting>
  <conditionalFormatting sqref="Y68">
    <cfRule type="cellIs" priority="549" operator="lessThanOrEqual" aboveAverage="0" equalAverage="0" bottom="0" percent="0" rank="0" text="" dxfId="0">
      <formula>I68</formula>
    </cfRule>
  </conditionalFormatting>
  <conditionalFormatting sqref="Y69">
    <cfRule type="cellIs" priority="550" operator="lessThanOrEqual" aboveAverage="0" equalAverage="0" bottom="0" percent="0" rank="0" text="" dxfId="0">
      <formula>I69</formula>
    </cfRule>
  </conditionalFormatting>
  <conditionalFormatting sqref="Y7">
    <cfRule type="cellIs" priority="551" operator="lessThanOrEqual" aboveAverage="0" equalAverage="0" bottom="0" percent="0" rank="0" text="" dxfId="0">
      <formula>I7</formula>
    </cfRule>
  </conditionalFormatting>
  <conditionalFormatting sqref="Y70">
    <cfRule type="cellIs" priority="552" operator="lessThanOrEqual" aboveAverage="0" equalAverage="0" bottom="0" percent="0" rank="0" text="" dxfId="0">
      <formula>I70</formula>
    </cfRule>
  </conditionalFormatting>
  <conditionalFormatting sqref="Y71">
    <cfRule type="cellIs" priority="553" operator="lessThanOrEqual" aboveAverage="0" equalAverage="0" bottom="0" percent="0" rank="0" text="" dxfId="0">
      <formula>I71</formula>
    </cfRule>
  </conditionalFormatting>
  <conditionalFormatting sqref="Y72">
    <cfRule type="cellIs" priority="554" operator="lessThanOrEqual" aboveAverage="0" equalAverage="0" bottom="0" percent="0" rank="0" text="" dxfId="0">
      <formula>I72</formula>
    </cfRule>
  </conditionalFormatting>
  <conditionalFormatting sqref="Y73">
    <cfRule type="cellIs" priority="555" operator="lessThanOrEqual" aboveAverage="0" equalAverage="0" bottom="0" percent="0" rank="0" text="" dxfId="0">
      <formula>I73</formula>
    </cfRule>
  </conditionalFormatting>
  <conditionalFormatting sqref="Y74">
    <cfRule type="cellIs" priority="556" operator="lessThanOrEqual" aboveAverage="0" equalAverage="0" bottom="0" percent="0" rank="0" text="" dxfId="0">
      <formula>I74</formula>
    </cfRule>
  </conditionalFormatting>
  <conditionalFormatting sqref="Y75">
    <cfRule type="cellIs" priority="557" operator="lessThanOrEqual" aboveAverage="0" equalAverage="0" bottom="0" percent="0" rank="0" text="" dxfId="0">
      <formula>I75</formula>
    </cfRule>
  </conditionalFormatting>
  <conditionalFormatting sqref="Y76">
    <cfRule type="cellIs" priority="558" operator="lessThanOrEqual" aboveAverage="0" equalAverage="0" bottom="0" percent="0" rank="0" text="" dxfId="0">
      <formula>I76</formula>
    </cfRule>
  </conditionalFormatting>
  <conditionalFormatting sqref="Y77">
    <cfRule type="cellIs" priority="559" operator="lessThanOrEqual" aboveAverage="0" equalAverage="0" bottom="0" percent="0" rank="0" text="" dxfId="0">
      <formula>I77</formula>
    </cfRule>
  </conditionalFormatting>
  <conditionalFormatting sqref="Y78">
    <cfRule type="cellIs" priority="560" operator="lessThanOrEqual" aboveAverage="0" equalAverage="0" bottom="0" percent="0" rank="0" text="" dxfId="0">
      <formula>I78</formula>
    </cfRule>
  </conditionalFormatting>
  <conditionalFormatting sqref="Y79">
    <cfRule type="cellIs" priority="561" operator="lessThanOrEqual" aboveAverage="0" equalAverage="0" bottom="0" percent="0" rank="0" text="" dxfId="0">
      <formula>I79</formula>
    </cfRule>
  </conditionalFormatting>
  <conditionalFormatting sqref="Y8">
    <cfRule type="cellIs" priority="562" operator="lessThanOrEqual" aboveAverage="0" equalAverage="0" bottom="0" percent="0" rank="0" text="" dxfId="0">
      <formula>I8</formula>
    </cfRule>
  </conditionalFormatting>
  <conditionalFormatting sqref="Y80">
    <cfRule type="cellIs" priority="563" operator="lessThanOrEqual" aboveAverage="0" equalAverage="0" bottom="0" percent="0" rank="0" text="" dxfId="0">
      <formula>I80</formula>
    </cfRule>
  </conditionalFormatting>
  <conditionalFormatting sqref="Y81">
    <cfRule type="cellIs" priority="564" operator="lessThanOrEqual" aboveAverage="0" equalAverage="0" bottom="0" percent="0" rank="0" text="" dxfId="0">
      <formula>I81</formula>
    </cfRule>
  </conditionalFormatting>
  <conditionalFormatting sqref="Y82">
    <cfRule type="cellIs" priority="565" operator="lessThanOrEqual" aboveAverage="0" equalAverage="0" bottom="0" percent="0" rank="0" text="" dxfId="0">
      <formula>I82</formula>
    </cfRule>
  </conditionalFormatting>
  <conditionalFormatting sqref="Y83">
    <cfRule type="cellIs" priority="566" operator="lessThanOrEqual" aboveAverage="0" equalAverage="0" bottom="0" percent="0" rank="0" text="" dxfId="0">
      <formula>I83</formula>
    </cfRule>
  </conditionalFormatting>
  <conditionalFormatting sqref="Y84">
    <cfRule type="cellIs" priority="567" operator="lessThanOrEqual" aboveAverage="0" equalAverage="0" bottom="0" percent="0" rank="0" text="" dxfId="0">
      <formula>I84</formula>
    </cfRule>
  </conditionalFormatting>
  <conditionalFormatting sqref="Y85">
    <cfRule type="cellIs" priority="568" operator="lessThanOrEqual" aboveAverage="0" equalAverage="0" bottom="0" percent="0" rank="0" text="" dxfId="0">
      <formula>I85</formula>
    </cfRule>
  </conditionalFormatting>
  <conditionalFormatting sqref="Y9">
    <cfRule type="cellIs" priority="569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O8" r:id="rId6" display="Link"/>
    <hyperlink ref="U8" r:id="rId7" display="Link"/>
    <hyperlink ref="AA8" r:id="rId8" display="Link"/>
    <hyperlink ref="AG8" r:id="rId9" display="Link"/>
    <hyperlink ref="O9" r:id="rId10" display="Link"/>
    <hyperlink ref="U9" r:id="rId11" display="Link"/>
    <hyperlink ref="AA9" r:id="rId12" display="Link"/>
    <hyperlink ref="AG9" r:id="rId13" display="Link"/>
    <hyperlink ref="AM9" r:id="rId14" display="Link"/>
    <hyperlink ref="O10" r:id="rId15" display="Link"/>
    <hyperlink ref="U10" r:id="rId16" display="Link"/>
    <hyperlink ref="AA10" r:id="rId17" display="Link"/>
    <hyperlink ref="AG10" r:id="rId18" display="Link"/>
    <hyperlink ref="O11" r:id="rId19" display="Link"/>
    <hyperlink ref="U11" r:id="rId20" display="Link"/>
    <hyperlink ref="AA11" r:id="rId21" display="Link"/>
    <hyperlink ref="AG11" r:id="rId22" display="Link"/>
    <hyperlink ref="AM11" r:id="rId23" display="Link"/>
    <hyperlink ref="O12" r:id="rId24" display="Link"/>
    <hyperlink ref="U12" r:id="rId25" display="Link"/>
    <hyperlink ref="AA12" r:id="rId26" display="Link"/>
    <hyperlink ref="AG12" r:id="rId27" display="Link"/>
    <hyperlink ref="AM12" r:id="rId28" display="Link"/>
    <hyperlink ref="O13" r:id="rId29" display="Link"/>
    <hyperlink ref="U13" r:id="rId30" display="Link"/>
    <hyperlink ref="AA13" r:id="rId31" display="Link"/>
    <hyperlink ref="AG13" r:id="rId32" display="Link"/>
    <hyperlink ref="AM13" r:id="rId33" display="Link"/>
    <hyperlink ref="O14" r:id="rId34" display="Link"/>
    <hyperlink ref="U14" r:id="rId35" display="Link"/>
    <hyperlink ref="AA14" r:id="rId36" display="Link"/>
    <hyperlink ref="AG14" r:id="rId37" display="Link"/>
    <hyperlink ref="O15" r:id="rId38" display="Link"/>
    <hyperlink ref="U15" r:id="rId39" display="Link"/>
    <hyperlink ref="AA15" r:id="rId40" display="Link"/>
    <hyperlink ref="AG15" r:id="rId41" display="Link"/>
    <hyperlink ref="O16" r:id="rId42" display="Link"/>
    <hyperlink ref="U16" r:id="rId43" display="Link"/>
    <hyperlink ref="AA16" r:id="rId44" display="Link"/>
    <hyperlink ref="AG16" r:id="rId45" display="Link"/>
    <hyperlink ref="AM16" r:id="rId46" display="Link"/>
    <hyperlink ref="O17" r:id="rId47" display="Link"/>
    <hyperlink ref="AA17" r:id="rId48" display="Link"/>
    <hyperlink ref="O18" r:id="rId49" display="Link"/>
    <hyperlink ref="AA18" r:id="rId50" display="Link"/>
    <hyperlink ref="O19" r:id="rId51" display="Link"/>
    <hyperlink ref="U19" r:id="rId52" display="Link"/>
    <hyperlink ref="AA19" r:id="rId53" display="Link"/>
    <hyperlink ref="AG19" r:id="rId54" display="Link"/>
    <hyperlink ref="AM19" r:id="rId55" display="Link"/>
    <hyperlink ref="O20" r:id="rId56" display="Link"/>
    <hyperlink ref="AA20" r:id="rId57" display="Link"/>
    <hyperlink ref="AG20" r:id="rId58" display="Link"/>
    <hyperlink ref="O21" r:id="rId59" display="Link"/>
    <hyperlink ref="U21" r:id="rId60" display="Link"/>
    <hyperlink ref="AA21" r:id="rId61" display="Link"/>
    <hyperlink ref="AG21" r:id="rId62" display="Link"/>
    <hyperlink ref="O22" r:id="rId63" display="Link"/>
    <hyperlink ref="U22" r:id="rId64" display="Link"/>
    <hyperlink ref="AA22" r:id="rId65" display="Link"/>
    <hyperlink ref="AG22" r:id="rId66" display="Link"/>
    <hyperlink ref="AM22" r:id="rId67" display="Link"/>
    <hyperlink ref="O23" r:id="rId68" display="Link"/>
    <hyperlink ref="U23" r:id="rId69" display="Link"/>
    <hyperlink ref="AA23" r:id="rId70" display="Link"/>
    <hyperlink ref="AG23" r:id="rId71" display="Link"/>
    <hyperlink ref="AM23" r:id="rId72" display="Link"/>
    <hyperlink ref="AA24" r:id="rId73" display="Link"/>
    <hyperlink ref="O25" r:id="rId74" display="Link"/>
    <hyperlink ref="U25" r:id="rId75" display="Link"/>
    <hyperlink ref="AA25" r:id="rId76" display="Link"/>
    <hyperlink ref="AG25" r:id="rId77" display="Link"/>
    <hyperlink ref="O26" r:id="rId78" display="Link"/>
    <hyperlink ref="U26" r:id="rId79" display="Link"/>
    <hyperlink ref="AA26" r:id="rId80" display="Link"/>
    <hyperlink ref="AG26" r:id="rId81" display="Link"/>
    <hyperlink ref="O27" r:id="rId82" display="Link"/>
    <hyperlink ref="U27" r:id="rId83" display="Link"/>
    <hyperlink ref="AA27" r:id="rId84" display="Link"/>
    <hyperlink ref="AG27" r:id="rId85" display="Link"/>
    <hyperlink ref="O28" r:id="rId86" display="Link"/>
    <hyperlink ref="AA28" r:id="rId87" display="Link"/>
    <hyperlink ref="AG28" r:id="rId88" display="Link"/>
    <hyperlink ref="O29" r:id="rId89" display="Link"/>
    <hyperlink ref="U29" r:id="rId90" display="Link"/>
    <hyperlink ref="AA29" r:id="rId91" display="Link"/>
    <hyperlink ref="AG29" r:id="rId92" display="Link"/>
    <hyperlink ref="AM29" r:id="rId93" display="Link"/>
    <hyperlink ref="O30" r:id="rId94" display="Link"/>
    <hyperlink ref="AA30" r:id="rId95" display="Link"/>
    <hyperlink ref="AM30" r:id="rId96" display="Link"/>
    <hyperlink ref="O31" r:id="rId97" display="Link"/>
    <hyperlink ref="U31" r:id="rId98" display="Link"/>
    <hyperlink ref="AA31" r:id="rId99" display="Link"/>
    <hyperlink ref="AG31" r:id="rId100" display="Link"/>
    <hyperlink ref="O32" r:id="rId101" display="Link"/>
    <hyperlink ref="AA32" r:id="rId102" display="Link"/>
    <hyperlink ref="O33" r:id="rId103" display="Link"/>
    <hyperlink ref="U33" r:id="rId104" display="Link"/>
    <hyperlink ref="AA33" r:id="rId105" display="Link"/>
    <hyperlink ref="AG33" r:id="rId106" display="Link"/>
    <hyperlink ref="AM33" r:id="rId107" display="Link"/>
    <hyperlink ref="O34" r:id="rId108" display="Link"/>
    <hyperlink ref="AA34" r:id="rId109" display="Link"/>
    <hyperlink ref="AG34" r:id="rId110" display="Link"/>
    <hyperlink ref="O35" r:id="rId111" display="Link"/>
    <hyperlink ref="AA35" r:id="rId112" display="Link"/>
    <hyperlink ref="AA36" r:id="rId113" display="Link"/>
    <hyperlink ref="O37" r:id="rId114" display="Link"/>
    <hyperlink ref="AA37" r:id="rId115" display="Link"/>
    <hyperlink ref="O38" r:id="rId116" display="Link"/>
    <hyperlink ref="U38" r:id="rId117" display="Link"/>
    <hyperlink ref="AA38" r:id="rId118" display="Link"/>
    <hyperlink ref="AG38" r:id="rId119" display="Link"/>
    <hyperlink ref="AM38" r:id="rId120" display="Link"/>
    <hyperlink ref="O39" r:id="rId121" display="Link"/>
    <hyperlink ref="AA39" r:id="rId122" display="Link"/>
    <hyperlink ref="AM39" r:id="rId123" display="Link"/>
    <hyperlink ref="O40" r:id="rId124" display="Link"/>
    <hyperlink ref="AA40" r:id="rId125" display="Link"/>
    <hyperlink ref="O41" r:id="rId126" display="Link"/>
    <hyperlink ref="U41" r:id="rId127" display="Link"/>
    <hyperlink ref="AA41" r:id="rId128" display="Link"/>
    <hyperlink ref="AG41" r:id="rId129" display="Link"/>
    <hyperlink ref="AM41" r:id="rId130" display="Link"/>
    <hyperlink ref="O42" r:id="rId131" display="Link"/>
    <hyperlink ref="U42" r:id="rId132" display="Link"/>
    <hyperlink ref="AA42" r:id="rId133" display="Link"/>
    <hyperlink ref="AG42" r:id="rId134" display="Link"/>
    <hyperlink ref="AM42" r:id="rId135" display="Link"/>
    <hyperlink ref="O43" r:id="rId136" display="Link"/>
    <hyperlink ref="U43" r:id="rId137" display="Link"/>
    <hyperlink ref="AA43" r:id="rId138" display="Link"/>
    <hyperlink ref="AG43" r:id="rId139" display="Link"/>
    <hyperlink ref="O44" r:id="rId140" display="Link"/>
    <hyperlink ref="U44" r:id="rId141" display="Link"/>
    <hyperlink ref="AA44" r:id="rId142" display="Link"/>
    <hyperlink ref="AG44" r:id="rId143" display="Link"/>
    <hyperlink ref="AM44" r:id="rId144" display="Link"/>
    <hyperlink ref="O45" r:id="rId145" display="Link"/>
    <hyperlink ref="AA45" r:id="rId146" display="Link"/>
    <hyperlink ref="O46" r:id="rId147" display="Link"/>
    <hyperlink ref="U46" r:id="rId148" display="Link"/>
    <hyperlink ref="AA46" r:id="rId149" display="Link"/>
    <hyperlink ref="AG46" r:id="rId150" display="Link"/>
    <hyperlink ref="AM46" r:id="rId151" display="Link"/>
    <hyperlink ref="U47" r:id="rId152" display="Link"/>
    <hyperlink ref="AA47" r:id="rId153" display="Link"/>
    <hyperlink ref="AG47" r:id="rId154" display="Link"/>
    <hyperlink ref="AM47" r:id="rId155" display="Link"/>
    <hyperlink ref="O48" r:id="rId156" display="Link"/>
    <hyperlink ref="U48" r:id="rId157" display="Link"/>
    <hyperlink ref="AA48" r:id="rId158" display="Link"/>
    <hyperlink ref="AG48" r:id="rId159" display="Link"/>
    <hyperlink ref="AM48" r:id="rId160" display="Link"/>
    <hyperlink ref="O49" r:id="rId161" display="Link"/>
    <hyperlink ref="AA49" r:id="rId162" display="Link"/>
    <hyperlink ref="AG49" r:id="rId163" display="Link"/>
    <hyperlink ref="AA50" r:id="rId164" display="Link"/>
    <hyperlink ref="AM50" r:id="rId165" display="Link"/>
    <hyperlink ref="O51" r:id="rId166" display="Link"/>
    <hyperlink ref="U51" r:id="rId167" display="Link"/>
    <hyperlink ref="AA51" r:id="rId168" display="Link"/>
    <hyperlink ref="AG51" r:id="rId169" display="Link"/>
    <hyperlink ref="O52" r:id="rId170" display="Link"/>
    <hyperlink ref="U52" r:id="rId171" display="Link"/>
    <hyperlink ref="AA52" r:id="rId172" display="Link"/>
    <hyperlink ref="AG52" r:id="rId173" display="Link"/>
    <hyperlink ref="AM52" r:id="rId174" display="Link"/>
    <hyperlink ref="O53" r:id="rId175" display="Link"/>
    <hyperlink ref="U53" r:id="rId176" display="Link"/>
    <hyperlink ref="AA53" r:id="rId177" display="Link"/>
    <hyperlink ref="AG53" r:id="rId178" display="Link"/>
    <hyperlink ref="O54" r:id="rId179" display="Link"/>
    <hyperlink ref="AA54" r:id="rId180" display="Link"/>
    <hyperlink ref="O55" r:id="rId181" display="Link"/>
    <hyperlink ref="AA55" r:id="rId182" display="Link"/>
    <hyperlink ref="O56" r:id="rId183" display="Link"/>
    <hyperlink ref="U56" r:id="rId184" display="Link"/>
    <hyperlink ref="AA56" r:id="rId185" display="Link"/>
    <hyperlink ref="AG56" r:id="rId186" display="Link"/>
    <hyperlink ref="O57" r:id="rId187" display="Link"/>
    <hyperlink ref="AA57" r:id="rId188" display="Link"/>
    <hyperlink ref="O58" r:id="rId189" display="Link"/>
    <hyperlink ref="U58" r:id="rId190" display="Link"/>
    <hyperlink ref="AA58" r:id="rId191" display="Link"/>
    <hyperlink ref="AG58" r:id="rId192" display="Link"/>
    <hyperlink ref="O60" r:id="rId193" display="Link"/>
    <hyperlink ref="U60" r:id="rId194" display="Link"/>
    <hyperlink ref="AA60" r:id="rId195" display="Link"/>
    <hyperlink ref="AG60" r:id="rId196" display="Link"/>
    <hyperlink ref="AM60" r:id="rId197" display="Link"/>
    <hyperlink ref="O61" r:id="rId198" display="Link"/>
    <hyperlink ref="U61" r:id="rId199" display="Link"/>
    <hyperlink ref="AA61" r:id="rId200" display="Link"/>
    <hyperlink ref="AG61" r:id="rId201" display="Link"/>
    <hyperlink ref="AM61" r:id="rId202" display="Link"/>
    <hyperlink ref="O62" r:id="rId203" display="Link"/>
    <hyperlink ref="U62" r:id="rId204" display="Link"/>
    <hyperlink ref="AA62" r:id="rId205" display="Link"/>
    <hyperlink ref="AG62" r:id="rId206" display="Link"/>
    <hyperlink ref="O63" r:id="rId207" display="Link"/>
    <hyperlink ref="U63" r:id="rId208" display="Link"/>
    <hyperlink ref="AA63" r:id="rId209" display="Link"/>
    <hyperlink ref="AG63" r:id="rId210" display="Link"/>
    <hyperlink ref="O64" r:id="rId211" display="Link"/>
    <hyperlink ref="U64" r:id="rId212" display="Link"/>
    <hyperlink ref="AA64" r:id="rId213" display="Link"/>
    <hyperlink ref="AG64" r:id="rId214" display="Link"/>
    <hyperlink ref="O65" r:id="rId215" display="Link"/>
    <hyperlink ref="U65" r:id="rId216" display="Link"/>
    <hyperlink ref="AA65" r:id="rId217" display="Link"/>
    <hyperlink ref="AG65" r:id="rId218" display="Link"/>
    <hyperlink ref="O66" r:id="rId219" display="Link"/>
    <hyperlink ref="AA66" r:id="rId220" display="Link"/>
    <hyperlink ref="AG66" r:id="rId221" display="Link"/>
    <hyperlink ref="O67" r:id="rId222" display="Link"/>
    <hyperlink ref="U67" r:id="rId223" display="Link"/>
    <hyperlink ref="AA67" r:id="rId224" display="Link"/>
    <hyperlink ref="AG67" r:id="rId225" display="Link"/>
    <hyperlink ref="AA68" r:id="rId226" display="Link"/>
    <hyperlink ref="O69" r:id="rId227" display="Link"/>
    <hyperlink ref="AA69" r:id="rId228" display="Link"/>
    <hyperlink ref="AG69" r:id="rId229" display="Link"/>
    <hyperlink ref="AA70" r:id="rId230" display="Link"/>
    <hyperlink ref="U71" r:id="rId231" display="Link"/>
    <hyperlink ref="AA71" r:id="rId232" display="Link"/>
    <hyperlink ref="AG71" r:id="rId233" display="Link"/>
    <hyperlink ref="AM71" r:id="rId234" display="Link"/>
    <hyperlink ref="O72" r:id="rId235" display="Link"/>
    <hyperlink ref="AA72" r:id="rId236" display="Link"/>
    <hyperlink ref="O73" r:id="rId237" display="Link"/>
    <hyperlink ref="U73" r:id="rId238" display="Link"/>
    <hyperlink ref="AA73" r:id="rId239" display="Link"/>
    <hyperlink ref="AG73" r:id="rId240" display="Link"/>
    <hyperlink ref="O74" r:id="rId241" display="Link"/>
    <hyperlink ref="U74" r:id="rId242" display="Link"/>
    <hyperlink ref="AA74" r:id="rId243" display="Link"/>
    <hyperlink ref="AG74" r:id="rId244" display="Link"/>
    <hyperlink ref="AM74" r:id="rId245" display="Link"/>
    <hyperlink ref="O75" r:id="rId246" display="Link"/>
    <hyperlink ref="U75" r:id="rId247" display="Link"/>
    <hyperlink ref="AA75" r:id="rId248" display="Link"/>
    <hyperlink ref="AG75" r:id="rId249" display="Link"/>
    <hyperlink ref="O76" r:id="rId250" display="Link"/>
    <hyperlink ref="U76" r:id="rId251" display="Link"/>
    <hyperlink ref="AA76" r:id="rId252" display="Link"/>
    <hyperlink ref="AG76" r:id="rId253" display="Link"/>
    <hyperlink ref="AM76" r:id="rId254" display="Link"/>
    <hyperlink ref="O77" r:id="rId255" display="Link"/>
    <hyperlink ref="AA77" r:id="rId256" display="Link"/>
    <hyperlink ref="AM77" r:id="rId257" display="Link"/>
    <hyperlink ref="O78" r:id="rId258" display="Link"/>
    <hyperlink ref="AA78" r:id="rId259" display="Link"/>
    <hyperlink ref="AG78" r:id="rId260" display="Link"/>
    <hyperlink ref="AM78" r:id="rId261" display="Link"/>
    <hyperlink ref="O79" r:id="rId262" display="Link"/>
    <hyperlink ref="U79" r:id="rId263" display="Link"/>
    <hyperlink ref="AA79" r:id="rId264" display="Link"/>
    <hyperlink ref="AG79" r:id="rId265" display="Link"/>
    <hyperlink ref="O80" r:id="rId266" display="Link"/>
    <hyperlink ref="AA80" r:id="rId267" display="Link"/>
    <hyperlink ref="AG80" r:id="rId268" display="Link"/>
    <hyperlink ref="O81" r:id="rId269" display="Link"/>
    <hyperlink ref="U81" r:id="rId270" display="Link"/>
    <hyperlink ref="AA81" r:id="rId271" display="Link"/>
    <hyperlink ref="AG81" r:id="rId272" display="Link"/>
    <hyperlink ref="AM81" r:id="rId273" display="Link"/>
    <hyperlink ref="O82" r:id="rId274" display="Link"/>
    <hyperlink ref="AA82" r:id="rId275" display="Link"/>
    <hyperlink ref="AM82" r:id="rId276" display="Link"/>
    <hyperlink ref="O83" r:id="rId277" display="Link"/>
    <hyperlink ref="AA83" r:id="rId278" display="Link"/>
    <hyperlink ref="O84" r:id="rId279" display="Link"/>
    <hyperlink ref="U84" r:id="rId280" display="Link"/>
    <hyperlink ref="AA84" r:id="rId281" display="Link"/>
    <hyperlink ref="AG84" r:id="rId282" display="Link"/>
    <hyperlink ref="O85" r:id="rId283" display="Link"/>
    <hyperlink ref="U85" r:id="rId284" display="Link"/>
    <hyperlink ref="AA85" r:id="rId285" display="Link"/>
    <hyperlink ref="AG85" r:id="rId286" display="Link"/>
    <hyperlink ref="AM85" r:id="rId287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2017-08-30T04:06:53Z</dcterms:created>
  <dc:creator/>
  <dc:description/>
  <dc:language>es-AR</dc:language>
  <cp:lastModifiedBy/>
  <dcterms:modified xsi:type="dcterms:W3CDTF">2017-08-30T07:37:30Z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