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nton\Dropbox\USM_Summer21\Eng.Eco\Report\"/>
    </mc:Choice>
  </mc:AlternateContent>
  <xr:revisionPtr revIDLastSave="0" documentId="13_ncr:1_{D8BDCAC7-CB47-47F0-92DB-B19E873EC86A}" xr6:coauthVersionLast="47" xr6:coauthVersionMax="47" xr10:uidLastSave="{00000000-0000-0000-0000-000000000000}"/>
  <bookViews>
    <workbookView xWindow="-12915" yWindow="3405" windowWidth="21600" windowHeight="11385" xr2:uid="{49C25FCF-1AB3-4D97-9B48-98D927A95077}"/>
  </bookViews>
  <sheets>
    <sheet name="Transport Stats" sheetId="1" r:id="rId1"/>
    <sheet name="Proterra-Bus Stats" sheetId="2" r:id="rId2"/>
    <sheet name="Electric Minivans" sheetId="3" r:id="rId3"/>
    <sheet name="Cost 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N20" i="1"/>
  <c r="N19" i="1"/>
  <c r="M19" i="1"/>
  <c r="H21" i="1"/>
  <c r="H20" i="1"/>
  <c r="H19" i="1"/>
  <c r="M20" i="1"/>
  <c r="M21" i="1"/>
  <c r="K19" i="1"/>
  <c r="P6" i="1"/>
  <c r="P7" i="1"/>
  <c r="P5" i="1"/>
  <c r="N5" i="1"/>
  <c r="N7" i="1"/>
  <c r="L5" i="1"/>
  <c r="L7" i="1"/>
  <c r="N6" i="1"/>
  <c r="L6" i="1"/>
  <c r="L4" i="1"/>
  <c r="K24" i="1"/>
  <c r="L24" i="1" s="1"/>
  <c r="K25" i="1"/>
  <c r="L25" i="1" s="1"/>
  <c r="K23" i="1"/>
  <c r="L23" i="1" s="1"/>
  <c r="N4" i="1"/>
  <c r="P4" i="1" s="1"/>
  <c r="M6" i="1"/>
  <c r="M4" i="1"/>
  <c r="J11" i="1"/>
  <c r="J12" i="1"/>
  <c r="J13" i="1"/>
  <c r="J14" i="1"/>
  <c r="J15" i="1"/>
  <c r="J10" i="1"/>
  <c r="I25" i="1"/>
  <c r="I24" i="1"/>
  <c r="H15" i="1"/>
  <c r="I15" i="1"/>
  <c r="I14" i="1"/>
  <c r="H14" i="1"/>
  <c r="I9" i="1"/>
  <c r="H9" i="1"/>
  <c r="I12" i="1"/>
  <c r="I10" i="1"/>
  <c r="I8" i="1"/>
  <c r="H8" i="1"/>
  <c r="H12" i="1" s="1"/>
  <c r="I7" i="1"/>
  <c r="H7" i="1"/>
  <c r="H10" i="1" s="1"/>
  <c r="I6" i="1"/>
  <c r="H6" i="1"/>
  <c r="I4" i="1"/>
  <c r="I13" i="1" s="1"/>
  <c r="J4" i="1"/>
  <c r="H4" i="1"/>
  <c r="H13" i="1" s="1"/>
  <c r="I5" i="1"/>
  <c r="J5" i="1"/>
  <c r="H5" i="1"/>
  <c r="I11" i="1" l="1"/>
  <c r="H11" i="1"/>
</calcChain>
</file>

<file path=xl/sharedStrings.xml><?xml version="1.0" encoding="utf-8"?>
<sst xmlns="http://schemas.openxmlformats.org/spreadsheetml/2006/main" count="426" uniqueCount="237">
  <si>
    <t>Portland-Lewiston</t>
  </si>
  <si>
    <t>Gorham-Lewiston</t>
  </si>
  <si>
    <t>Motorcycle/Moped</t>
  </si>
  <si>
    <t>SOV</t>
  </si>
  <si>
    <t>Carpool</t>
  </si>
  <si>
    <t>Weekly Trips</t>
  </si>
  <si>
    <t>Weekly Trips Scaled to Total Pop:9123</t>
  </si>
  <si>
    <t>Weekly Trips Scaled to Total students:8140</t>
  </si>
  <si>
    <t>Individual Riders</t>
  </si>
  <si>
    <t>Riders Scaled/Students</t>
  </si>
  <si>
    <t>Riders Scaled/Pop</t>
  </si>
  <si>
    <t>Transport Mode</t>
  </si>
  <si>
    <t>Miles Traveled</t>
  </si>
  <si>
    <t>Mode Proportion</t>
  </si>
  <si>
    <t>Motorcycle</t>
  </si>
  <si>
    <t>Personal Vehicle</t>
  </si>
  <si>
    <t>Bike/Walk</t>
  </si>
  <si>
    <t>Bus Passenger</t>
  </si>
  <si>
    <t>Total</t>
  </si>
  <si>
    <t>Potential Daily Ridership between L/PG</t>
  </si>
  <si>
    <t>P/L</t>
  </si>
  <si>
    <t>G/L</t>
  </si>
  <si>
    <t>One-Way Weekly Trips</t>
  </si>
  <si>
    <t>One-Way Weekly (scaled)</t>
  </si>
  <si>
    <t>Estimated Potential Daily Bus/Van Riders (OW)</t>
  </si>
  <si>
    <t>Estimated Potential Daily Bus/Van Riders (TW)</t>
  </si>
  <si>
    <t>Estimated One-Way Daily (scaled)</t>
  </si>
  <si>
    <t>Proterra Bus Range</t>
  </si>
  <si>
    <t>Temperate Weather</t>
  </si>
  <si>
    <t>Hot Weather</t>
  </si>
  <si>
    <t>Cold Weather</t>
  </si>
  <si>
    <t>ZX5+ (450kWh)</t>
  </si>
  <si>
    <t>ZX5 MAX (675 kWh)</t>
  </si>
  <si>
    <t>Eff (kWh/mile)</t>
  </si>
  <si>
    <t>Est. Range (miles)</t>
  </si>
  <si>
    <t>ZX5 VEHICLE WITH DUOPOWER™ DRIVETRAIN</t>
  </si>
  <si>
    <t>Operating Efficiency*</t>
  </si>
  <si>
    <t>Horsepower</t>
  </si>
  <si>
    <t>Description</t>
  </si>
  <si>
    <t>ZX5</t>
  </si>
  <si>
    <t>ZX5+</t>
  </si>
  <si>
    <t>Total Energy</t>
  </si>
  <si>
    <t>kWh</t>
  </si>
  <si>
    <t xml:space="preserve">kWh/mile </t>
  </si>
  <si>
    <t>1.5-2.0</t>
  </si>
  <si>
    <t>1.6-2.3</t>
  </si>
  <si>
    <t xml:space="preserve">MPGe </t>
  </si>
  <si>
    <t>18.8-25.1</t>
  </si>
  <si>
    <t>16.4-23.5</t>
  </si>
  <si>
    <t xml:space="preserve">Operating Range* </t>
  </si>
  <si>
    <t xml:space="preserve">Miles; Usable energy/Operating efficiency </t>
  </si>
  <si>
    <t xml:space="preserve">95-125 </t>
  </si>
  <si>
    <t>172-240</t>
  </si>
  <si>
    <t xml:space="preserve">Top Speed (Proterra-governed) </t>
  </si>
  <si>
    <t xml:space="preserve">mph (per tire rating) </t>
  </si>
  <si>
    <t xml:space="preserve">0 to 20 mph </t>
  </si>
  <si>
    <t>20 to 50 mph</t>
  </si>
  <si>
    <t xml:space="preserve">Max Grade (at SLW) </t>
  </si>
  <si>
    <t xml:space="preserve">Peak </t>
  </si>
  <si>
    <t xml:space="preserve">Continuous </t>
  </si>
  <si>
    <t xml:space="preserve">Motor </t>
  </si>
  <si>
    <t xml:space="preserve">Gearbox </t>
  </si>
  <si>
    <t>Proterra 2-speed auto-shift EV gearbox</t>
  </si>
  <si>
    <t>Dual independent 205 kW motors</t>
  </si>
  <si>
    <t>Curb Weight</t>
  </si>
  <si>
    <t xml:space="preserve"> lbs </t>
  </si>
  <si>
    <t xml:space="preserve">Max Gross Vehicle Weight Rating </t>
  </si>
  <si>
    <t xml:space="preserve">lbs </t>
  </si>
  <si>
    <t>ZX5 VEHICLE WITH PRODRIVE DRIVETRAIN</t>
  </si>
  <si>
    <t>Single 250kW permanent magnet drive motor</t>
  </si>
  <si>
    <t>1.6-2.0</t>
  </si>
  <si>
    <t>1.7-2.4</t>
  </si>
  <si>
    <t>18.8-23.5</t>
  </si>
  <si>
    <t>15.7-22.2</t>
  </si>
  <si>
    <t>94-124</t>
  </si>
  <si>
    <t>164-227</t>
  </si>
  <si>
    <t>CHARGING</t>
  </si>
  <si>
    <t>Overhead Charging</t>
  </si>
  <si>
    <t xml:space="preserve">Max Plug-in Charge Rate at 200A </t>
  </si>
  <si>
    <t xml:space="preserve">kW </t>
  </si>
  <si>
    <t xml:space="preserve">Max Overhead Charge Rate </t>
  </si>
  <si>
    <t xml:space="preserve">Miles replenished per 10 minutes ** </t>
  </si>
  <si>
    <t xml:space="preserve">Est. time Empty to Full*** </t>
  </si>
  <si>
    <t xml:space="preserve">1.8 hrs </t>
  </si>
  <si>
    <t>2.0 hrs</t>
  </si>
  <si>
    <t>2.9 hrs</t>
  </si>
  <si>
    <t xml:space="preserve">Plug-in Charging </t>
  </si>
  <si>
    <t>Acceleration                                       (at SLW, seconds)</t>
  </si>
  <si>
    <t>Gradability                                       (top speed at % grade, at SLW, mph)</t>
  </si>
  <si>
    <t>VEHICLE DIMENSIONS</t>
  </si>
  <si>
    <t>INTERIOR</t>
  </si>
  <si>
    <t>EXTERIOR</t>
  </si>
  <si>
    <t>BRAKES &amp; SUSPENSION</t>
  </si>
  <si>
    <t>ELECTRICAL SYSTEM</t>
  </si>
  <si>
    <t>ADA</t>
  </si>
  <si>
    <t>Two ADA locations, one on each side of the aisle directly behind the front wheel</t>
  </si>
  <si>
    <t>ADA securement system</t>
  </si>
  <si>
    <t>Front ADA power wheelchair ramp (4:1, 6:1 slope)</t>
  </si>
  <si>
    <t>Rear door modesty panels</t>
  </si>
  <si>
    <t>Aisle width between front wheel wells: 35.7"</t>
  </si>
  <si>
    <t>WARRANTY</t>
  </si>
  <si>
    <t xml:space="preserve">Length </t>
  </si>
  <si>
    <t>443"</t>
  </si>
  <si>
    <t xml:space="preserve">Height </t>
  </si>
  <si>
    <t>128"</t>
  </si>
  <si>
    <t xml:space="preserve">Width (without mirrors) </t>
  </si>
  <si>
    <t>102"</t>
  </si>
  <si>
    <t xml:space="preserve">Width (with mirrors) </t>
  </si>
  <si>
    <t>118.8"</t>
  </si>
  <si>
    <t xml:space="preserve">Wheelbase </t>
  </si>
  <si>
    <t>243"</t>
  </si>
  <si>
    <t xml:space="preserve">Approach Angle </t>
  </si>
  <si>
    <t>9.3°</t>
  </si>
  <si>
    <t xml:space="preserve">Breakover Angle </t>
  </si>
  <si>
    <t>7.8°</t>
  </si>
  <si>
    <t xml:space="preserve">Departure Angle </t>
  </si>
  <si>
    <t xml:space="preserve">Turning Radius </t>
  </si>
  <si>
    <t>432"</t>
  </si>
  <si>
    <t xml:space="preserve">Seating Capacity </t>
  </si>
  <si>
    <t xml:space="preserve">Door Width </t>
  </si>
  <si>
    <t>Front 43.2", Rear 49.1"</t>
  </si>
  <si>
    <t xml:space="preserve">Lighting </t>
  </si>
  <si>
    <t>LED interior lighting system</t>
  </si>
  <si>
    <t xml:space="preserve">Handles </t>
  </si>
  <si>
    <t>Stainless-steel stanchion system</t>
  </si>
  <si>
    <t xml:space="preserve">Stop Request </t>
  </si>
  <si>
    <t>ADA pull cord or touch tape stop request</t>
  </si>
  <si>
    <t xml:space="preserve">Doors </t>
  </si>
  <si>
    <t>Senstive edges on both front and rear door</t>
  </si>
  <si>
    <t xml:space="preserve">Wipers </t>
  </si>
  <si>
    <t>Electric wipers and washers</t>
  </si>
  <si>
    <t xml:space="preserve">HVAC </t>
  </si>
  <si>
    <t>Overhead integrated system</t>
  </si>
  <si>
    <t xml:space="preserve">Bus Body </t>
  </si>
  <si>
    <t>Carbon-fiber-reinforced composite material</t>
  </si>
  <si>
    <t xml:space="preserve">Tires </t>
  </si>
  <si>
    <t>Standard: Michelin 315/80R22.5</t>
  </si>
  <si>
    <t xml:space="preserve">Exterior Lights </t>
  </si>
  <si>
    <t>LED</t>
  </si>
  <si>
    <t xml:space="preserve">Braking System </t>
  </si>
  <si>
    <t>Regenerative braking; front &amp; rear air disk brakes</t>
  </si>
  <si>
    <t xml:space="preserve">Traction </t>
  </si>
  <si>
    <t>4-wheel ABS with optional traction control</t>
  </si>
  <si>
    <t xml:space="preserve">Suspension </t>
  </si>
  <si>
    <t>Multi-Link Air Ride rear suspension</t>
  </si>
  <si>
    <t xml:space="preserve">Battery System </t>
  </si>
  <si>
    <t>Integrated battery management system</t>
  </si>
  <si>
    <t xml:space="preserve">Low Voltage </t>
  </si>
  <si>
    <t>Two, Group 31 700 CCA 12v batteries</t>
  </si>
  <si>
    <t xml:space="preserve">Charge Ports </t>
  </si>
  <si>
    <t>J1772 CCS: One port standard at curb-side rear, 2nd port optional at street-side rear or curb-side front</t>
  </si>
  <si>
    <t xml:space="preserve">Overhead Charging </t>
  </si>
  <si>
    <t>Optional</t>
  </si>
  <si>
    <t>Universal standard J1772-CCS</t>
  </si>
  <si>
    <t>Universal standard J3105</t>
  </si>
  <si>
    <t xml:space="preserve">Vehicle </t>
  </si>
  <si>
    <t>Complete Bus - 1 year or 50,000 miles. Extended warranties and service contracts available upon request</t>
  </si>
  <si>
    <t xml:space="preserve">Batteries </t>
  </si>
  <si>
    <t>12 years / unlimited miles, materials and workmanship</t>
  </si>
  <si>
    <t>ZX5 35 Foot Bus Specs</t>
  </si>
  <si>
    <t>ZX5 40 Foot Bus Specs</t>
  </si>
  <si>
    <t>1.8-2.7</t>
  </si>
  <si>
    <t>13.9-20.9</t>
  </si>
  <si>
    <t>221-329</t>
  </si>
  <si>
    <t>1.9-2.8</t>
  </si>
  <si>
    <t>13.5-19.8</t>
  </si>
  <si>
    <t>1.7-2.2</t>
  </si>
  <si>
    <t>18-2.5</t>
  </si>
  <si>
    <t>17.1-22.2</t>
  </si>
  <si>
    <t>15.1-20.9</t>
  </si>
  <si>
    <t>91-117</t>
  </si>
  <si>
    <t>154-216</t>
  </si>
  <si>
    <t>205-297</t>
  </si>
  <si>
    <t>2.7 hrs</t>
  </si>
  <si>
    <t>4.2 hrs</t>
  </si>
  <si>
    <t>1.6-2.1</t>
  </si>
  <si>
    <t>17.9-23.5</t>
  </si>
  <si>
    <t>92-120</t>
  </si>
  <si>
    <t>163-232</t>
  </si>
  <si>
    <t>ZX5 MAX</t>
  </si>
  <si>
    <t>510"</t>
  </si>
  <si>
    <t>296"</t>
  </si>
  <si>
    <t>503"</t>
  </si>
  <si>
    <t>G-LA</t>
  </si>
  <si>
    <t>Travel Time</t>
  </si>
  <si>
    <t>P-LA</t>
  </si>
  <si>
    <t>G-P-LA</t>
  </si>
  <si>
    <t xml:space="preserve">Distance </t>
  </si>
  <si>
    <t>km</t>
  </si>
  <si>
    <t>miles</t>
  </si>
  <si>
    <t>hours</t>
  </si>
  <si>
    <t>Option</t>
  </si>
  <si>
    <t>Price</t>
  </si>
  <si>
    <t>Capacity (seats)</t>
  </si>
  <si>
    <t>Charge Time</t>
  </si>
  <si>
    <t>Peak Power</t>
  </si>
  <si>
    <t>Ford Transit 350HD Passenger Van</t>
  </si>
  <si>
    <t>Note</t>
  </si>
  <si>
    <t>https://lightningemotors.com/lightningelectric-ford-transit-shuttle/</t>
  </si>
  <si>
    <t>Range (miles)</t>
  </si>
  <si>
    <t>Commute Need</t>
  </si>
  <si>
    <t>Total Distance Travel</t>
  </si>
  <si>
    <t>miles/week</t>
  </si>
  <si>
    <t>riders/week</t>
  </si>
  <si>
    <t>trips/week (40 seat cap)</t>
  </si>
  <si>
    <t>trips/week (29 seat cap)</t>
  </si>
  <si>
    <t>km/week (40 seat cap)</t>
  </si>
  <si>
    <t>km/week (29 seat cap)</t>
  </si>
  <si>
    <t>Route Analysis</t>
  </si>
  <si>
    <t>trips/week (15 seat cap)</t>
  </si>
  <si>
    <t>km/week (15 seat cap)</t>
  </si>
  <si>
    <t>Cost Analysis</t>
  </si>
  <si>
    <t>Bus</t>
  </si>
  <si>
    <t>Van</t>
  </si>
  <si>
    <t>Range Est (miles)</t>
  </si>
  <si>
    <t>$Estimate (includes DC Fast Charger)</t>
  </si>
  <si>
    <t>Current Commuting Costs</t>
  </si>
  <si>
    <t>Commuters per week</t>
  </si>
  <si>
    <t>Gorham-LA</t>
  </si>
  <si>
    <t>Portland-LA</t>
  </si>
  <si>
    <t>Miles/trip</t>
  </si>
  <si>
    <t>Total Distance Traveled (assuming 2 way travel)</t>
  </si>
  <si>
    <t>Est. Cost of Gas</t>
  </si>
  <si>
    <t>Curr Gas$</t>
  </si>
  <si>
    <t>Total Cost</t>
  </si>
  <si>
    <t>Cost of Energy in Maine ($/kWh)</t>
  </si>
  <si>
    <t>Travel Cost ($/wk)</t>
  </si>
  <si>
    <t>Savings (based on est. riders)</t>
  </si>
  <si>
    <t>40' ZX5 Max</t>
  </si>
  <si>
    <t>40' ZX5</t>
  </si>
  <si>
    <t>35' ZX5</t>
  </si>
  <si>
    <t>Energy Capacity (kWh)</t>
  </si>
  <si>
    <t>150 kWh charger (w/ one dispenser)</t>
  </si>
  <si>
    <t>Cost of transporting the bus to portland ($8/mile)</t>
  </si>
  <si>
    <t>Aux. Heating System*</t>
  </si>
  <si>
    <t>$Estimate (including batteries)</t>
  </si>
  <si>
    <t>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</si>
</sst>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/>
    <xf numFmtId="0" fontId="1" fillId="0" borderId="2" xfId="0" applyFont="1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9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1" fillId="0" borderId="7" xfId="0" applyFont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3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3" fillId="0" borderId="4" xfId="0" applyFont="1" applyBorder="1"/>
    <xf numFmtId="0" fontId="1" fillId="0" borderId="6" xfId="0" applyFont="1" applyBorder="1"/>
    <xf numFmtId="0" fontId="0" fillId="0" borderId="8" xfId="0" applyBorder="1"/>
    <xf numFmtId="0" fontId="2" fillId="0" borderId="4" xfId="0" applyFont="1" applyBorder="1"/>
    <xf numFmtId="0" fontId="0" fillId="0" borderId="3" xfId="0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4" xfId="0" applyBorder="1" applyAlignment="1">
      <alignment horizontal="center"/>
    </xf>
    <xf numFmtId="1" fontId="0" fillId="0" borderId="0" xfId="0" applyNumberFormat="1" applyBorder="1"/>
    <xf numFmtId="1" fontId="0" fillId="0" borderId="7" xfId="0" applyNumberFormat="1" applyBorder="1"/>
    <xf numFmtId="0" fontId="0" fillId="0" borderId="0" xfId="0" applyFill="1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0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9" xfId="0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0" xfId="0" applyBorder="1" applyAlignment="1">
      <alignment horizontal="center" vertical="center"/>
    </xf>
    <xf numFmtId="0" fontId="0" fillId="3" borderId="0" xfId="0" applyFill="1" applyBorder="1"/>
    <xf numFmtId="164" fontId="0" fillId="0" borderId="0" xfId="0" applyNumberFormat="1" applyFill="1" applyAlignment="1">
      <alignment vertical="center"/>
    </xf>
    <xf numFmtId="0" fontId="0" fillId="0" borderId="0" xfId="0" applyFill="1"/>
    <xf numFmtId="0" fontId="0" fillId="4" borderId="0" xfId="0" applyFill="1" applyBorder="1"/>
    <xf numFmtId="0" fontId="0" fillId="5" borderId="4" xfId="0" applyFill="1" applyBorder="1"/>
    <xf numFmtId="0" fontId="0" fillId="2" borderId="0" xfId="0" applyFill="1" applyBorder="1"/>
    <xf numFmtId="0" fontId="0" fillId="2" borderId="5" xfId="0" applyFill="1" applyBorder="1"/>
    <xf numFmtId="164" fontId="0" fillId="0" borderId="0" xfId="0" applyNumberFormat="1" applyBorder="1"/>
    <xf numFmtId="16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164" fontId="0" fillId="0" borderId="5" xfId="0" applyNumberFormat="1" applyBorder="1"/>
    <xf numFmtId="0" fontId="0" fillId="5" borderId="4" xfId="0" applyFill="1" applyBorder="1" applyAlignment="1"/>
    <xf numFmtId="0" fontId="0" fillId="2" borderId="0" xfId="0" applyFill="1" applyBorder="1" applyAlignment="1"/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4" borderId="7" xfId="0" applyFill="1" applyBorder="1"/>
    <xf numFmtId="2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745B-3825-485C-8401-A12BB7EBDAD2}">
  <dimension ref="A1:Q30"/>
  <sheetViews>
    <sheetView tabSelected="1" topLeftCell="E1" zoomScaleNormal="100" workbookViewId="0">
      <selection activeCell="P22" sqref="P22"/>
    </sheetView>
  </sheetViews>
  <sheetFormatPr defaultRowHeight="15" x14ac:dyDescent="0.25"/>
  <cols>
    <col min="1" max="1" width="42.5703125" customWidth="1"/>
    <col min="2" max="4" width="18.28515625" customWidth="1"/>
    <col min="6" max="6" width="17.7109375" customWidth="1"/>
    <col min="7" max="7" width="22.28515625" customWidth="1"/>
    <col min="8" max="8" width="16.140625" customWidth="1"/>
    <col min="9" max="9" width="12.85546875" customWidth="1"/>
    <col min="10" max="10" width="13.28515625" customWidth="1"/>
    <col min="11" max="11" width="18" customWidth="1"/>
    <col min="12" max="12" width="27" customWidth="1"/>
    <col min="13" max="13" width="12.7109375" customWidth="1"/>
    <col min="14" max="14" width="21.5703125" customWidth="1"/>
    <col min="16" max="16" width="14.42578125" customWidth="1"/>
    <col min="17" max="17" width="11.42578125" customWidth="1"/>
  </cols>
  <sheetData>
    <row r="1" spans="1:17" ht="15.75" thickBot="1" x14ac:dyDescent="0.3"/>
    <row r="2" spans="1:17" ht="18.75" x14ac:dyDescent="0.3">
      <c r="A2" s="33" t="s">
        <v>0</v>
      </c>
      <c r="B2" s="8" t="s">
        <v>2</v>
      </c>
      <c r="C2" s="8" t="s">
        <v>3</v>
      </c>
      <c r="D2" s="34" t="s">
        <v>4</v>
      </c>
      <c r="F2" s="86" t="s">
        <v>208</v>
      </c>
      <c r="G2" s="87"/>
      <c r="H2" s="7" t="s">
        <v>183</v>
      </c>
      <c r="I2" s="7" t="s">
        <v>185</v>
      </c>
      <c r="J2" s="42" t="s">
        <v>186</v>
      </c>
      <c r="K2" s="86" t="s">
        <v>216</v>
      </c>
      <c r="L2" s="87"/>
      <c r="M2" s="87"/>
      <c r="N2" s="87"/>
      <c r="O2" s="87"/>
      <c r="P2" s="88"/>
    </row>
    <row r="3" spans="1:17" x14ac:dyDescent="0.25">
      <c r="A3" s="35" t="s">
        <v>5</v>
      </c>
      <c r="B3" s="10">
        <v>7</v>
      </c>
      <c r="C3" s="10">
        <v>99</v>
      </c>
      <c r="D3" s="36">
        <v>45</v>
      </c>
      <c r="F3" s="49" t="s">
        <v>187</v>
      </c>
      <c r="G3" s="10" t="s">
        <v>188</v>
      </c>
      <c r="H3" s="43">
        <v>56.8</v>
      </c>
      <c r="I3" s="43">
        <v>54.5</v>
      </c>
      <c r="J3" s="44">
        <v>70.7</v>
      </c>
      <c r="K3" s="37" t="s">
        <v>236</v>
      </c>
      <c r="L3" s="10" t="s">
        <v>217</v>
      </c>
      <c r="M3" s="10" t="s">
        <v>220</v>
      </c>
      <c r="N3" s="10" t="s">
        <v>221</v>
      </c>
      <c r="O3" s="10" t="s">
        <v>223</v>
      </c>
      <c r="P3" s="36" t="s">
        <v>222</v>
      </c>
    </row>
    <row r="4" spans="1:17" x14ac:dyDescent="0.25">
      <c r="A4" s="35" t="s">
        <v>7</v>
      </c>
      <c r="B4" s="10">
        <v>57</v>
      </c>
      <c r="C4" s="10">
        <v>806</v>
      </c>
      <c r="D4" s="36">
        <v>366</v>
      </c>
      <c r="F4" s="49"/>
      <c r="G4" s="10" t="s">
        <v>189</v>
      </c>
      <c r="H4" s="43">
        <f>H3/1.6</f>
        <v>35.499999999999993</v>
      </c>
      <c r="I4" s="43">
        <f t="shared" ref="I4:J4" si="0">I3/1.6</f>
        <v>34.0625</v>
      </c>
      <c r="J4" s="44">
        <f t="shared" si="0"/>
        <v>44.1875</v>
      </c>
      <c r="K4" s="49" t="s">
        <v>218</v>
      </c>
      <c r="L4" s="69">
        <f>B27</f>
        <v>1377</v>
      </c>
      <c r="M4" s="89">
        <f>H4</f>
        <v>35.499999999999993</v>
      </c>
      <c r="N4" s="10">
        <f>L4*M4*2</f>
        <v>97766.999999999985</v>
      </c>
      <c r="O4" s="77">
        <v>3</v>
      </c>
      <c r="P4" s="79">
        <f>O$4*N4/20</f>
        <v>14665.049999999997</v>
      </c>
      <c r="Q4" s="70"/>
    </row>
    <row r="5" spans="1:17" x14ac:dyDescent="0.25">
      <c r="A5" s="35" t="s">
        <v>6</v>
      </c>
      <c r="B5" s="10">
        <v>64</v>
      </c>
      <c r="C5" s="10">
        <v>903</v>
      </c>
      <c r="D5" s="36">
        <v>410</v>
      </c>
      <c r="F5" s="45" t="s">
        <v>184</v>
      </c>
      <c r="G5" s="10" t="s">
        <v>190</v>
      </c>
      <c r="H5" s="43">
        <f>43/60</f>
        <v>0.71666666666666667</v>
      </c>
      <c r="I5" s="43">
        <f>39/60</f>
        <v>0.65</v>
      </c>
      <c r="J5" s="44">
        <f>1+5/60</f>
        <v>1.0833333333333333</v>
      </c>
      <c r="K5" s="49"/>
      <c r="L5" s="72">
        <f>B29*5</f>
        <v>220</v>
      </c>
      <c r="M5" s="89"/>
      <c r="N5" s="10">
        <f>L5*M4</f>
        <v>7809.9999999999982</v>
      </c>
      <c r="O5" s="77"/>
      <c r="P5" s="79">
        <f>O$4*N5/20</f>
        <v>1171.4999999999995</v>
      </c>
      <c r="Q5" s="70"/>
    </row>
    <row r="6" spans="1:17" x14ac:dyDescent="0.25">
      <c r="A6" s="35" t="s">
        <v>8</v>
      </c>
      <c r="B6" s="10">
        <v>2</v>
      </c>
      <c r="C6" s="10">
        <v>22</v>
      </c>
      <c r="D6" s="36">
        <v>16</v>
      </c>
      <c r="F6" s="49" t="s">
        <v>200</v>
      </c>
      <c r="G6" s="10" t="s">
        <v>203</v>
      </c>
      <c r="H6" s="72">
        <f>44*5</f>
        <v>220</v>
      </c>
      <c r="I6" s="72">
        <f>33*5</f>
        <v>165</v>
      </c>
      <c r="J6" s="36"/>
      <c r="K6" s="49" t="s">
        <v>219</v>
      </c>
      <c r="L6" s="69">
        <f>C27</f>
        <v>1041</v>
      </c>
      <c r="M6" s="89">
        <f>I4</f>
        <v>34.0625</v>
      </c>
      <c r="N6" s="10">
        <f>L6*M6*2</f>
        <v>70918.125</v>
      </c>
      <c r="O6" s="77"/>
      <c r="P6" s="79">
        <f t="shared" ref="P6:P7" si="1">O$4*N6/20</f>
        <v>10637.71875</v>
      </c>
      <c r="Q6" s="71"/>
    </row>
    <row r="7" spans="1:17" ht="15.75" thickBot="1" x14ac:dyDescent="0.3">
      <c r="A7" s="35" t="s">
        <v>9</v>
      </c>
      <c r="B7" s="10">
        <v>16</v>
      </c>
      <c r="C7" s="10">
        <v>179</v>
      </c>
      <c r="D7" s="36">
        <v>130</v>
      </c>
      <c r="F7" s="49"/>
      <c r="G7" s="10" t="s">
        <v>204</v>
      </c>
      <c r="H7" s="46">
        <f>H6/40</f>
        <v>5.5</v>
      </c>
      <c r="I7" s="46">
        <f>I6/40</f>
        <v>4.125</v>
      </c>
      <c r="J7" s="36"/>
      <c r="K7" s="50"/>
      <c r="L7" s="90">
        <f>C29*5</f>
        <v>165</v>
      </c>
      <c r="M7" s="91"/>
      <c r="N7" s="21">
        <f>L7*M6</f>
        <v>5620.3125</v>
      </c>
      <c r="O7" s="92"/>
      <c r="P7" s="93">
        <f t="shared" si="1"/>
        <v>843.046875</v>
      </c>
      <c r="Q7" s="71"/>
    </row>
    <row r="8" spans="1:17" x14ac:dyDescent="0.25">
      <c r="A8" s="35" t="s">
        <v>10</v>
      </c>
      <c r="B8" s="10">
        <v>18</v>
      </c>
      <c r="C8" s="10">
        <v>201</v>
      </c>
      <c r="D8" s="36">
        <v>146</v>
      </c>
      <c r="F8" s="49"/>
      <c r="G8" s="10" t="s">
        <v>205</v>
      </c>
      <c r="H8" s="46">
        <f>H6/29</f>
        <v>7.5862068965517242</v>
      </c>
      <c r="I8" s="46">
        <f>I6/29</f>
        <v>5.6896551724137927</v>
      </c>
      <c r="J8" s="36"/>
    </row>
    <row r="9" spans="1:17" ht="15.75" thickBot="1" x14ac:dyDescent="0.3">
      <c r="A9" s="37"/>
      <c r="B9" s="10"/>
      <c r="C9" s="10"/>
      <c r="D9" s="36"/>
      <c r="F9" s="49"/>
      <c r="G9" s="48" t="s">
        <v>209</v>
      </c>
      <c r="H9" s="46">
        <f>H6/15</f>
        <v>14.666666666666666</v>
      </c>
      <c r="I9" s="46">
        <f>I6/15</f>
        <v>11</v>
      </c>
      <c r="J9" s="65"/>
    </row>
    <row r="10" spans="1:17" ht="19.5" thickTop="1" x14ac:dyDescent="0.3">
      <c r="A10" s="38" t="s">
        <v>1</v>
      </c>
      <c r="B10" s="10"/>
      <c r="C10" s="10"/>
      <c r="D10" s="36"/>
      <c r="F10" s="49" t="s">
        <v>201</v>
      </c>
      <c r="G10" s="10" t="s">
        <v>206</v>
      </c>
      <c r="H10" s="46">
        <f>H3*H$7</f>
        <v>312.39999999999998</v>
      </c>
      <c r="I10" s="46">
        <f>I3*I$7</f>
        <v>224.8125</v>
      </c>
      <c r="J10" s="66">
        <f>H10+I10</f>
        <v>537.21249999999998</v>
      </c>
    </row>
    <row r="11" spans="1:17" x14ac:dyDescent="0.25">
      <c r="A11" s="35" t="s">
        <v>5</v>
      </c>
      <c r="B11" s="10">
        <v>4</v>
      </c>
      <c r="C11" s="10">
        <v>63</v>
      </c>
      <c r="D11" s="36">
        <v>47</v>
      </c>
      <c r="F11" s="49"/>
      <c r="G11" s="10" t="s">
        <v>202</v>
      </c>
      <c r="H11" s="46">
        <f>H4*H$7</f>
        <v>195.24999999999997</v>
      </c>
      <c r="I11" s="46">
        <f>I4*I$7</f>
        <v>140.5078125</v>
      </c>
      <c r="J11" s="66">
        <f t="shared" ref="J11:J15" si="2">H11+I11</f>
        <v>335.7578125</v>
      </c>
    </row>
    <row r="12" spans="1:17" x14ac:dyDescent="0.25">
      <c r="A12" s="35" t="s">
        <v>7</v>
      </c>
      <c r="B12" s="10">
        <v>33</v>
      </c>
      <c r="C12" s="10">
        <v>513</v>
      </c>
      <c r="D12" s="36">
        <v>383</v>
      </c>
      <c r="F12" s="49"/>
      <c r="G12" s="10" t="s">
        <v>207</v>
      </c>
      <c r="H12" s="46">
        <f>H3*H$8</f>
        <v>430.89655172413791</v>
      </c>
      <c r="I12" s="46">
        <f>I3*I$8</f>
        <v>310.08620689655169</v>
      </c>
      <c r="J12" s="66">
        <f t="shared" si="2"/>
        <v>740.98275862068954</v>
      </c>
    </row>
    <row r="13" spans="1:17" x14ac:dyDescent="0.25">
      <c r="A13" s="35" t="s">
        <v>6</v>
      </c>
      <c r="B13" s="10">
        <v>37</v>
      </c>
      <c r="C13" s="10">
        <v>575</v>
      </c>
      <c r="D13" s="36">
        <v>429</v>
      </c>
      <c r="F13" s="49"/>
      <c r="G13" s="10" t="s">
        <v>202</v>
      </c>
      <c r="H13" s="46">
        <f>H4*H$8</f>
        <v>269.31034482758616</v>
      </c>
      <c r="I13" s="46">
        <f>I4*I$8</f>
        <v>193.80387931034483</v>
      </c>
      <c r="J13" s="66">
        <f t="shared" si="2"/>
        <v>463.11422413793099</v>
      </c>
    </row>
    <row r="14" spans="1:17" x14ac:dyDescent="0.25">
      <c r="A14" s="35" t="s">
        <v>8</v>
      </c>
      <c r="B14" s="10">
        <v>2</v>
      </c>
      <c r="C14" s="10">
        <v>12</v>
      </c>
      <c r="D14" s="36">
        <v>11</v>
      </c>
      <c r="F14" s="49"/>
      <c r="G14" s="48" t="s">
        <v>210</v>
      </c>
      <c r="H14" s="46">
        <f>H3*H$9</f>
        <v>833.06666666666661</v>
      </c>
      <c r="I14" s="46">
        <f>I3*I$9</f>
        <v>599.5</v>
      </c>
      <c r="J14" s="66">
        <f t="shared" si="2"/>
        <v>1432.5666666666666</v>
      </c>
    </row>
    <row r="15" spans="1:17" ht="15.75" thickBot="1" x14ac:dyDescent="0.3">
      <c r="A15" s="35" t="s">
        <v>9</v>
      </c>
      <c r="B15" s="10">
        <v>16</v>
      </c>
      <c r="C15" s="10">
        <v>98</v>
      </c>
      <c r="D15" s="36">
        <v>90</v>
      </c>
      <c r="F15" s="50"/>
      <c r="G15" s="21" t="s">
        <v>202</v>
      </c>
      <c r="H15" s="47">
        <f>H4*H$9</f>
        <v>520.66666666666652</v>
      </c>
      <c r="I15" s="47">
        <f>I4*I$9</f>
        <v>374.6875</v>
      </c>
      <c r="J15" s="67">
        <f t="shared" si="2"/>
        <v>895.35416666666652</v>
      </c>
    </row>
    <row r="16" spans="1:17" ht="15.75" thickBot="1" x14ac:dyDescent="0.3">
      <c r="A16" s="35" t="s">
        <v>10</v>
      </c>
      <c r="B16" s="10">
        <v>18</v>
      </c>
      <c r="C16" s="10">
        <v>109</v>
      </c>
      <c r="D16" s="36">
        <v>101</v>
      </c>
    </row>
    <row r="17" spans="1:14" ht="18.75" x14ac:dyDescent="0.25">
      <c r="A17" s="37"/>
      <c r="B17" s="10"/>
      <c r="C17" s="10"/>
      <c r="D17" s="36"/>
      <c r="F17" s="86" t="s">
        <v>211</v>
      </c>
      <c r="G17" s="87"/>
      <c r="H17" s="7"/>
      <c r="I17" s="7"/>
      <c r="J17" s="7"/>
      <c r="K17" s="7"/>
      <c r="L17" s="7"/>
      <c r="M17" s="7"/>
      <c r="N17" s="42"/>
    </row>
    <row r="18" spans="1:14" ht="18.75" x14ac:dyDescent="0.3">
      <c r="A18" s="38" t="s">
        <v>11</v>
      </c>
      <c r="B18" s="11" t="s">
        <v>12</v>
      </c>
      <c r="C18" s="11" t="s">
        <v>13</v>
      </c>
      <c r="D18" s="36"/>
      <c r="F18" s="73" t="s">
        <v>212</v>
      </c>
      <c r="G18" s="74" t="s">
        <v>231</v>
      </c>
      <c r="H18" s="74" t="s">
        <v>214</v>
      </c>
      <c r="I18" s="74" t="s">
        <v>235</v>
      </c>
      <c r="J18" s="74" t="s">
        <v>232</v>
      </c>
      <c r="K18" s="74" t="s">
        <v>233</v>
      </c>
      <c r="L18" s="74" t="s">
        <v>234</v>
      </c>
      <c r="M18" s="74" t="s">
        <v>224</v>
      </c>
      <c r="N18" s="75" t="s">
        <v>226</v>
      </c>
    </row>
    <row r="19" spans="1:14" x14ac:dyDescent="0.25">
      <c r="A19" s="35" t="s">
        <v>14</v>
      </c>
      <c r="B19" s="10">
        <v>358736</v>
      </c>
      <c r="C19" s="10">
        <v>0.01</v>
      </c>
      <c r="D19" s="36"/>
      <c r="F19" s="37" t="s">
        <v>230</v>
      </c>
      <c r="G19" s="10">
        <v>225</v>
      </c>
      <c r="H19" s="10">
        <f>(95+125)/2</f>
        <v>110</v>
      </c>
      <c r="I19" s="76">
        <v>765755</v>
      </c>
      <c r="J19" s="77">
        <v>69400</v>
      </c>
      <c r="K19" s="78">
        <f>8*1000</f>
        <v>8000</v>
      </c>
      <c r="L19" s="78">
        <v>22500</v>
      </c>
      <c r="M19" s="76">
        <f>I19+J$19+K$19+L$19</f>
        <v>865655</v>
      </c>
      <c r="N19" s="79">
        <f>2*J$13*J$23*G19/H19</f>
        <v>246.67147629310344</v>
      </c>
    </row>
    <row r="20" spans="1:14" x14ac:dyDescent="0.25">
      <c r="A20" s="35" t="s">
        <v>15</v>
      </c>
      <c r="B20" s="10">
        <v>42552982</v>
      </c>
      <c r="C20" s="10">
        <v>0.79</v>
      </c>
      <c r="D20" s="36"/>
      <c r="F20" s="37" t="s">
        <v>229</v>
      </c>
      <c r="G20" s="10">
        <v>225</v>
      </c>
      <c r="H20" s="10">
        <f>(92+110)/2</f>
        <v>101</v>
      </c>
      <c r="I20" s="76">
        <v>780755</v>
      </c>
      <c r="J20" s="77"/>
      <c r="K20" s="78"/>
      <c r="L20" s="78"/>
      <c r="M20" s="76">
        <f t="shared" ref="M20:M21" si="3">I20+J$19+K$19+L$19</f>
        <v>880655</v>
      </c>
      <c r="N20" s="79">
        <f>2*J$11*J$23*G20/H20</f>
        <v>194.7727745977723</v>
      </c>
    </row>
    <row r="21" spans="1:14" x14ac:dyDescent="0.25">
      <c r="A21" s="35" t="s">
        <v>16</v>
      </c>
      <c r="B21" s="10">
        <v>2382429</v>
      </c>
      <c r="C21" s="10">
        <v>0.04</v>
      </c>
      <c r="D21" s="36"/>
      <c r="F21" s="37" t="s">
        <v>228</v>
      </c>
      <c r="G21" s="10">
        <v>675</v>
      </c>
      <c r="H21" s="10">
        <f>(221+329)/2</f>
        <v>275</v>
      </c>
      <c r="I21" s="76">
        <v>878855</v>
      </c>
      <c r="J21" s="77"/>
      <c r="K21" s="78"/>
      <c r="L21" s="78"/>
      <c r="M21" s="76">
        <f t="shared" si="3"/>
        <v>978755</v>
      </c>
      <c r="N21" s="79">
        <f>2*J$11*J$23*G21/H21</f>
        <v>214.60418437500002</v>
      </c>
    </row>
    <row r="22" spans="1:14" x14ac:dyDescent="0.25">
      <c r="A22" s="35" t="s">
        <v>17</v>
      </c>
      <c r="B22" s="10">
        <v>8351881</v>
      </c>
      <c r="C22" s="10">
        <v>0.16</v>
      </c>
      <c r="D22" s="36"/>
      <c r="F22" s="80" t="s">
        <v>213</v>
      </c>
      <c r="G22" s="81" t="s">
        <v>231</v>
      </c>
      <c r="H22" s="74" t="s">
        <v>214</v>
      </c>
      <c r="I22" s="74" t="s">
        <v>215</v>
      </c>
      <c r="J22" s="74" t="s">
        <v>225</v>
      </c>
      <c r="K22" s="74" t="s">
        <v>226</v>
      </c>
      <c r="L22" s="74" t="s">
        <v>227</v>
      </c>
      <c r="M22" s="10"/>
      <c r="N22" s="36"/>
    </row>
    <row r="23" spans="1:14" ht="15" customHeight="1" x14ac:dyDescent="0.25">
      <c r="A23" s="35" t="s">
        <v>18</v>
      </c>
      <c r="B23" s="10">
        <v>53646028</v>
      </c>
      <c r="C23" s="10">
        <v>1</v>
      </c>
      <c r="D23" s="36"/>
      <c r="F23" s="82" t="s">
        <v>196</v>
      </c>
      <c r="G23" s="10">
        <v>43</v>
      </c>
      <c r="H23" s="10">
        <v>60</v>
      </c>
      <c r="I23" s="10">
        <v>123440</v>
      </c>
      <c r="J23" s="68">
        <v>0.13020000000000001</v>
      </c>
      <c r="K23" s="76">
        <f>2*G23*J$23*J$15/H23</f>
        <v>167.0909945833333</v>
      </c>
      <c r="L23" s="76">
        <f>(P$5+P$7)-K23</f>
        <v>1847.4558804166663</v>
      </c>
      <c r="M23" s="10"/>
      <c r="N23" s="36"/>
    </row>
    <row r="24" spans="1:14" ht="30" customHeight="1" x14ac:dyDescent="0.25">
      <c r="A24" s="37"/>
      <c r="B24" s="10"/>
      <c r="C24" s="10"/>
      <c r="D24" s="36"/>
      <c r="F24" s="82"/>
      <c r="G24" s="10">
        <v>86</v>
      </c>
      <c r="H24" s="10">
        <v>120</v>
      </c>
      <c r="I24" s="10">
        <f>(G24/G$23)*(I$23-62765) + 62765</f>
        <v>184115</v>
      </c>
      <c r="J24" s="68"/>
      <c r="K24" s="76">
        <f>2*G24*J$23*J$15/H24</f>
        <v>167.0909945833333</v>
      </c>
      <c r="L24" s="76">
        <f>(P$5+P$7)-K24</f>
        <v>1847.4558804166663</v>
      </c>
      <c r="M24" s="10"/>
      <c r="N24" s="36"/>
    </row>
    <row r="25" spans="1:14" ht="16.5" thickBot="1" x14ac:dyDescent="0.3">
      <c r="A25" s="41" t="s">
        <v>19</v>
      </c>
      <c r="B25" s="10" t="s">
        <v>20</v>
      </c>
      <c r="C25" s="10" t="s">
        <v>21</v>
      </c>
      <c r="D25" s="36"/>
      <c r="F25" s="83"/>
      <c r="G25" s="21">
        <v>120</v>
      </c>
      <c r="H25" s="21">
        <v>170</v>
      </c>
      <c r="I25" s="21">
        <f>(G25/G$23)*(I$23-62765) + 62765</f>
        <v>232090.58139534885</v>
      </c>
      <c r="J25" s="84"/>
      <c r="K25" s="85">
        <f>2*G25*J$23*J$15/H25</f>
        <v>164.57662941176469</v>
      </c>
      <c r="L25" s="85">
        <f>(P$5+P$7)-K25</f>
        <v>1849.9702455882348</v>
      </c>
      <c r="M25" s="21"/>
      <c r="N25" s="40"/>
    </row>
    <row r="26" spans="1:14" x14ac:dyDescent="0.25">
      <c r="A26" s="35" t="s">
        <v>22</v>
      </c>
      <c r="B26" s="10">
        <v>151</v>
      </c>
      <c r="C26" s="10">
        <v>114</v>
      </c>
      <c r="D26" s="36"/>
    </row>
    <row r="27" spans="1:14" x14ac:dyDescent="0.25">
      <c r="A27" s="35" t="s">
        <v>23</v>
      </c>
      <c r="B27" s="69">
        <v>1377</v>
      </c>
      <c r="C27" s="69">
        <v>1041</v>
      </c>
      <c r="D27" s="36"/>
    </row>
    <row r="28" spans="1:14" x14ac:dyDescent="0.25">
      <c r="A28" s="35" t="s">
        <v>26</v>
      </c>
      <c r="B28" s="10">
        <v>276</v>
      </c>
      <c r="C28" s="10">
        <v>208</v>
      </c>
      <c r="D28" s="36"/>
    </row>
    <row r="29" spans="1:14" x14ac:dyDescent="0.25">
      <c r="A29" s="35" t="s">
        <v>24</v>
      </c>
      <c r="B29" s="72">
        <v>44</v>
      </c>
      <c r="C29" s="72">
        <v>33</v>
      </c>
      <c r="D29" s="36"/>
    </row>
    <row r="30" spans="1:14" ht="15.75" thickBot="1" x14ac:dyDescent="0.3">
      <c r="A30" s="39" t="s">
        <v>25</v>
      </c>
      <c r="B30" s="21">
        <v>22</v>
      </c>
      <c r="C30" s="21">
        <v>17</v>
      </c>
      <c r="D30" s="40"/>
    </row>
  </sheetData>
  <mergeCells count="16">
    <mergeCell ref="J23:J25"/>
    <mergeCell ref="K4:K5"/>
    <mergeCell ref="K6:K7"/>
    <mergeCell ref="M4:M5"/>
    <mergeCell ref="M6:M7"/>
    <mergeCell ref="O4:O7"/>
    <mergeCell ref="J19:J21"/>
    <mergeCell ref="K19:K21"/>
    <mergeCell ref="L19:L21"/>
    <mergeCell ref="F23:F25"/>
    <mergeCell ref="K2:P2"/>
    <mergeCell ref="F2:G2"/>
    <mergeCell ref="F3:F4"/>
    <mergeCell ref="F6:F9"/>
    <mergeCell ref="F10:F15"/>
    <mergeCell ref="F17:G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4AAD3-79C0-48DB-B746-F6FF93632BD9}">
  <dimension ref="A1:G98"/>
  <sheetViews>
    <sheetView topLeftCell="A10" zoomScale="85" zoomScaleNormal="85" workbookViewId="0">
      <selection activeCell="I22" sqref="I22"/>
    </sheetView>
  </sheetViews>
  <sheetFormatPr defaultRowHeight="15" x14ac:dyDescent="0.25"/>
  <cols>
    <col min="1" max="1" width="37.42578125" style="6" customWidth="1"/>
    <col min="2" max="2" width="41.85546875" style="3" customWidth="1"/>
    <col min="3" max="4" width="14.42578125" style="3" customWidth="1"/>
    <col min="5" max="5" width="14.42578125" style="2" customWidth="1"/>
    <col min="6" max="6" width="21.7109375" style="1" customWidth="1"/>
    <col min="7" max="7" width="97.5703125" style="2" customWidth="1"/>
  </cols>
  <sheetData>
    <row r="1" spans="1:7" ht="18.75" x14ac:dyDescent="0.3">
      <c r="A1" s="5" t="s">
        <v>27</v>
      </c>
      <c r="C1" s="4" t="s">
        <v>31</v>
      </c>
      <c r="D1" s="4" t="s">
        <v>32</v>
      </c>
    </row>
    <row r="2" spans="1:7" x14ac:dyDescent="0.25">
      <c r="A2" s="63" t="s">
        <v>28</v>
      </c>
      <c r="B2" s="3" t="s">
        <v>33</v>
      </c>
      <c r="C2" s="3">
        <v>1.887</v>
      </c>
      <c r="D2" s="3">
        <v>1.952</v>
      </c>
    </row>
    <row r="3" spans="1:7" x14ac:dyDescent="0.25">
      <c r="A3" s="63"/>
      <c r="B3" s="3" t="s">
        <v>34</v>
      </c>
      <c r="C3" s="3">
        <v>214</v>
      </c>
      <c r="D3" s="3">
        <v>311</v>
      </c>
    </row>
    <row r="4" spans="1:7" x14ac:dyDescent="0.25">
      <c r="A4" s="63" t="s">
        <v>29</v>
      </c>
      <c r="B4" s="3" t="s">
        <v>33</v>
      </c>
      <c r="C4" s="3">
        <v>2.3319999999999999</v>
      </c>
      <c r="D4" s="3">
        <v>2.3969999999999998</v>
      </c>
    </row>
    <row r="5" spans="1:7" x14ac:dyDescent="0.25">
      <c r="A5" s="63"/>
      <c r="B5" s="3" t="s">
        <v>34</v>
      </c>
      <c r="C5" s="3">
        <v>173</v>
      </c>
      <c r="D5" s="3">
        <v>253</v>
      </c>
    </row>
    <row r="6" spans="1:7" x14ac:dyDescent="0.25">
      <c r="A6" s="63" t="s">
        <v>30</v>
      </c>
      <c r="B6" s="3" t="s">
        <v>33</v>
      </c>
      <c r="C6" s="3">
        <v>2.7</v>
      </c>
      <c r="D6" s="3">
        <v>2.96</v>
      </c>
    </row>
    <row r="7" spans="1:7" x14ac:dyDescent="0.25">
      <c r="A7" s="63"/>
      <c r="B7" s="3" t="s">
        <v>34</v>
      </c>
      <c r="C7" s="3">
        <v>150</v>
      </c>
      <c r="D7" s="3">
        <v>205</v>
      </c>
    </row>
    <row r="8" spans="1:7" ht="15.75" thickBot="1" x14ac:dyDescent="0.3"/>
    <row r="9" spans="1:7" x14ac:dyDescent="0.25">
      <c r="A9" s="57" t="s">
        <v>159</v>
      </c>
      <c r="B9" s="58"/>
      <c r="C9" s="58"/>
      <c r="D9" s="58"/>
      <c r="E9" s="26"/>
      <c r="F9" s="8"/>
      <c r="G9" s="9"/>
    </row>
    <row r="10" spans="1:7" x14ac:dyDescent="0.25">
      <c r="A10" s="59"/>
      <c r="B10" s="60"/>
      <c r="C10" s="60"/>
      <c r="D10" s="60"/>
      <c r="E10" s="24"/>
      <c r="F10" s="11"/>
      <c r="G10" s="12" t="s">
        <v>38</v>
      </c>
    </row>
    <row r="11" spans="1:7" ht="18.75" x14ac:dyDescent="0.3">
      <c r="A11" s="13"/>
      <c r="B11" s="14" t="s">
        <v>38</v>
      </c>
      <c r="C11" s="14" t="s">
        <v>39</v>
      </c>
      <c r="D11" s="14" t="s">
        <v>40</v>
      </c>
      <c r="E11" s="24"/>
      <c r="F11" s="51" t="s">
        <v>89</v>
      </c>
      <c r="G11" s="52"/>
    </row>
    <row r="12" spans="1:7" ht="18.75" x14ac:dyDescent="0.3">
      <c r="A12" s="54" t="s">
        <v>35</v>
      </c>
      <c r="B12" s="51"/>
      <c r="C12" s="51"/>
      <c r="D12" s="51"/>
      <c r="E12" s="24"/>
      <c r="F12" s="11" t="s">
        <v>101</v>
      </c>
      <c r="G12" s="12" t="s">
        <v>102</v>
      </c>
    </row>
    <row r="13" spans="1:7" x14ac:dyDescent="0.25">
      <c r="A13" s="15" t="s">
        <v>41</v>
      </c>
      <c r="B13" s="14" t="s">
        <v>42</v>
      </c>
      <c r="C13" s="14">
        <v>225</v>
      </c>
      <c r="D13" s="14">
        <v>450</v>
      </c>
      <c r="E13" s="24"/>
      <c r="F13" s="11" t="s">
        <v>103</v>
      </c>
      <c r="G13" s="12" t="s">
        <v>104</v>
      </c>
    </row>
    <row r="14" spans="1:7" x14ac:dyDescent="0.25">
      <c r="A14" s="53" t="s">
        <v>36</v>
      </c>
      <c r="B14" s="14" t="s">
        <v>43</v>
      </c>
      <c r="C14" s="14" t="s">
        <v>44</v>
      </c>
      <c r="D14" s="14" t="s">
        <v>45</v>
      </c>
      <c r="E14" s="24"/>
      <c r="F14" s="11" t="s">
        <v>105</v>
      </c>
      <c r="G14" s="12" t="s">
        <v>106</v>
      </c>
    </row>
    <row r="15" spans="1:7" x14ac:dyDescent="0.25">
      <c r="A15" s="53"/>
      <c r="B15" s="14" t="s">
        <v>46</v>
      </c>
      <c r="C15" s="14" t="s">
        <v>47</v>
      </c>
      <c r="D15" s="14" t="s">
        <v>48</v>
      </c>
      <c r="E15" s="24"/>
      <c r="F15" s="11" t="s">
        <v>107</v>
      </c>
      <c r="G15" s="12" t="s">
        <v>108</v>
      </c>
    </row>
    <row r="16" spans="1:7" x14ac:dyDescent="0.25">
      <c r="A16" s="15" t="s">
        <v>49</v>
      </c>
      <c r="B16" s="14" t="s">
        <v>50</v>
      </c>
      <c r="C16" s="14" t="s">
        <v>51</v>
      </c>
      <c r="D16" s="14" t="s">
        <v>52</v>
      </c>
      <c r="E16" s="24"/>
      <c r="F16" s="11" t="s">
        <v>109</v>
      </c>
      <c r="G16" s="12" t="s">
        <v>110</v>
      </c>
    </row>
    <row r="17" spans="1:7" x14ac:dyDescent="0.25">
      <c r="A17" s="15" t="s">
        <v>53</v>
      </c>
      <c r="B17" s="14" t="s">
        <v>54</v>
      </c>
      <c r="C17" s="14">
        <v>65</v>
      </c>
      <c r="D17" s="14">
        <v>65</v>
      </c>
      <c r="E17" s="24"/>
      <c r="F17" s="11" t="s">
        <v>111</v>
      </c>
      <c r="G17" s="12" t="s">
        <v>112</v>
      </c>
    </row>
    <row r="18" spans="1:7" x14ac:dyDescent="0.25">
      <c r="A18" s="61" t="s">
        <v>87</v>
      </c>
      <c r="B18" s="14" t="s">
        <v>55</v>
      </c>
      <c r="C18" s="14">
        <v>5.7</v>
      </c>
      <c r="D18" s="14">
        <v>5.7</v>
      </c>
      <c r="E18" s="24"/>
      <c r="F18" s="11" t="s">
        <v>113</v>
      </c>
      <c r="G18" s="12" t="s">
        <v>114</v>
      </c>
    </row>
    <row r="19" spans="1:7" x14ac:dyDescent="0.25">
      <c r="A19" s="61"/>
      <c r="B19" s="14" t="s">
        <v>56</v>
      </c>
      <c r="C19" s="14">
        <v>15</v>
      </c>
      <c r="D19" s="14">
        <v>12.4</v>
      </c>
      <c r="E19" s="24"/>
      <c r="F19" s="11" t="s">
        <v>115</v>
      </c>
      <c r="G19" s="12" t="s">
        <v>112</v>
      </c>
    </row>
    <row r="20" spans="1:7" x14ac:dyDescent="0.25">
      <c r="A20" s="62" t="s">
        <v>88</v>
      </c>
      <c r="B20" s="16">
        <v>0.05</v>
      </c>
      <c r="C20" s="14">
        <v>57.7</v>
      </c>
      <c r="D20" s="14">
        <v>65</v>
      </c>
      <c r="E20" s="24"/>
      <c r="F20" s="11" t="s">
        <v>116</v>
      </c>
      <c r="G20" s="12" t="s">
        <v>117</v>
      </c>
    </row>
    <row r="21" spans="1:7" ht="18.75" x14ac:dyDescent="0.3">
      <c r="A21" s="62"/>
      <c r="B21" s="16">
        <v>0.1</v>
      </c>
      <c r="C21" s="14">
        <v>37.4</v>
      </c>
      <c r="D21" s="14">
        <v>49.6</v>
      </c>
      <c r="E21" s="24"/>
      <c r="F21" s="51" t="s">
        <v>90</v>
      </c>
      <c r="G21" s="52"/>
    </row>
    <row r="22" spans="1:7" x14ac:dyDescent="0.25">
      <c r="A22" s="62"/>
      <c r="B22" s="16">
        <v>0.15</v>
      </c>
      <c r="C22" s="14">
        <v>26.5</v>
      </c>
      <c r="D22" s="14">
        <v>31.9</v>
      </c>
      <c r="E22" s="24"/>
      <c r="F22" s="11" t="s">
        <v>118</v>
      </c>
      <c r="G22" s="32">
        <v>29</v>
      </c>
    </row>
    <row r="23" spans="1:7" x14ac:dyDescent="0.25">
      <c r="A23" s="15" t="s">
        <v>57</v>
      </c>
      <c r="B23" s="14"/>
      <c r="C23" s="17">
        <v>0.32100000000000001</v>
      </c>
      <c r="D23" s="17">
        <v>0.28699999999999998</v>
      </c>
      <c r="E23" s="24"/>
      <c r="F23" s="11" t="s">
        <v>119</v>
      </c>
      <c r="G23" s="12" t="s">
        <v>120</v>
      </c>
    </row>
    <row r="24" spans="1:7" x14ac:dyDescent="0.25">
      <c r="A24" s="53" t="s">
        <v>37</v>
      </c>
      <c r="B24" s="14" t="s">
        <v>58</v>
      </c>
      <c r="C24" s="14">
        <v>338</v>
      </c>
      <c r="D24" s="14">
        <v>550</v>
      </c>
      <c r="E24" s="24"/>
      <c r="F24" s="11" t="s">
        <v>121</v>
      </c>
      <c r="G24" s="12" t="s">
        <v>122</v>
      </c>
    </row>
    <row r="25" spans="1:7" x14ac:dyDescent="0.25">
      <c r="A25" s="53"/>
      <c r="B25" s="14" t="s">
        <v>59</v>
      </c>
      <c r="C25" s="14">
        <v>170</v>
      </c>
      <c r="D25" s="14">
        <v>338</v>
      </c>
      <c r="E25" s="24"/>
      <c r="F25" s="11" t="s">
        <v>123</v>
      </c>
      <c r="G25" s="12" t="s">
        <v>124</v>
      </c>
    </row>
    <row r="26" spans="1:7" x14ac:dyDescent="0.25">
      <c r="A26" s="15" t="s">
        <v>60</v>
      </c>
      <c r="B26" s="14" t="s">
        <v>63</v>
      </c>
      <c r="C26" s="14"/>
      <c r="D26" s="14"/>
      <c r="E26" s="24"/>
      <c r="F26" s="11" t="s">
        <v>125</v>
      </c>
      <c r="G26" s="12" t="s">
        <v>126</v>
      </c>
    </row>
    <row r="27" spans="1:7" x14ac:dyDescent="0.25">
      <c r="A27" s="15" t="s">
        <v>61</v>
      </c>
      <c r="B27" s="14" t="s">
        <v>62</v>
      </c>
      <c r="C27" s="14"/>
      <c r="D27" s="14"/>
      <c r="E27" s="24"/>
      <c r="F27" s="11" t="s">
        <v>127</v>
      </c>
      <c r="G27" s="12" t="s">
        <v>128</v>
      </c>
    </row>
    <row r="28" spans="1:7" x14ac:dyDescent="0.25">
      <c r="A28" s="15" t="s">
        <v>64</v>
      </c>
      <c r="B28" s="14" t="s">
        <v>65</v>
      </c>
      <c r="C28" s="18">
        <v>26358</v>
      </c>
      <c r="D28" s="18">
        <v>29658</v>
      </c>
      <c r="E28" s="24"/>
      <c r="F28" s="11" t="s">
        <v>129</v>
      </c>
      <c r="G28" s="12" t="s">
        <v>130</v>
      </c>
    </row>
    <row r="29" spans="1:7" x14ac:dyDescent="0.25">
      <c r="A29" s="15" t="s">
        <v>66</v>
      </c>
      <c r="B29" s="14" t="s">
        <v>67</v>
      </c>
      <c r="C29" s="18">
        <v>42000</v>
      </c>
      <c r="D29" s="18">
        <v>42000</v>
      </c>
      <c r="E29" s="24"/>
      <c r="F29" s="11" t="s">
        <v>131</v>
      </c>
      <c r="G29" s="12" t="s">
        <v>132</v>
      </c>
    </row>
    <row r="30" spans="1:7" ht="18.75" x14ac:dyDescent="0.3">
      <c r="A30" s="54" t="s">
        <v>68</v>
      </c>
      <c r="B30" s="51"/>
      <c r="C30" s="51"/>
      <c r="D30" s="51"/>
      <c r="E30" s="24"/>
      <c r="F30" s="51" t="s">
        <v>91</v>
      </c>
      <c r="G30" s="52"/>
    </row>
    <row r="31" spans="1:7" x14ac:dyDescent="0.25">
      <c r="A31" s="15" t="s">
        <v>41</v>
      </c>
      <c r="B31" s="14" t="s">
        <v>42</v>
      </c>
      <c r="C31" s="14">
        <v>225</v>
      </c>
      <c r="D31" s="14">
        <v>450</v>
      </c>
      <c r="E31" s="24"/>
      <c r="F31" s="11" t="s">
        <v>133</v>
      </c>
      <c r="G31" s="12" t="s">
        <v>134</v>
      </c>
    </row>
    <row r="32" spans="1:7" x14ac:dyDescent="0.25">
      <c r="A32" s="53" t="s">
        <v>36</v>
      </c>
      <c r="B32" s="14" t="s">
        <v>43</v>
      </c>
      <c r="C32" s="14" t="s">
        <v>70</v>
      </c>
      <c r="D32" s="14" t="s">
        <v>71</v>
      </c>
      <c r="E32" s="24"/>
      <c r="F32" s="11" t="s">
        <v>135</v>
      </c>
      <c r="G32" s="12" t="s">
        <v>136</v>
      </c>
    </row>
    <row r="33" spans="1:7" x14ac:dyDescent="0.25">
      <c r="A33" s="53"/>
      <c r="B33" s="14" t="s">
        <v>46</v>
      </c>
      <c r="C33" s="14" t="s">
        <v>72</v>
      </c>
      <c r="D33" s="14" t="s">
        <v>73</v>
      </c>
      <c r="E33" s="24"/>
      <c r="F33" s="11" t="s">
        <v>137</v>
      </c>
      <c r="G33" s="12" t="s">
        <v>138</v>
      </c>
    </row>
    <row r="34" spans="1:7" ht="18.75" x14ac:dyDescent="0.3">
      <c r="A34" s="15" t="s">
        <v>49</v>
      </c>
      <c r="B34" s="14" t="s">
        <v>50</v>
      </c>
      <c r="C34" s="14" t="s">
        <v>74</v>
      </c>
      <c r="D34" s="14" t="s">
        <v>75</v>
      </c>
      <c r="E34" s="24"/>
      <c r="F34" s="51" t="s">
        <v>92</v>
      </c>
      <c r="G34" s="52"/>
    </row>
    <row r="35" spans="1:7" x14ac:dyDescent="0.25">
      <c r="A35" s="15" t="s">
        <v>53</v>
      </c>
      <c r="B35" s="14" t="s">
        <v>54</v>
      </c>
      <c r="C35" s="14">
        <v>65</v>
      </c>
      <c r="D35" s="14">
        <v>65</v>
      </c>
      <c r="E35" s="24"/>
      <c r="F35" s="11" t="s">
        <v>139</v>
      </c>
      <c r="G35" s="12" t="s">
        <v>140</v>
      </c>
    </row>
    <row r="36" spans="1:7" x14ac:dyDescent="0.25">
      <c r="A36" s="61" t="s">
        <v>87</v>
      </c>
      <c r="B36" s="14" t="s">
        <v>55</v>
      </c>
      <c r="C36" s="14">
        <v>6</v>
      </c>
      <c r="D36" s="14">
        <v>6.1</v>
      </c>
      <c r="E36" s="24"/>
      <c r="F36" s="11" t="s">
        <v>141</v>
      </c>
      <c r="G36" s="12" t="s">
        <v>142</v>
      </c>
    </row>
    <row r="37" spans="1:7" x14ac:dyDescent="0.25">
      <c r="A37" s="61"/>
      <c r="B37" s="14" t="s">
        <v>56</v>
      </c>
      <c r="C37" s="14">
        <v>21.1</v>
      </c>
      <c r="D37" s="14">
        <v>23.4</v>
      </c>
      <c r="E37" s="24"/>
      <c r="F37" s="11" t="s">
        <v>143</v>
      </c>
      <c r="G37" s="12" t="s">
        <v>144</v>
      </c>
    </row>
    <row r="38" spans="1:7" ht="18.75" x14ac:dyDescent="0.3">
      <c r="A38" s="62" t="s">
        <v>88</v>
      </c>
      <c r="B38" s="16">
        <v>0.05</v>
      </c>
      <c r="C38" s="14">
        <v>48.1</v>
      </c>
      <c r="D38" s="14">
        <v>43.3</v>
      </c>
      <c r="E38" s="24"/>
      <c r="F38" s="51" t="s">
        <v>93</v>
      </c>
      <c r="G38" s="52"/>
    </row>
    <row r="39" spans="1:7" x14ac:dyDescent="0.25">
      <c r="A39" s="62"/>
      <c r="B39" s="16">
        <v>0.1</v>
      </c>
      <c r="C39" s="14">
        <v>29</v>
      </c>
      <c r="D39" s="14">
        <v>28.5</v>
      </c>
      <c r="E39" s="24"/>
      <c r="F39" s="11" t="s">
        <v>145</v>
      </c>
      <c r="G39" s="12" t="s">
        <v>146</v>
      </c>
    </row>
    <row r="40" spans="1:7" x14ac:dyDescent="0.25">
      <c r="A40" s="62"/>
      <c r="B40" s="16">
        <v>0.15</v>
      </c>
      <c r="C40" s="14">
        <v>23.9</v>
      </c>
      <c r="D40" s="14">
        <v>21.4</v>
      </c>
      <c r="E40" s="24"/>
      <c r="F40" s="11" t="s">
        <v>147</v>
      </c>
      <c r="G40" s="12" t="s">
        <v>148</v>
      </c>
    </row>
    <row r="41" spans="1:7" x14ac:dyDescent="0.25">
      <c r="A41" s="15" t="s">
        <v>57</v>
      </c>
      <c r="B41" s="14"/>
      <c r="C41" s="17">
        <v>0.255</v>
      </c>
      <c r="D41" s="17">
        <v>0.22800000000000001</v>
      </c>
      <c r="E41" s="24"/>
      <c r="F41" s="11" t="s">
        <v>149</v>
      </c>
      <c r="G41" s="12" t="s">
        <v>150</v>
      </c>
    </row>
    <row r="42" spans="1:7" x14ac:dyDescent="0.25">
      <c r="A42" s="53" t="s">
        <v>37</v>
      </c>
      <c r="B42" s="14" t="s">
        <v>58</v>
      </c>
      <c r="C42" s="14">
        <v>335</v>
      </c>
      <c r="D42" s="14">
        <v>335</v>
      </c>
      <c r="E42" s="24"/>
      <c r="F42" s="11" t="s">
        <v>151</v>
      </c>
      <c r="G42" s="12" t="s">
        <v>152</v>
      </c>
    </row>
    <row r="43" spans="1:7" x14ac:dyDescent="0.25">
      <c r="A43" s="53"/>
      <c r="B43" s="14" t="s">
        <v>59</v>
      </c>
      <c r="C43" s="14">
        <v>170</v>
      </c>
      <c r="D43" s="14">
        <v>240</v>
      </c>
      <c r="E43" s="24"/>
      <c r="F43" s="11" t="s">
        <v>86</v>
      </c>
      <c r="G43" s="12" t="s">
        <v>153</v>
      </c>
    </row>
    <row r="44" spans="1:7" x14ac:dyDescent="0.25">
      <c r="A44" s="15" t="s">
        <v>60</v>
      </c>
      <c r="B44" s="14" t="s">
        <v>69</v>
      </c>
      <c r="C44" s="14"/>
      <c r="D44" s="14"/>
      <c r="E44" s="24"/>
      <c r="F44" s="11" t="s">
        <v>151</v>
      </c>
      <c r="G44" s="12" t="s">
        <v>154</v>
      </c>
    </row>
    <row r="45" spans="1:7" ht="18.75" x14ac:dyDescent="0.3">
      <c r="A45" s="15" t="s">
        <v>61</v>
      </c>
      <c r="B45" s="14" t="s">
        <v>62</v>
      </c>
      <c r="C45" s="14"/>
      <c r="D45" s="14"/>
      <c r="E45" s="24"/>
      <c r="F45" s="51" t="s">
        <v>94</v>
      </c>
      <c r="G45" s="52"/>
    </row>
    <row r="46" spans="1:7" x14ac:dyDescent="0.25">
      <c r="A46" s="15" t="s">
        <v>64</v>
      </c>
      <c r="B46" s="14" t="s">
        <v>65</v>
      </c>
      <c r="C46" s="18">
        <v>26558</v>
      </c>
      <c r="D46" s="18">
        <v>29858</v>
      </c>
      <c r="E46" s="24"/>
      <c r="F46" s="11"/>
      <c r="G46" s="12" t="s">
        <v>95</v>
      </c>
    </row>
    <row r="47" spans="1:7" x14ac:dyDescent="0.25">
      <c r="A47" s="15" t="s">
        <v>66</v>
      </c>
      <c r="B47" s="14" t="s">
        <v>67</v>
      </c>
      <c r="C47" s="18">
        <v>42000</v>
      </c>
      <c r="D47" s="18">
        <v>42000</v>
      </c>
      <c r="E47" s="24"/>
      <c r="F47" s="11"/>
      <c r="G47" s="12" t="s">
        <v>96</v>
      </c>
    </row>
    <row r="48" spans="1:7" ht="18.75" x14ac:dyDescent="0.25">
      <c r="A48" s="55" t="s">
        <v>76</v>
      </c>
      <c r="B48" s="56"/>
      <c r="C48" s="56"/>
      <c r="D48" s="56"/>
      <c r="E48" s="24"/>
      <c r="F48" s="11"/>
      <c r="G48" s="12" t="s">
        <v>97</v>
      </c>
    </row>
    <row r="49" spans="1:7" x14ac:dyDescent="0.25">
      <c r="A49" s="15" t="s">
        <v>78</v>
      </c>
      <c r="B49" s="14" t="s">
        <v>79</v>
      </c>
      <c r="C49" s="14">
        <v>133</v>
      </c>
      <c r="D49" s="14">
        <v>135</v>
      </c>
      <c r="E49" s="24"/>
      <c r="F49" s="11"/>
      <c r="G49" s="12" t="s">
        <v>98</v>
      </c>
    </row>
    <row r="50" spans="1:7" x14ac:dyDescent="0.25">
      <c r="A50" s="15" t="s">
        <v>80</v>
      </c>
      <c r="B50" s="14" t="s">
        <v>79</v>
      </c>
      <c r="C50" s="14">
        <v>177</v>
      </c>
      <c r="D50" s="14">
        <v>355</v>
      </c>
      <c r="E50" s="24"/>
      <c r="F50" s="11"/>
      <c r="G50" s="12" t="s">
        <v>99</v>
      </c>
    </row>
    <row r="51" spans="1:7" ht="18.75" x14ac:dyDescent="0.3">
      <c r="A51" s="53" t="s">
        <v>77</v>
      </c>
      <c r="B51" s="14" t="s">
        <v>81</v>
      </c>
      <c r="C51" s="14">
        <v>24</v>
      </c>
      <c r="D51" s="14">
        <v>33</v>
      </c>
      <c r="E51" s="24"/>
      <c r="F51" s="51" t="s">
        <v>100</v>
      </c>
      <c r="G51" s="52"/>
    </row>
    <row r="52" spans="1:7" x14ac:dyDescent="0.25">
      <c r="A52" s="53"/>
      <c r="B52" s="14" t="s">
        <v>82</v>
      </c>
      <c r="C52" s="14" t="s">
        <v>83</v>
      </c>
      <c r="D52" s="14" t="s">
        <v>84</v>
      </c>
      <c r="E52" s="24"/>
      <c r="F52" s="11" t="s">
        <v>155</v>
      </c>
      <c r="G52" s="19" t="s">
        <v>156</v>
      </c>
    </row>
    <row r="53" spans="1:7" ht="15.75" thickBot="1" x14ac:dyDescent="0.3">
      <c r="A53" s="31" t="s">
        <v>86</v>
      </c>
      <c r="B53" s="20" t="s">
        <v>82</v>
      </c>
      <c r="C53" s="20" t="s">
        <v>83</v>
      </c>
      <c r="D53" s="20" t="s">
        <v>85</v>
      </c>
      <c r="E53" s="27"/>
      <c r="F53" s="22" t="s">
        <v>157</v>
      </c>
      <c r="G53" s="23" t="s">
        <v>158</v>
      </c>
    </row>
    <row r="54" spans="1:7" ht="15" customHeight="1" x14ac:dyDescent="0.25">
      <c r="A54" s="57" t="s">
        <v>160</v>
      </c>
      <c r="B54" s="58"/>
      <c r="C54" s="58"/>
      <c r="D54" s="58"/>
      <c r="E54" s="58"/>
      <c r="F54" s="8"/>
      <c r="G54" s="9"/>
    </row>
    <row r="55" spans="1:7" ht="15" customHeight="1" x14ac:dyDescent="0.25">
      <c r="A55" s="59"/>
      <c r="B55" s="60"/>
      <c r="C55" s="60"/>
      <c r="D55" s="60"/>
      <c r="E55" s="60"/>
      <c r="F55" s="11"/>
      <c r="G55" s="12" t="s">
        <v>38</v>
      </c>
    </row>
    <row r="56" spans="1:7" ht="18.75" x14ac:dyDescent="0.3">
      <c r="A56" s="13"/>
      <c r="B56" s="14" t="s">
        <v>38</v>
      </c>
      <c r="C56" s="14" t="s">
        <v>39</v>
      </c>
      <c r="D56" s="14" t="s">
        <v>40</v>
      </c>
      <c r="E56" s="24" t="s">
        <v>179</v>
      </c>
      <c r="F56" s="51" t="s">
        <v>89</v>
      </c>
      <c r="G56" s="52"/>
    </row>
    <row r="57" spans="1:7" ht="18.75" x14ac:dyDescent="0.3">
      <c r="A57" s="54" t="s">
        <v>35</v>
      </c>
      <c r="B57" s="51"/>
      <c r="C57" s="51"/>
      <c r="D57" s="51"/>
      <c r="E57" s="51"/>
      <c r="F57" s="11" t="s">
        <v>101</v>
      </c>
      <c r="G57" s="12" t="s">
        <v>180</v>
      </c>
    </row>
    <row r="58" spans="1:7" x14ac:dyDescent="0.25">
      <c r="A58" s="15" t="s">
        <v>41</v>
      </c>
      <c r="B58" s="14" t="s">
        <v>42</v>
      </c>
      <c r="C58" s="14">
        <v>225</v>
      </c>
      <c r="D58" s="14">
        <v>450</v>
      </c>
      <c r="E58" s="24">
        <v>675</v>
      </c>
      <c r="F58" s="11" t="s">
        <v>103</v>
      </c>
      <c r="G58" s="12" t="s">
        <v>104</v>
      </c>
    </row>
    <row r="59" spans="1:7" x14ac:dyDescent="0.25">
      <c r="A59" s="53" t="s">
        <v>36</v>
      </c>
      <c r="B59" s="14" t="s">
        <v>43</v>
      </c>
      <c r="C59" s="14" t="s">
        <v>175</v>
      </c>
      <c r="D59" s="14" t="s">
        <v>71</v>
      </c>
      <c r="E59" s="25" t="s">
        <v>161</v>
      </c>
      <c r="F59" s="11" t="s">
        <v>105</v>
      </c>
      <c r="G59" s="12" t="s">
        <v>106</v>
      </c>
    </row>
    <row r="60" spans="1:7" x14ac:dyDescent="0.25">
      <c r="A60" s="53"/>
      <c r="B60" s="14" t="s">
        <v>46</v>
      </c>
      <c r="C60" s="14" t="s">
        <v>176</v>
      </c>
      <c r="D60" s="14" t="s">
        <v>73</v>
      </c>
      <c r="E60" s="25" t="s">
        <v>162</v>
      </c>
      <c r="F60" s="11" t="s">
        <v>107</v>
      </c>
      <c r="G60" s="12" t="s">
        <v>108</v>
      </c>
    </row>
    <row r="61" spans="1:7" x14ac:dyDescent="0.25">
      <c r="A61" s="15" t="s">
        <v>49</v>
      </c>
      <c r="B61" s="14" t="s">
        <v>50</v>
      </c>
      <c r="C61" s="14" t="s">
        <v>177</v>
      </c>
      <c r="D61" s="14" t="s">
        <v>178</v>
      </c>
      <c r="E61" s="25" t="s">
        <v>163</v>
      </c>
      <c r="F61" s="11" t="s">
        <v>109</v>
      </c>
      <c r="G61" s="12" t="s">
        <v>181</v>
      </c>
    </row>
    <row r="62" spans="1:7" x14ac:dyDescent="0.25">
      <c r="A62" s="15" t="s">
        <v>53</v>
      </c>
      <c r="B62" s="14" t="s">
        <v>54</v>
      </c>
      <c r="C62" s="14">
        <v>65</v>
      </c>
      <c r="D62" s="14">
        <v>65</v>
      </c>
      <c r="E62" s="24">
        <v>65</v>
      </c>
      <c r="F62" s="11" t="s">
        <v>111</v>
      </c>
      <c r="G62" s="12" t="s">
        <v>112</v>
      </c>
    </row>
    <row r="63" spans="1:7" x14ac:dyDescent="0.25">
      <c r="A63" s="61" t="s">
        <v>87</v>
      </c>
      <c r="B63" s="14" t="s">
        <v>55</v>
      </c>
      <c r="C63" s="14">
        <v>5.7</v>
      </c>
      <c r="D63" s="14">
        <v>5.7</v>
      </c>
      <c r="E63" s="24">
        <v>5.8</v>
      </c>
      <c r="F63" s="11" t="s">
        <v>113</v>
      </c>
      <c r="G63" s="12" t="s">
        <v>114</v>
      </c>
    </row>
    <row r="64" spans="1:7" x14ac:dyDescent="0.25">
      <c r="A64" s="61"/>
      <c r="B64" s="14" t="s">
        <v>56</v>
      </c>
      <c r="C64" s="14">
        <v>15.8</v>
      </c>
      <c r="D64" s="14">
        <v>12.8</v>
      </c>
      <c r="E64" s="24">
        <v>13.6</v>
      </c>
      <c r="F64" s="11" t="s">
        <v>115</v>
      </c>
      <c r="G64" s="12" t="s">
        <v>112</v>
      </c>
    </row>
    <row r="65" spans="1:7" x14ac:dyDescent="0.25">
      <c r="A65" s="62" t="s">
        <v>88</v>
      </c>
      <c r="B65" s="16">
        <v>0.05</v>
      </c>
      <c r="C65" s="14">
        <v>56</v>
      </c>
      <c r="D65" s="14">
        <v>65</v>
      </c>
      <c r="E65" s="28">
        <v>65</v>
      </c>
      <c r="F65" s="11" t="s">
        <v>116</v>
      </c>
      <c r="G65" s="12" t="s">
        <v>182</v>
      </c>
    </row>
    <row r="66" spans="1:7" ht="18.75" x14ac:dyDescent="0.3">
      <c r="A66" s="62"/>
      <c r="B66" s="16">
        <v>0.1</v>
      </c>
      <c r="C66" s="14">
        <v>36</v>
      </c>
      <c r="D66" s="14">
        <v>48</v>
      </c>
      <c r="E66" s="28">
        <v>33</v>
      </c>
      <c r="F66" s="51" t="s">
        <v>90</v>
      </c>
      <c r="G66" s="52"/>
    </row>
    <row r="67" spans="1:7" x14ac:dyDescent="0.25">
      <c r="A67" s="62"/>
      <c r="B67" s="16">
        <v>0.15</v>
      </c>
      <c r="C67" s="14">
        <v>25</v>
      </c>
      <c r="D67" s="14">
        <v>32</v>
      </c>
      <c r="E67" s="28">
        <v>31</v>
      </c>
      <c r="F67" s="11" t="s">
        <v>118</v>
      </c>
      <c r="G67" s="32">
        <v>40</v>
      </c>
    </row>
    <row r="68" spans="1:7" x14ac:dyDescent="0.25">
      <c r="A68" s="15" t="s">
        <v>57</v>
      </c>
      <c r="B68" s="14"/>
      <c r="C68" s="17">
        <v>0.30099999999999999</v>
      </c>
      <c r="D68" s="17">
        <v>0.27200000000000002</v>
      </c>
      <c r="E68" s="29">
        <v>0.247</v>
      </c>
      <c r="F68" s="11" t="s">
        <v>119</v>
      </c>
      <c r="G68" s="12" t="s">
        <v>120</v>
      </c>
    </row>
    <row r="69" spans="1:7" x14ac:dyDescent="0.25">
      <c r="A69" s="53" t="s">
        <v>37</v>
      </c>
      <c r="B69" s="14" t="s">
        <v>58</v>
      </c>
      <c r="C69" s="14">
        <v>338</v>
      </c>
      <c r="D69" s="14">
        <v>550</v>
      </c>
      <c r="E69" s="28">
        <v>550</v>
      </c>
      <c r="F69" s="11" t="s">
        <v>121</v>
      </c>
      <c r="G69" s="12" t="s">
        <v>122</v>
      </c>
    </row>
    <row r="70" spans="1:7" x14ac:dyDescent="0.25">
      <c r="A70" s="53"/>
      <c r="B70" s="14" t="s">
        <v>59</v>
      </c>
      <c r="C70" s="14">
        <v>170</v>
      </c>
      <c r="D70" s="14">
        <v>338</v>
      </c>
      <c r="E70" s="28">
        <v>338</v>
      </c>
      <c r="F70" s="11" t="s">
        <v>123</v>
      </c>
      <c r="G70" s="12" t="s">
        <v>124</v>
      </c>
    </row>
    <row r="71" spans="1:7" x14ac:dyDescent="0.25">
      <c r="A71" s="15" t="s">
        <v>60</v>
      </c>
      <c r="B71" s="14" t="s">
        <v>63</v>
      </c>
      <c r="C71" s="14"/>
      <c r="D71" s="14"/>
      <c r="E71" s="24"/>
      <c r="F71" s="11" t="s">
        <v>125</v>
      </c>
      <c r="G71" s="12" t="s">
        <v>126</v>
      </c>
    </row>
    <row r="72" spans="1:7" x14ac:dyDescent="0.25">
      <c r="A72" s="15" t="s">
        <v>61</v>
      </c>
      <c r="B72" s="14" t="s">
        <v>62</v>
      </c>
      <c r="C72" s="14"/>
      <c r="D72" s="14"/>
      <c r="E72" s="24"/>
      <c r="F72" s="11" t="s">
        <v>127</v>
      </c>
      <c r="G72" s="12" t="s">
        <v>128</v>
      </c>
    </row>
    <row r="73" spans="1:7" x14ac:dyDescent="0.25">
      <c r="A73" s="15" t="s">
        <v>64</v>
      </c>
      <c r="B73" s="14" t="s">
        <v>65</v>
      </c>
      <c r="C73" s="18">
        <v>26649</v>
      </c>
      <c r="D73" s="18">
        <v>29849</v>
      </c>
      <c r="E73" s="30">
        <v>33149</v>
      </c>
      <c r="F73" s="11" t="s">
        <v>129</v>
      </c>
      <c r="G73" s="12" t="s">
        <v>130</v>
      </c>
    </row>
    <row r="74" spans="1:7" x14ac:dyDescent="0.25">
      <c r="A74" s="15" t="s">
        <v>66</v>
      </c>
      <c r="B74" s="14" t="s">
        <v>67</v>
      </c>
      <c r="C74" s="18">
        <v>43650</v>
      </c>
      <c r="D74" s="18">
        <v>43650</v>
      </c>
      <c r="E74" s="30">
        <v>43650</v>
      </c>
      <c r="F74" s="11" t="s">
        <v>131</v>
      </c>
      <c r="G74" s="12" t="s">
        <v>132</v>
      </c>
    </row>
    <row r="75" spans="1:7" ht="18.75" x14ac:dyDescent="0.3">
      <c r="A75" s="54" t="s">
        <v>68</v>
      </c>
      <c r="B75" s="51"/>
      <c r="C75" s="51"/>
      <c r="D75" s="51"/>
      <c r="E75" s="51"/>
      <c r="F75" s="51" t="s">
        <v>91</v>
      </c>
      <c r="G75" s="52"/>
    </row>
    <row r="76" spans="1:7" x14ac:dyDescent="0.25">
      <c r="A76" s="15" t="s">
        <v>41</v>
      </c>
      <c r="B76" s="14" t="s">
        <v>42</v>
      </c>
      <c r="C76" s="14">
        <v>225</v>
      </c>
      <c r="D76" s="14">
        <v>450</v>
      </c>
      <c r="E76" s="24">
        <v>675</v>
      </c>
      <c r="F76" s="11" t="s">
        <v>133</v>
      </c>
      <c r="G76" s="12" t="s">
        <v>134</v>
      </c>
    </row>
    <row r="77" spans="1:7" x14ac:dyDescent="0.25">
      <c r="A77" s="53" t="s">
        <v>36</v>
      </c>
      <c r="B77" s="14" t="s">
        <v>43</v>
      </c>
      <c r="C77" s="14" t="s">
        <v>166</v>
      </c>
      <c r="D77" s="14" t="s">
        <v>167</v>
      </c>
      <c r="E77" s="25" t="s">
        <v>164</v>
      </c>
      <c r="F77" s="11" t="s">
        <v>135</v>
      </c>
      <c r="G77" s="12" t="s">
        <v>136</v>
      </c>
    </row>
    <row r="78" spans="1:7" x14ac:dyDescent="0.25">
      <c r="A78" s="53"/>
      <c r="B78" s="14" t="s">
        <v>46</v>
      </c>
      <c r="C78" s="14" t="s">
        <v>168</v>
      </c>
      <c r="D78" s="14" t="s">
        <v>169</v>
      </c>
      <c r="E78" s="24" t="s">
        <v>165</v>
      </c>
      <c r="F78" s="11" t="s">
        <v>137</v>
      </c>
      <c r="G78" s="12" t="s">
        <v>138</v>
      </c>
    </row>
    <row r="79" spans="1:7" ht="18.75" x14ac:dyDescent="0.3">
      <c r="A79" s="15" t="s">
        <v>49</v>
      </c>
      <c r="B79" s="14" t="s">
        <v>50</v>
      </c>
      <c r="C79" s="14" t="s">
        <v>170</v>
      </c>
      <c r="D79" s="14" t="s">
        <v>171</v>
      </c>
      <c r="E79" s="25" t="s">
        <v>172</v>
      </c>
      <c r="F79" s="51" t="s">
        <v>92</v>
      </c>
      <c r="G79" s="52"/>
    </row>
    <row r="80" spans="1:7" x14ac:dyDescent="0.25">
      <c r="A80" s="15" t="s">
        <v>53</v>
      </c>
      <c r="B80" s="14" t="s">
        <v>54</v>
      </c>
      <c r="C80" s="14">
        <v>65</v>
      </c>
      <c r="D80" s="14">
        <v>65</v>
      </c>
      <c r="E80" s="24">
        <v>65</v>
      </c>
      <c r="F80" s="11" t="s">
        <v>139</v>
      </c>
      <c r="G80" s="12" t="s">
        <v>140</v>
      </c>
    </row>
    <row r="81" spans="1:7" x14ac:dyDescent="0.25">
      <c r="A81" s="61" t="s">
        <v>87</v>
      </c>
      <c r="B81" s="14" t="s">
        <v>55</v>
      </c>
      <c r="C81" s="14">
        <v>6</v>
      </c>
      <c r="D81" s="14">
        <v>6.2</v>
      </c>
      <c r="E81" s="24">
        <v>6.4</v>
      </c>
      <c r="F81" s="11" t="s">
        <v>141</v>
      </c>
      <c r="G81" s="12" t="s">
        <v>142</v>
      </c>
    </row>
    <row r="82" spans="1:7" x14ac:dyDescent="0.25">
      <c r="A82" s="61"/>
      <c r="B82" s="14" t="s">
        <v>56</v>
      </c>
      <c r="C82" s="14">
        <v>22.4</v>
      </c>
      <c r="D82" s="14">
        <v>24.7</v>
      </c>
      <c r="E82" s="24">
        <v>27.2</v>
      </c>
      <c r="F82" s="11" t="s">
        <v>143</v>
      </c>
      <c r="G82" s="12" t="s">
        <v>144</v>
      </c>
    </row>
    <row r="83" spans="1:7" ht="18.75" x14ac:dyDescent="0.3">
      <c r="A83" s="62" t="s">
        <v>88</v>
      </c>
      <c r="B83" s="16">
        <v>0.05</v>
      </c>
      <c r="C83" s="14">
        <v>45</v>
      </c>
      <c r="D83" s="14">
        <v>41</v>
      </c>
      <c r="E83" s="28">
        <v>30</v>
      </c>
      <c r="F83" s="51" t="s">
        <v>93</v>
      </c>
      <c r="G83" s="52"/>
    </row>
    <row r="84" spans="1:7" x14ac:dyDescent="0.25">
      <c r="A84" s="62"/>
      <c r="B84" s="16">
        <v>0.1</v>
      </c>
      <c r="C84" s="14">
        <v>29</v>
      </c>
      <c r="D84" s="14">
        <v>28</v>
      </c>
      <c r="E84" s="28">
        <v>27</v>
      </c>
      <c r="F84" s="11" t="s">
        <v>145</v>
      </c>
      <c r="G84" s="12" t="s">
        <v>146</v>
      </c>
    </row>
    <row r="85" spans="1:7" x14ac:dyDescent="0.25">
      <c r="A85" s="62"/>
      <c r="B85" s="16">
        <v>0.15</v>
      </c>
      <c r="C85" s="14">
        <v>23</v>
      </c>
      <c r="D85" s="14">
        <v>20</v>
      </c>
      <c r="E85" s="28">
        <v>18</v>
      </c>
      <c r="F85" s="11" t="s">
        <v>147</v>
      </c>
      <c r="G85" s="12" t="s">
        <v>148</v>
      </c>
    </row>
    <row r="86" spans="1:7" x14ac:dyDescent="0.25">
      <c r="A86" s="15" t="s">
        <v>57</v>
      </c>
      <c r="B86" s="14"/>
      <c r="C86" s="17">
        <v>0.23899999999999999</v>
      </c>
      <c r="D86" s="17">
        <v>0.216</v>
      </c>
      <c r="E86" s="28">
        <v>19.7</v>
      </c>
      <c r="F86" s="11" t="s">
        <v>149</v>
      </c>
      <c r="G86" s="12" t="s">
        <v>150</v>
      </c>
    </row>
    <row r="87" spans="1:7" x14ac:dyDescent="0.25">
      <c r="A87" s="53" t="s">
        <v>37</v>
      </c>
      <c r="B87" s="14" t="s">
        <v>58</v>
      </c>
      <c r="C87" s="14">
        <v>335</v>
      </c>
      <c r="D87" s="14">
        <v>335</v>
      </c>
      <c r="E87" s="28">
        <v>335</v>
      </c>
      <c r="F87" s="11" t="s">
        <v>151</v>
      </c>
      <c r="G87" s="12" t="s">
        <v>152</v>
      </c>
    </row>
    <row r="88" spans="1:7" x14ac:dyDescent="0.25">
      <c r="A88" s="53"/>
      <c r="B88" s="14" t="s">
        <v>59</v>
      </c>
      <c r="C88" s="14">
        <v>170</v>
      </c>
      <c r="D88" s="14">
        <v>240</v>
      </c>
      <c r="E88" s="28">
        <v>240</v>
      </c>
      <c r="F88" s="11" t="s">
        <v>86</v>
      </c>
      <c r="G88" s="12" t="s">
        <v>153</v>
      </c>
    </row>
    <row r="89" spans="1:7" x14ac:dyDescent="0.25">
      <c r="A89" s="15" t="s">
        <v>60</v>
      </c>
      <c r="B89" s="14" t="s">
        <v>69</v>
      </c>
      <c r="C89" s="14"/>
      <c r="D89" s="14"/>
      <c r="E89" s="24"/>
      <c r="F89" s="11" t="s">
        <v>151</v>
      </c>
      <c r="G89" s="12" t="s">
        <v>154</v>
      </c>
    </row>
    <row r="90" spans="1:7" ht="18.75" x14ac:dyDescent="0.3">
      <c r="A90" s="15" t="s">
        <v>61</v>
      </c>
      <c r="B90" s="14" t="s">
        <v>62</v>
      </c>
      <c r="C90" s="14"/>
      <c r="D90" s="14"/>
      <c r="E90" s="24"/>
      <c r="F90" s="51" t="s">
        <v>94</v>
      </c>
      <c r="G90" s="52"/>
    </row>
    <row r="91" spans="1:7" x14ac:dyDescent="0.25">
      <c r="A91" s="15" t="s">
        <v>64</v>
      </c>
      <c r="B91" s="14" t="s">
        <v>65</v>
      </c>
      <c r="C91" s="18">
        <v>26850</v>
      </c>
      <c r="D91" s="18">
        <v>30050</v>
      </c>
      <c r="E91" s="30">
        <v>33350</v>
      </c>
      <c r="F91" s="11"/>
      <c r="G91" s="12" t="s">
        <v>95</v>
      </c>
    </row>
    <row r="92" spans="1:7" x14ac:dyDescent="0.25">
      <c r="A92" s="15" t="s">
        <v>66</v>
      </c>
      <c r="B92" s="14" t="s">
        <v>67</v>
      </c>
      <c r="C92" s="18">
        <v>43650</v>
      </c>
      <c r="D92" s="18">
        <v>43650</v>
      </c>
      <c r="E92" s="30">
        <v>43650</v>
      </c>
      <c r="F92" s="11"/>
      <c r="G92" s="12" t="s">
        <v>96</v>
      </c>
    </row>
    <row r="93" spans="1:7" ht="18.75" x14ac:dyDescent="0.25">
      <c r="A93" s="55" t="s">
        <v>76</v>
      </c>
      <c r="B93" s="56"/>
      <c r="C93" s="56"/>
      <c r="D93" s="56"/>
      <c r="E93" s="56"/>
      <c r="F93" s="11"/>
      <c r="G93" s="12" t="s">
        <v>97</v>
      </c>
    </row>
    <row r="94" spans="1:7" x14ac:dyDescent="0.25">
      <c r="A94" s="15" t="s">
        <v>78</v>
      </c>
      <c r="B94" s="14" t="s">
        <v>79</v>
      </c>
      <c r="C94" s="14">
        <v>133</v>
      </c>
      <c r="D94" s="14">
        <v>135</v>
      </c>
      <c r="E94" s="24">
        <v>135</v>
      </c>
      <c r="F94" s="11"/>
      <c r="G94" s="12" t="s">
        <v>98</v>
      </c>
    </row>
    <row r="95" spans="1:7" x14ac:dyDescent="0.25">
      <c r="A95" s="15" t="s">
        <v>80</v>
      </c>
      <c r="B95" s="14" t="s">
        <v>79</v>
      </c>
      <c r="C95" s="14">
        <v>177</v>
      </c>
      <c r="D95" s="14">
        <v>355</v>
      </c>
      <c r="E95" s="24">
        <v>407</v>
      </c>
      <c r="F95" s="11"/>
      <c r="G95" s="12" t="s">
        <v>99</v>
      </c>
    </row>
    <row r="96" spans="1:7" ht="18.75" x14ac:dyDescent="0.3">
      <c r="A96" s="53" t="s">
        <v>77</v>
      </c>
      <c r="B96" s="14" t="s">
        <v>81</v>
      </c>
      <c r="C96" s="14">
        <v>24</v>
      </c>
      <c r="D96" s="14">
        <v>33</v>
      </c>
      <c r="E96" s="24">
        <v>30</v>
      </c>
      <c r="F96" s="51" t="s">
        <v>100</v>
      </c>
      <c r="G96" s="52"/>
    </row>
    <row r="97" spans="1:7" x14ac:dyDescent="0.25">
      <c r="A97" s="53"/>
      <c r="B97" s="14" t="s">
        <v>82</v>
      </c>
      <c r="C97" s="14" t="s">
        <v>83</v>
      </c>
      <c r="D97" s="14" t="s">
        <v>84</v>
      </c>
      <c r="E97" s="28" t="s">
        <v>173</v>
      </c>
      <c r="F97" s="11" t="s">
        <v>155</v>
      </c>
      <c r="G97" s="19" t="s">
        <v>156</v>
      </c>
    </row>
    <row r="98" spans="1:7" ht="15.75" thickBot="1" x14ac:dyDescent="0.3">
      <c r="A98" s="31" t="s">
        <v>86</v>
      </c>
      <c r="B98" s="20" t="s">
        <v>82</v>
      </c>
      <c r="C98" s="20" t="s">
        <v>83</v>
      </c>
      <c r="D98" s="20" t="s">
        <v>85</v>
      </c>
      <c r="E98" s="27" t="s">
        <v>174</v>
      </c>
      <c r="F98" s="22" t="s">
        <v>157</v>
      </c>
      <c r="G98" s="23" t="s">
        <v>158</v>
      </c>
    </row>
  </sheetData>
  <mergeCells count="43">
    <mergeCell ref="A2:A3"/>
    <mergeCell ref="A4:A5"/>
    <mergeCell ref="A6:A7"/>
    <mergeCell ref="A14:A15"/>
    <mergeCell ref="A18:A19"/>
    <mergeCell ref="A9:D10"/>
    <mergeCell ref="A42:A43"/>
    <mergeCell ref="A48:D48"/>
    <mergeCell ref="A51:A52"/>
    <mergeCell ref="F11:G11"/>
    <mergeCell ref="F21:G21"/>
    <mergeCell ref="A24:A25"/>
    <mergeCell ref="A12:D12"/>
    <mergeCell ref="A30:D30"/>
    <mergeCell ref="A32:A33"/>
    <mergeCell ref="A36:A37"/>
    <mergeCell ref="A38:A40"/>
    <mergeCell ref="A20:A22"/>
    <mergeCell ref="A96:A97"/>
    <mergeCell ref="A57:E57"/>
    <mergeCell ref="A75:E75"/>
    <mergeCell ref="A93:E93"/>
    <mergeCell ref="A54:E55"/>
    <mergeCell ref="A69:A70"/>
    <mergeCell ref="A77:A78"/>
    <mergeCell ref="A81:A82"/>
    <mergeCell ref="A83:A85"/>
    <mergeCell ref="A87:A88"/>
    <mergeCell ref="A59:A60"/>
    <mergeCell ref="A63:A64"/>
    <mergeCell ref="A65:A67"/>
    <mergeCell ref="F79:G79"/>
    <mergeCell ref="F83:G83"/>
    <mergeCell ref="F90:G90"/>
    <mergeCell ref="F96:G96"/>
    <mergeCell ref="F30:G30"/>
    <mergeCell ref="F34:G34"/>
    <mergeCell ref="F38:G38"/>
    <mergeCell ref="F45:G45"/>
    <mergeCell ref="F51:G51"/>
    <mergeCell ref="F75:G75"/>
    <mergeCell ref="F56:G56"/>
    <mergeCell ref="F66:G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8A12-9E0B-4944-8709-CC2F28D0C658}">
  <dimension ref="A2:G18"/>
  <sheetViews>
    <sheetView workbookViewId="0">
      <selection activeCell="D5" sqref="D5"/>
    </sheetView>
  </sheetViews>
  <sheetFormatPr defaultRowHeight="15" x14ac:dyDescent="0.25"/>
  <cols>
    <col min="1" max="1" width="31.7109375" customWidth="1"/>
    <col min="2" max="2" width="13" customWidth="1"/>
  </cols>
  <sheetData>
    <row r="2" spans="1:7" x14ac:dyDescent="0.25">
      <c r="A2" t="s">
        <v>191</v>
      </c>
      <c r="B2" t="s">
        <v>199</v>
      </c>
      <c r="C2" t="s">
        <v>192</v>
      </c>
      <c r="D2" t="s">
        <v>193</v>
      </c>
      <c r="E2" t="s">
        <v>194</v>
      </c>
      <c r="F2" t="s">
        <v>195</v>
      </c>
      <c r="G2" t="s">
        <v>197</v>
      </c>
    </row>
    <row r="3" spans="1:7" x14ac:dyDescent="0.25">
      <c r="A3" t="s">
        <v>196</v>
      </c>
      <c r="B3">
        <v>155</v>
      </c>
      <c r="D3">
        <v>15</v>
      </c>
      <c r="G3" t="s">
        <v>198</v>
      </c>
    </row>
    <row r="16" spans="1:7" x14ac:dyDescent="0.25">
      <c r="A16" s="64"/>
      <c r="B16" s="64"/>
      <c r="C16" s="64"/>
      <c r="D16" s="64"/>
      <c r="E16" s="64"/>
      <c r="F16" s="64"/>
      <c r="G16" s="64"/>
    </row>
    <row r="17" spans="1:7" x14ac:dyDescent="0.25">
      <c r="A17" s="64"/>
      <c r="B17" s="64"/>
      <c r="C17" s="64"/>
      <c r="D17" s="64"/>
      <c r="E17" s="64"/>
      <c r="F17" s="64"/>
      <c r="G17" s="64"/>
    </row>
    <row r="18" spans="1:7" x14ac:dyDescent="0.25">
      <c r="A18" s="64"/>
      <c r="B18" s="64"/>
      <c r="C18" s="64"/>
      <c r="D18" s="64"/>
      <c r="E18" s="64"/>
      <c r="F18" s="64"/>
      <c r="G18" s="64"/>
    </row>
  </sheetData>
  <mergeCells count="1">
    <mergeCell ref="A16:G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CB966-4A3D-40F2-8537-3634F1209E35}">
  <dimension ref="A1"/>
  <sheetViews>
    <sheetView workbookViewId="0">
      <selection activeCell="J29" sqref="J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Transport Stats</vt:lpstr>
      <vt:lpstr>Proterra-Bus Stats</vt:lpstr>
      <vt:lpstr>Electric Minivans</vt:lpstr>
      <vt:lpstr>Cost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Fenton</dc:creator>
  <cp:lastModifiedBy>Fenton</cp:lastModifiedBy>
  <dcterms:created xsi:type="dcterms:W3CDTF">2021-08-10T19:46:01Z</dcterms:created>
  <dcterms:modified xsi:type="dcterms:W3CDTF">2021-08-16T00:34:21Z</dcterms:modified>
</cp:coreProperties>
</file>