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showInkAnnotation="0" codeName="ThisWorkbook" checkCompatibility="1" autoCompressPictures="0"/>
  <bookViews>
    <workbookView xWindow="0" yWindow="0" windowWidth="25600" windowHeight="16060" tabRatio="977" activeTab="1"/>
  </bookViews>
  <sheets>
    <sheet name="Operating Funds Total" sheetId="34" r:id="rId1"/>
    <sheet name="Chart9" sheetId="36" r:id="rId2"/>
    <sheet name="Education" sheetId="1" r:id="rId3"/>
    <sheet name="Chart10" sheetId="39" r:id="rId4"/>
    <sheet name="O_&amp;_M" sheetId="2" r:id="rId5"/>
    <sheet name="Chart11" sheetId="40" r:id="rId6"/>
    <sheet name="Transportation" sheetId="3" r:id="rId7"/>
    <sheet name="Chart12" sheetId="41" r:id="rId8"/>
    <sheet name="MUIF" sheetId="5" r:id="rId9"/>
    <sheet name="Working_Cash" sheetId="7" r:id="rId10"/>
    <sheet name="Chart13" sheetId="42" r:id="rId11"/>
    <sheet name="Tort" sheetId="44" r:id="rId12"/>
    <sheet name="Non-Operating Funds" sheetId="35" r:id="rId13"/>
    <sheet name="Debt Service" sheetId="4" r:id="rId14"/>
    <sheet name="Capital Projects" sheetId="45" r:id="rId15"/>
    <sheet name="Fire_Prev" sheetId="8" r:id="rId16"/>
    <sheet name="Chart15" sheetId="43" r:id="rId17"/>
    <sheet name="All Funds" sheetId="33" r:id="rId18"/>
    <sheet name="Chart16" sheetId="37" r:id="rId19"/>
  </sheets>
  <definedNames>
    <definedName name="_xlnm.Print_Area" localSheetId="17">'All Funds'!$A$1:$O$31</definedName>
    <definedName name="_xlnm.Print_Area" localSheetId="14">'Capital Projects'!$A$1:$Z$43</definedName>
    <definedName name="_xlnm.Print_Area" localSheetId="13">'Debt Service'!$A$1:$AC$46</definedName>
    <definedName name="_xlnm.Print_Area" localSheetId="2">Education!$A$1:$AC$56</definedName>
    <definedName name="_xlnm.Print_Area" localSheetId="15">Fire_Prev!$A$1:$AC$43</definedName>
    <definedName name="_xlnm.Print_Area" localSheetId="8">MUIF!$A$1:$AC$36</definedName>
    <definedName name="_xlnm.Print_Area" localSheetId="12">'Non-Operating Funds'!$A$1:$O$31</definedName>
    <definedName name="_xlnm.Print_Area" localSheetId="4">'O_&amp;_M'!$A$1:$AC$50</definedName>
    <definedName name="_xlnm.Print_Area" localSheetId="0">'Operating Funds Total'!$A$1:$O$40</definedName>
    <definedName name="_xlnm.Print_Area" localSheetId="11">Tort!$A$1:$AC$38</definedName>
    <definedName name="_xlnm.Print_Area" localSheetId="6">Transportation!$A$1:$AC$47</definedName>
    <definedName name="_xlnm.Print_Area" localSheetId="9">Working_Cash!$A$1:$AC$40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33" l="1"/>
  <c r="V37" i="45"/>
  <c r="W37" i="45"/>
  <c r="U40" i="45"/>
  <c r="U37" i="45"/>
  <c r="V34" i="45"/>
  <c r="V20" i="45"/>
  <c r="W20" i="45"/>
  <c r="X20" i="45"/>
  <c r="U20" i="45"/>
  <c r="K39" i="34"/>
  <c r="AC5" i="1"/>
  <c r="AA5" i="1"/>
  <c r="Y5" i="44"/>
  <c r="Y5" i="1"/>
  <c r="Z5" i="44"/>
  <c r="AA5" i="44"/>
  <c r="Y12" i="44"/>
  <c r="Y27" i="44"/>
  <c r="Y36" i="44"/>
  <c r="Z9" i="44"/>
  <c r="Z12" i="44"/>
  <c r="Z27" i="44"/>
  <c r="Z32" i="44"/>
  <c r="Z36" i="44"/>
  <c r="AA9" i="44"/>
  <c r="AA12" i="44"/>
  <c r="AA27" i="44"/>
  <c r="AA32" i="44"/>
  <c r="AA36" i="44"/>
  <c r="Y14" i="1"/>
  <c r="Y32" i="1"/>
  <c r="Y43" i="1"/>
  <c r="Y51" i="1"/>
  <c r="Z47" i="1"/>
  <c r="Z5" i="1"/>
  <c r="Z11" i="1"/>
  <c r="Z14" i="1"/>
  <c r="Z32" i="1"/>
  <c r="Z43" i="1"/>
  <c r="Z51" i="1"/>
  <c r="AA47" i="1"/>
  <c r="AA11" i="1"/>
  <c r="AA14" i="1"/>
  <c r="AA32" i="1"/>
  <c r="AA43" i="1"/>
  <c r="AA51" i="1"/>
  <c r="M37" i="34"/>
  <c r="M17" i="34"/>
  <c r="M18" i="34"/>
  <c r="M19" i="34"/>
  <c r="M20" i="34"/>
  <c r="M21" i="34"/>
  <c r="M22" i="34"/>
  <c r="M23" i="34"/>
  <c r="M39" i="34"/>
  <c r="AB5" i="44"/>
  <c r="AB9" i="44"/>
  <c r="AB12" i="44"/>
  <c r="AB27" i="44"/>
  <c r="AB32" i="44"/>
  <c r="AB36" i="44"/>
  <c r="AB47" i="1"/>
  <c r="AB5" i="1"/>
  <c r="AB11" i="1"/>
  <c r="AB14" i="1"/>
  <c r="AB32" i="1"/>
  <c r="AB43" i="1"/>
  <c r="AB51" i="1"/>
  <c r="N37" i="34"/>
  <c r="N17" i="34"/>
  <c r="N18" i="34"/>
  <c r="N19" i="34"/>
  <c r="N20" i="34"/>
  <c r="N21" i="34"/>
  <c r="N22" i="34"/>
  <c r="N23" i="34"/>
  <c r="N39" i="34"/>
  <c r="AC5" i="44"/>
  <c r="AC9" i="44"/>
  <c r="AC12" i="44"/>
  <c r="AC27" i="44"/>
  <c r="AC32" i="44"/>
  <c r="AC36" i="44"/>
  <c r="AC47" i="1"/>
  <c r="AC11" i="1"/>
  <c r="AC14" i="1"/>
  <c r="AC32" i="1"/>
  <c r="AC43" i="1"/>
  <c r="AC51" i="1"/>
  <c r="O37" i="34"/>
  <c r="O17" i="34"/>
  <c r="O18" i="34"/>
  <c r="O19" i="34"/>
  <c r="O20" i="34"/>
  <c r="O21" i="34"/>
  <c r="O22" i="34"/>
  <c r="O23" i="34"/>
  <c r="O39" i="34"/>
  <c r="L37" i="34"/>
  <c r="L17" i="34"/>
  <c r="L18" i="34"/>
  <c r="L19" i="34"/>
  <c r="L20" i="34"/>
  <c r="L21" i="34"/>
  <c r="L22" i="34"/>
  <c r="L23" i="34"/>
  <c r="L39" i="34"/>
  <c r="K37" i="34"/>
  <c r="K17" i="34"/>
  <c r="K18" i="34"/>
  <c r="K19" i="34"/>
  <c r="K20" i="34"/>
  <c r="K21" i="34"/>
  <c r="K22" i="34"/>
  <c r="K23" i="34"/>
  <c r="J37" i="34"/>
  <c r="J17" i="34"/>
  <c r="J18" i="34"/>
  <c r="J19" i="34"/>
  <c r="J20" i="34"/>
  <c r="J21" i="34"/>
  <c r="J22" i="34"/>
  <c r="J23" i="34"/>
  <c r="J39" i="34"/>
  <c r="I37" i="34"/>
  <c r="I17" i="34"/>
  <c r="I18" i="34"/>
  <c r="I19" i="34"/>
  <c r="I20" i="34"/>
  <c r="I21" i="34"/>
  <c r="I22" i="34"/>
  <c r="I23" i="34"/>
  <c r="I39" i="34"/>
  <c r="H37" i="34"/>
  <c r="H17" i="34"/>
  <c r="H18" i="34"/>
  <c r="H19" i="34"/>
  <c r="H20" i="34"/>
  <c r="H21" i="34"/>
  <c r="H22" i="34"/>
  <c r="H23" i="34"/>
  <c r="H39" i="34"/>
  <c r="AC5" i="2"/>
  <c r="AC40" i="3"/>
  <c r="W40" i="3"/>
  <c r="X36" i="3"/>
  <c r="X40" i="3"/>
  <c r="Y9" i="3"/>
  <c r="Y12" i="3"/>
  <c r="Y27" i="3"/>
  <c r="Y32" i="3"/>
  <c r="Y36" i="3"/>
  <c r="Y40" i="3"/>
  <c r="Z9" i="3"/>
  <c r="Z12" i="3"/>
  <c r="Z27" i="3"/>
  <c r="Z32" i="3"/>
  <c r="Z36" i="3"/>
  <c r="Z40" i="3"/>
  <c r="AA9" i="3"/>
  <c r="AA12" i="3"/>
  <c r="AA27" i="3"/>
  <c r="AA32" i="3"/>
  <c r="AA36" i="3"/>
  <c r="AA40" i="3"/>
  <c r="AB9" i="3"/>
  <c r="AB12" i="3"/>
  <c r="AB27" i="3"/>
  <c r="AB32" i="3"/>
  <c r="AB36" i="3"/>
  <c r="AB40" i="3"/>
  <c r="AC9" i="3"/>
  <c r="AC12" i="3"/>
  <c r="AC27" i="3"/>
  <c r="AC32" i="3"/>
  <c r="AC36" i="3"/>
  <c r="V40" i="3"/>
  <c r="X32" i="3"/>
  <c r="W36" i="3"/>
  <c r="W32" i="3"/>
  <c r="V32" i="3"/>
  <c r="AC5" i="3"/>
  <c r="AB5" i="3"/>
  <c r="AA5" i="3"/>
  <c r="Z5" i="3"/>
  <c r="Y5" i="3"/>
  <c r="AA5" i="2"/>
  <c r="Z5" i="2"/>
  <c r="Y16" i="2"/>
  <c r="Y5" i="2"/>
  <c r="Y6" i="1"/>
  <c r="AB24" i="1"/>
  <c r="AB22" i="1"/>
  <c r="AA22" i="1"/>
  <c r="Z22" i="1"/>
  <c r="Y22" i="1"/>
  <c r="X22" i="1"/>
  <c r="Y19" i="1"/>
  <c r="M30" i="34"/>
  <c r="M22" i="33"/>
  <c r="N30" i="34"/>
  <c r="N22" i="33"/>
  <c r="O30" i="34"/>
  <c r="O22" i="33"/>
  <c r="Y29" i="1"/>
  <c r="X29" i="1"/>
  <c r="X32" i="1"/>
  <c r="X43" i="1"/>
  <c r="X51" i="1"/>
  <c r="Y11" i="1"/>
  <c r="Y47" i="1"/>
  <c r="Z6" i="1"/>
  <c r="Z19" i="1"/>
  <c r="Z29" i="1"/>
  <c r="AA6" i="1"/>
  <c r="AA19" i="1"/>
  <c r="AA29" i="1"/>
  <c r="AB6" i="1"/>
  <c r="AB19" i="1"/>
  <c r="AB29" i="1"/>
  <c r="AC6" i="1"/>
  <c r="O6" i="34"/>
  <c r="AB5" i="2"/>
  <c r="AC12" i="2"/>
  <c r="O8" i="34"/>
  <c r="O9" i="34"/>
  <c r="O7" i="34"/>
  <c r="O10" i="34"/>
  <c r="O11" i="34"/>
  <c r="O12" i="34"/>
  <c r="O6" i="33"/>
  <c r="O8" i="33"/>
  <c r="AC30" i="2"/>
  <c r="AC19" i="1"/>
  <c r="AC29" i="1"/>
  <c r="O13" i="33"/>
  <c r="O15" i="33"/>
  <c r="O18" i="33"/>
  <c r="O24" i="33"/>
  <c r="AA30" i="2"/>
  <c r="AA12" i="2"/>
  <c r="AA32" i="2"/>
  <c r="AA42" i="2"/>
  <c r="Z12" i="2"/>
  <c r="Z32" i="2"/>
  <c r="Z42" i="2"/>
  <c r="Y12" i="2"/>
  <c r="Y32" i="2"/>
  <c r="Y42" i="2"/>
  <c r="Y48" i="2"/>
  <c r="Z46" i="2"/>
  <c r="Z48" i="2"/>
  <c r="AA46" i="2"/>
  <c r="AA48" i="2"/>
  <c r="AB46" i="2"/>
  <c r="AB30" i="2"/>
  <c r="AB12" i="2"/>
  <c r="AB32" i="2"/>
  <c r="AB42" i="2"/>
  <c r="AB48" i="2"/>
  <c r="AC46" i="2"/>
  <c r="O36" i="34"/>
  <c r="O28" i="33"/>
  <c r="AC32" i="2"/>
  <c r="AC42" i="2"/>
  <c r="AC48" i="2"/>
  <c r="O29" i="33"/>
  <c r="O14" i="33"/>
  <c r="O7" i="33"/>
  <c r="O40" i="34"/>
  <c r="O26" i="34"/>
  <c r="O32" i="34"/>
  <c r="AC5" i="7"/>
  <c r="AB5" i="7"/>
  <c r="AA5" i="7"/>
  <c r="Z5" i="7"/>
  <c r="Y5" i="7"/>
  <c r="Y5" i="5"/>
  <c r="Z5" i="5"/>
  <c r="AA5" i="5"/>
  <c r="AB5" i="5"/>
  <c r="AC5" i="5"/>
  <c r="AC42" i="3"/>
  <c r="AC19" i="44"/>
  <c r="Y9" i="1"/>
  <c r="X41" i="1"/>
  <c r="AC24" i="44"/>
  <c r="AC38" i="44"/>
  <c r="AB19" i="44"/>
  <c r="AA19" i="44"/>
  <c r="Z19" i="44"/>
  <c r="Y19" i="44"/>
  <c r="AC17" i="44"/>
  <c r="AB17" i="44"/>
  <c r="AA17" i="44"/>
  <c r="Z17" i="44"/>
  <c r="AC18" i="44"/>
  <c r="AC20" i="44"/>
  <c r="AC21" i="44"/>
  <c r="AC22" i="44"/>
  <c r="Z24" i="44"/>
  <c r="Y24" i="44"/>
  <c r="AA24" i="44"/>
  <c r="AB24" i="44"/>
  <c r="AC10" i="44"/>
  <c r="X34" i="7"/>
  <c r="X40" i="7"/>
  <c r="Y38" i="7"/>
  <c r="Y9" i="7"/>
  <c r="Y11" i="7"/>
  <c r="Y26" i="7"/>
  <c r="Y34" i="7"/>
  <c r="Y40" i="7"/>
  <c r="Z38" i="7"/>
  <c r="Z9" i="7"/>
  <c r="Z11" i="7"/>
  <c r="Z26" i="7"/>
  <c r="Z34" i="7"/>
  <c r="Z40" i="7"/>
  <c r="AA38" i="7"/>
  <c r="AA9" i="7"/>
  <c r="AA11" i="7"/>
  <c r="AA26" i="7"/>
  <c r="AA34" i="7"/>
  <c r="AA40" i="7"/>
  <c r="AB38" i="7"/>
  <c r="AB9" i="7"/>
  <c r="AB11" i="7"/>
  <c r="AB26" i="7"/>
  <c r="AB34" i="7"/>
  <c r="AB40" i="7"/>
  <c r="AC9" i="7"/>
  <c r="AC11" i="7"/>
  <c r="AC26" i="7"/>
  <c r="AC31" i="7"/>
  <c r="AC32" i="7"/>
  <c r="AC34" i="7"/>
  <c r="AC38" i="7"/>
  <c r="AC40" i="7"/>
  <c r="AC16" i="7"/>
  <c r="AC17" i="7"/>
  <c r="AC18" i="7"/>
  <c r="AC19" i="7"/>
  <c r="AC20" i="7"/>
  <c r="AC21" i="7"/>
  <c r="AC23" i="7"/>
  <c r="X24" i="5"/>
  <c r="X27" i="5"/>
  <c r="X34" i="5"/>
  <c r="Y9" i="5"/>
  <c r="Y11" i="5"/>
  <c r="Y17" i="5"/>
  <c r="Y24" i="5"/>
  <c r="Y27" i="5"/>
  <c r="Y32" i="5"/>
  <c r="Y34" i="5"/>
  <c r="Z9" i="5"/>
  <c r="Z11" i="5"/>
  <c r="Z17" i="5"/>
  <c r="Z24" i="5"/>
  <c r="Z27" i="5"/>
  <c r="Z32" i="5"/>
  <c r="Z34" i="5"/>
  <c r="AA9" i="5"/>
  <c r="AA11" i="5"/>
  <c r="AA17" i="5"/>
  <c r="AA24" i="5"/>
  <c r="AA27" i="5"/>
  <c r="AA32" i="5"/>
  <c r="AA34" i="5"/>
  <c r="AB9" i="5"/>
  <c r="AB11" i="5"/>
  <c r="AB17" i="5"/>
  <c r="AB24" i="5"/>
  <c r="AB27" i="5"/>
  <c r="AB32" i="5"/>
  <c r="AB34" i="5"/>
  <c r="AC32" i="5"/>
  <c r="AC9" i="5"/>
  <c r="AC11" i="5"/>
  <c r="AC17" i="5"/>
  <c r="AC24" i="5"/>
  <c r="AC27" i="5"/>
  <c r="AC34" i="5"/>
  <c r="AC36" i="5"/>
  <c r="AC6" i="5"/>
  <c r="AC7" i="5"/>
  <c r="AC8" i="5"/>
  <c r="Z7" i="3"/>
  <c r="AA7" i="3"/>
  <c r="AB7" i="3"/>
  <c r="AC7" i="3"/>
  <c r="AC30" i="3"/>
  <c r="AC10" i="3"/>
  <c r="AC24" i="3"/>
  <c r="Z22" i="3"/>
  <c r="AA22" i="3"/>
  <c r="AB22" i="3"/>
  <c r="AC22" i="3"/>
  <c r="Y22" i="3"/>
  <c r="AC20" i="3"/>
  <c r="AC19" i="3"/>
  <c r="AC18" i="3"/>
  <c r="AC17" i="3"/>
  <c r="Z17" i="3"/>
  <c r="AA17" i="3"/>
  <c r="AB17" i="3"/>
  <c r="Y17" i="3"/>
  <c r="AC50" i="2"/>
  <c r="AC40" i="2"/>
  <c r="AC18" i="2"/>
  <c r="AC19" i="2"/>
  <c r="AC17" i="2"/>
  <c r="AC16" i="2"/>
  <c r="AB16" i="2"/>
  <c r="AA16" i="2"/>
  <c r="Z16" i="2"/>
  <c r="Y30" i="2"/>
  <c r="Z30" i="2"/>
  <c r="AC10" i="2"/>
  <c r="Y26" i="1"/>
  <c r="Y41" i="1"/>
  <c r="Z9" i="1"/>
  <c r="Z26" i="1"/>
  <c r="Z41" i="1"/>
  <c r="AA9" i="1"/>
  <c r="AA26" i="1"/>
  <c r="AB9" i="1"/>
  <c r="AB26" i="1"/>
  <c r="AC9" i="1"/>
  <c r="AC22" i="1"/>
  <c r="AC26" i="1"/>
  <c r="AC53" i="1"/>
  <c r="AC56" i="1"/>
  <c r="AC41" i="1"/>
  <c r="W14" i="1"/>
  <c r="W22" i="1"/>
  <c r="W29" i="1"/>
  <c r="W32" i="1"/>
  <c r="W43" i="1"/>
  <c r="W51" i="1"/>
  <c r="X47" i="1"/>
  <c r="AC24" i="1"/>
  <c r="AC23" i="1"/>
  <c r="AC21" i="1"/>
  <c r="AC12" i="1"/>
  <c r="AC10" i="1"/>
  <c r="AC7" i="1"/>
  <c r="O30" i="35"/>
  <c r="O31" i="35"/>
  <c r="O24" i="35"/>
  <c r="O26" i="35"/>
  <c r="O20" i="35"/>
  <c r="O15" i="35"/>
  <c r="O16" i="35"/>
  <c r="O17" i="35"/>
  <c r="O14" i="35"/>
  <c r="J24" i="35"/>
  <c r="U23" i="45"/>
  <c r="J15" i="35"/>
  <c r="O7" i="35"/>
  <c r="O9" i="35"/>
  <c r="O8" i="35"/>
  <c r="O6" i="35"/>
  <c r="AC38" i="8"/>
  <c r="AC41" i="8"/>
  <c r="AC43" i="8"/>
  <c r="AC21" i="8"/>
  <c r="AC23" i="8"/>
  <c r="AC26" i="8"/>
  <c r="AC35" i="8"/>
  <c r="AC11" i="8"/>
  <c r="AC46" i="4"/>
  <c r="AC44" i="4"/>
  <c r="AC40" i="4"/>
  <c r="AC27" i="4"/>
  <c r="AC24" i="4"/>
  <c r="AC38" i="4"/>
  <c r="AC10" i="4"/>
  <c r="AC5" i="4"/>
  <c r="X34" i="45"/>
  <c r="Y34" i="45"/>
  <c r="Z34" i="45"/>
  <c r="X23" i="45"/>
  <c r="X26" i="45"/>
  <c r="X37" i="45"/>
  <c r="Y37" i="45"/>
  <c r="Z37" i="45"/>
  <c r="X42" i="45"/>
  <c r="Y42" i="45"/>
  <c r="Z42" i="45"/>
  <c r="X21" i="45"/>
  <c r="Y21" i="45"/>
  <c r="Z21" i="45"/>
  <c r="Y23" i="45"/>
  <c r="Z23" i="45"/>
  <c r="Y26" i="45"/>
  <c r="Z26" i="45"/>
  <c r="X11" i="45"/>
  <c r="Y11" i="45"/>
  <c r="Z11" i="45"/>
  <c r="X19" i="2"/>
  <c r="X16" i="2"/>
  <c r="X18" i="2"/>
  <c r="X20" i="2"/>
  <c r="X17" i="2"/>
  <c r="X32" i="7"/>
  <c r="X40" i="2"/>
  <c r="J30" i="34"/>
  <c r="W12" i="2"/>
  <c r="I8" i="34"/>
  <c r="T23" i="45"/>
  <c r="T26" i="45"/>
  <c r="T37" i="45"/>
  <c r="T42" i="45"/>
  <c r="U9" i="45"/>
  <c r="U11" i="45"/>
  <c r="U26" i="45"/>
  <c r="U41" i="8"/>
  <c r="U44" i="4"/>
  <c r="U32" i="5"/>
  <c r="U32" i="44"/>
  <c r="U36" i="3"/>
  <c r="U46" i="2"/>
  <c r="S29" i="1"/>
  <c r="S32" i="1"/>
  <c r="S43" i="1"/>
  <c r="S51" i="1"/>
  <c r="T47" i="1"/>
  <c r="T29" i="1"/>
  <c r="T32" i="1"/>
  <c r="T43" i="1"/>
  <c r="T51" i="1"/>
  <c r="U47" i="1"/>
  <c r="T14" i="1"/>
  <c r="U14" i="1"/>
  <c r="U29" i="1"/>
  <c r="U32" i="1"/>
  <c r="U43" i="1"/>
  <c r="U51" i="1"/>
  <c r="V47" i="1"/>
  <c r="V14" i="1"/>
  <c r="V29" i="1"/>
  <c r="V32" i="1"/>
  <c r="V43" i="1"/>
  <c r="V51" i="1"/>
  <c r="W47" i="1"/>
  <c r="X14" i="1"/>
  <c r="Y7" i="1"/>
  <c r="Y10" i="1"/>
  <c r="Y12" i="1"/>
  <c r="Y21" i="1"/>
  <c r="Y23" i="1"/>
  <c r="Y24" i="1"/>
  <c r="Z7" i="1"/>
  <c r="Z10" i="1"/>
  <c r="Z12" i="1"/>
  <c r="Z21" i="1"/>
  <c r="Z23" i="1"/>
  <c r="Z24" i="1"/>
  <c r="AA7" i="1"/>
  <c r="AA10" i="1"/>
  <c r="AA12" i="1"/>
  <c r="AA21" i="1"/>
  <c r="AA23" i="1"/>
  <c r="AA24" i="1"/>
  <c r="AB7" i="1"/>
  <c r="AB10" i="1"/>
  <c r="AB12" i="1"/>
  <c r="AB21" i="1"/>
  <c r="AB23" i="1"/>
  <c r="N6" i="34"/>
  <c r="W53" i="1"/>
  <c r="V53" i="1"/>
  <c r="U53" i="1"/>
  <c r="R31" i="7"/>
  <c r="R34" i="7"/>
  <c r="R40" i="7"/>
  <c r="S38" i="7"/>
  <c r="S31" i="7"/>
  <c r="S34" i="7"/>
  <c r="S40" i="7"/>
  <c r="T38" i="7"/>
  <c r="T40" i="7"/>
  <c r="U38" i="7"/>
  <c r="U31" i="7"/>
  <c r="U34" i="7"/>
  <c r="U40" i="7"/>
  <c r="U48" i="2"/>
  <c r="U40" i="3"/>
  <c r="U36" i="44"/>
  <c r="U34" i="5"/>
  <c r="G37" i="34"/>
  <c r="G17" i="34"/>
  <c r="G18" i="34"/>
  <c r="G19" i="34"/>
  <c r="G20" i="34"/>
  <c r="G21" i="34"/>
  <c r="G22" i="34"/>
  <c r="G23" i="34"/>
  <c r="G40" i="34"/>
  <c r="G6" i="35"/>
  <c r="G6" i="34"/>
  <c r="W12" i="44"/>
  <c r="W24" i="44"/>
  <c r="W27" i="44"/>
  <c r="V32" i="44"/>
  <c r="V36" i="44"/>
  <c r="W32" i="44"/>
  <c r="W36" i="44"/>
  <c r="X12" i="44"/>
  <c r="X24" i="44"/>
  <c r="X27" i="44"/>
  <c r="X32" i="44"/>
  <c r="X36" i="44"/>
  <c r="Y9" i="44"/>
  <c r="Y17" i="44"/>
  <c r="Y18" i="44"/>
  <c r="Y32" i="44"/>
  <c r="Z18" i="44"/>
  <c r="AA18" i="44"/>
  <c r="AB18" i="44"/>
  <c r="AB38" i="44"/>
  <c r="AB20" i="44"/>
  <c r="AB21" i="44"/>
  <c r="AB22" i="44"/>
  <c r="AB10" i="44"/>
  <c r="W30" i="2"/>
  <c r="W32" i="2"/>
  <c r="W42" i="2"/>
  <c r="V46" i="2"/>
  <c r="V48" i="2"/>
  <c r="W46" i="2"/>
  <c r="W48" i="2"/>
  <c r="X12" i="2"/>
  <c r="X30" i="2"/>
  <c r="X32" i="2"/>
  <c r="X42" i="2"/>
  <c r="X46" i="2"/>
  <c r="X48" i="2"/>
  <c r="Y10" i="2"/>
  <c r="Y17" i="2"/>
  <c r="Y18" i="2"/>
  <c r="Y19" i="2"/>
  <c r="Y46" i="2"/>
  <c r="Z10" i="2"/>
  <c r="Z17" i="2"/>
  <c r="Z18" i="2"/>
  <c r="Z19" i="2"/>
  <c r="AA10" i="2"/>
  <c r="AA17" i="2"/>
  <c r="AA18" i="2"/>
  <c r="AA19" i="2"/>
  <c r="V38" i="7"/>
  <c r="V31" i="7"/>
  <c r="V34" i="7"/>
  <c r="V40" i="7"/>
  <c r="W38" i="7"/>
  <c r="W31" i="7"/>
  <c r="W11" i="7"/>
  <c r="W26" i="7"/>
  <c r="W34" i="7"/>
  <c r="W40" i="7"/>
  <c r="X38" i="7"/>
  <c r="X11" i="7"/>
  <c r="X26" i="7"/>
  <c r="AA31" i="7"/>
  <c r="W12" i="3"/>
  <c r="W24" i="3"/>
  <c r="W27" i="3"/>
  <c r="V36" i="3"/>
  <c r="X12" i="3"/>
  <c r="X24" i="3"/>
  <c r="X27" i="3"/>
  <c r="Y10" i="3"/>
  <c r="Y18" i="3"/>
  <c r="Y19" i="3"/>
  <c r="Y20" i="3"/>
  <c r="Y24" i="3"/>
  <c r="Z10" i="3"/>
  <c r="Z18" i="3"/>
  <c r="Z19" i="3"/>
  <c r="Z20" i="3"/>
  <c r="Z24" i="3"/>
  <c r="AA10" i="3"/>
  <c r="AA18" i="3"/>
  <c r="AA19" i="3"/>
  <c r="AA20" i="3"/>
  <c r="AA24" i="3"/>
  <c r="W11" i="5"/>
  <c r="W24" i="5"/>
  <c r="W27" i="5"/>
  <c r="V32" i="5"/>
  <c r="V34" i="5"/>
  <c r="W32" i="5"/>
  <c r="W34" i="5"/>
  <c r="X32" i="5"/>
  <c r="X11" i="5"/>
  <c r="N36" i="34"/>
  <c r="W10" i="4"/>
  <c r="W24" i="4"/>
  <c r="W27" i="4"/>
  <c r="W38" i="4"/>
  <c r="W40" i="4"/>
  <c r="U46" i="4"/>
  <c r="V44" i="4"/>
  <c r="V46" i="4"/>
  <c r="W44" i="4"/>
  <c r="W46" i="4"/>
  <c r="X44" i="4"/>
  <c r="X10" i="4"/>
  <c r="X24" i="4"/>
  <c r="X27" i="4"/>
  <c r="X38" i="4"/>
  <c r="X40" i="4"/>
  <c r="X46" i="4"/>
  <c r="Y44" i="4"/>
  <c r="Y5" i="4"/>
  <c r="Y10" i="4"/>
  <c r="Y24" i="4"/>
  <c r="Y27" i="4"/>
  <c r="Y38" i="4"/>
  <c r="Y40" i="4"/>
  <c r="Y46" i="4"/>
  <c r="Z44" i="4"/>
  <c r="Z5" i="4"/>
  <c r="Z10" i="4"/>
  <c r="Z24" i="4"/>
  <c r="Z27" i="4"/>
  <c r="Z38" i="4"/>
  <c r="Z40" i="4"/>
  <c r="Z46" i="4"/>
  <c r="AA44" i="4"/>
  <c r="AA5" i="4"/>
  <c r="AA10" i="4"/>
  <c r="AA24" i="4"/>
  <c r="AA27" i="4"/>
  <c r="AA40" i="4"/>
  <c r="AA46" i="4"/>
  <c r="AB44" i="4"/>
  <c r="W11" i="8"/>
  <c r="W23" i="8"/>
  <c r="W26" i="8"/>
  <c r="W38" i="8"/>
  <c r="U43" i="8"/>
  <c r="V41" i="8"/>
  <c r="V43" i="8"/>
  <c r="W41" i="8"/>
  <c r="W43" i="8"/>
  <c r="X41" i="8"/>
  <c r="X11" i="8"/>
  <c r="X23" i="8"/>
  <c r="X26" i="8"/>
  <c r="X38" i="8"/>
  <c r="X43" i="8"/>
  <c r="Y41" i="8"/>
  <c r="Y43" i="8"/>
  <c r="Z41" i="8"/>
  <c r="Z43" i="8"/>
  <c r="AA41" i="8"/>
  <c r="AA43" i="8"/>
  <c r="AB41" i="8"/>
  <c r="N30" i="35"/>
  <c r="N28" i="33"/>
  <c r="AB10" i="2"/>
  <c r="AB17" i="2"/>
  <c r="AB18" i="2"/>
  <c r="AB19" i="2"/>
  <c r="AB31" i="7"/>
  <c r="AB10" i="3"/>
  <c r="AB18" i="3"/>
  <c r="AB19" i="3"/>
  <c r="AB20" i="3"/>
  <c r="AB24" i="3"/>
  <c r="AB24" i="4"/>
  <c r="AB5" i="4"/>
  <c r="AB10" i="4"/>
  <c r="AB27" i="4"/>
  <c r="AB40" i="4"/>
  <c r="AB46" i="4"/>
  <c r="AB43" i="8"/>
  <c r="N31" i="35"/>
  <c r="N29" i="33"/>
  <c r="N7" i="34"/>
  <c r="N8" i="34"/>
  <c r="N11" i="34"/>
  <c r="N9" i="34"/>
  <c r="N10" i="34"/>
  <c r="N12" i="34"/>
  <c r="N6" i="33"/>
  <c r="N6" i="35"/>
  <c r="N9" i="35"/>
  <c r="N7" i="33"/>
  <c r="N8" i="33"/>
  <c r="N31" i="33"/>
  <c r="N13" i="33"/>
  <c r="N14" i="35"/>
  <c r="N17" i="35"/>
  <c r="N14" i="33"/>
  <c r="N15" i="33"/>
  <c r="N18" i="33"/>
  <c r="AB32" i="7"/>
  <c r="N24" i="33"/>
  <c r="W32" i="7"/>
  <c r="W40" i="2"/>
  <c r="I30" i="34"/>
  <c r="I24" i="35"/>
  <c r="I22" i="33"/>
  <c r="J22" i="33"/>
  <c r="Y32" i="7"/>
  <c r="Y40" i="2"/>
  <c r="K30" i="34"/>
  <c r="K24" i="35"/>
  <c r="K22" i="33"/>
  <c r="Z32" i="7"/>
  <c r="Z40" i="2"/>
  <c r="L30" i="34"/>
  <c r="L24" i="35"/>
  <c r="L22" i="33"/>
  <c r="AA32" i="7"/>
  <c r="V32" i="7"/>
  <c r="H30" i="34"/>
  <c r="H22" i="33"/>
  <c r="F6" i="34"/>
  <c r="F7" i="34"/>
  <c r="F8" i="34"/>
  <c r="F9" i="34"/>
  <c r="F10" i="34"/>
  <c r="F11" i="34"/>
  <c r="F12" i="34"/>
  <c r="F6" i="33"/>
  <c r="F9" i="35"/>
  <c r="F7" i="33"/>
  <c r="F8" i="33"/>
  <c r="F17" i="34"/>
  <c r="F18" i="34"/>
  <c r="F19" i="34"/>
  <c r="F20" i="34"/>
  <c r="F21" i="34"/>
  <c r="F22" i="34"/>
  <c r="F23" i="34"/>
  <c r="F13" i="33"/>
  <c r="F15" i="35"/>
  <c r="F17" i="35"/>
  <c r="F14" i="33"/>
  <c r="F15" i="33"/>
  <c r="F18" i="33"/>
  <c r="F30" i="34"/>
  <c r="F22" i="33"/>
  <c r="F24" i="33"/>
  <c r="F36" i="34"/>
  <c r="F28" i="33"/>
  <c r="F37" i="34"/>
  <c r="F31" i="35"/>
  <c r="F29" i="33"/>
  <c r="F31" i="33"/>
  <c r="AB38" i="8"/>
  <c r="AB35" i="8"/>
  <c r="AB26" i="8"/>
  <c r="AB21" i="8"/>
  <c r="AB23" i="8"/>
  <c r="AB11" i="8"/>
  <c r="AB21" i="4"/>
  <c r="AB38" i="4"/>
  <c r="N8" i="35"/>
  <c r="N16" i="35"/>
  <c r="N20" i="35"/>
  <c r="N24" i="35"/>
  <c r="N26" i="35"/>
  <c r="N15" i="35"/>
  <c r="N7" i="35"/>
  <c r="N26" i="34"/>
  <c r="N32" i="34"/>
  <c r="N40" i="34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R11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O20" i="7"/>
  <c r="P20" i="7"/>
  <c r="Q20" i="7"/>
  <c r="R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R23" i="7"/>
  <c r="R26" i="7"/>
  <c r="S6" i="7"/>
  <c r="S7" i="7"/>
  <c r="S8" i="7"/>
  <c r="S11" i="7"/>
  <c r="S16" i="7"/>
  <c r="S17" i="7"/>
  <c r="S18" i="7"/>
  <c r="S19" i="7"/>
  <c r="S20" i="7"/>
  <c r="S21" i="7"/>
  <c r="S23" i="7"/>
  <c r="S26" i="7"/>
  <c r="T6" i="7"/>
  <c r="T7" i="7"/>
  <c r="T8" i="7"/>
  <c r="T11" i="7"/>
  <c r="T16" i="7"/>
  <c r="T17" i="7"/>
  <c r="T18" i="7"/>
  <c r="T19" i="7"/>
  <c r="T20" i="7"/>
  <c r="T21" i="7"/>
  <c r="T23" i="7"/>
  <c r="T26" i="7"/>
  <c r="T34" i="7"/>
  <c r="U6" i="7"/>
  <c r="U7" i="7"/>
  <c r="U8" i="7"/>
  <c r="U11" i="7"/>
  <c r="U16" i="7"/>
  <c r="U17" i="7"/>
  <c r="U18" i="7"/>
  <c r="U19" i="7"/>
  <c r="U20" i="7"/>
  <c r="U21" i="7"/>
  <c r="U23" i="7"/>
  <c r="U26" i="7"/>
  <c r="V6" i="7"/>
  <c r="V7" i="7"/>
  <c r="V8" i="7"/>
  <c r="V11" i="7"/>
  <c r="V16" i="7"/>
  <c r="V17" i="7"/>
  <c r="V18" i="7"/>
  <c r="V19" i="7"/>
  <c r="V20" i="7"/>
  <c r="V21" i="7"/>
  <c r="V23" i="7"/>
  <c r="V26" i="7"/>
  <c r="W6" i="7"/>
  <c r="W7" i="7"/>
  <c r="W8" i="7"/>
  <c r="W16" i="7"/>
  <c r="W17" i="7"/>
  <c r="W18" i="7"/>
  <c r="W19" i="7"/>
  <c r="W20" i="7"/>
  <c r="W21" i="7"/>
  <c r="W23" i="7"/>
  <c r="X16" i="7"/>
  <c r="X17" i="7"/>
  <c r="X18" i="7"/>
  <c r="X19" i="7"/>
  <c r="X20" i="7"/>
  <c r="X21" i="7"/>
  <c r="X23" i="7"/>
  <c r="Y16" i="7"/>
  <c r="Y17" i="7"/>
  <c r="Y18" i="7"/>
  <c r="Y19" i="7"/>
  <c r="Y20" i="7"/>
  <c r="Y21" i="7"/>
  <c r="Y23" i="7"/>
  <c r="Z16" i="7"/>
  <c r="Z17" i="7"/>
  <c r="Z18" i="7"/>
  <c r="Z19" i="7"/>
  <c r="Z20" i="7"/>
  <c r="Z21" i="7"/>
  <c r="Z23" i="7"/>
  <c r="AA16" i="7"/>
  <c r="AA17" i="7"/>
  <c r="AA18" i="7"/>
  <c r="AA19" i="7"/>
  <c r="AA20" i="7"/>
  <c r="AA21" i="7"/>
  <c r="AA23" i="7"/>
  <c r="AB36" i="5"/>
  <c r="AB6" i="5"/>
  <c r="AB7" i="5"/>
  <c r="AB8" i="5"/>
  <c r="AB30" i="3"/>
  <c r="AB42" i="3"/>
  <c r="AB21" i="3"/>
  <c r="AB50" i="2"/>
  <c r="AB21" i="2"/>
  <c r="AB40" i="2"/>
  <c r="Z53" i="1"/>
  <c r="AA53" i="1"/>
  <c r="AB53" i="1"/>
  <c r="Y53" i="1"/>
  <c r="X53" i="1"/>
  <c r="W56" i="1"/>
  <c r="AB56" i="1"/>
  <c r="AB41" i="1"/>
  <c r="R12" i="1"/>
  <c r="R14" i="1"/>
  <c r="R22" i="1"/>
  <c r="R25" i="1"/>
  <c r="R29" i="1"/>
  <c r="R32" i="1"/>
  <c r="R41" i="1"/>
  <c r="R43" i="1"/>
  <c r="R51" i="1"/>
  <c r="S47" i="1"/>
  <c r="S5" i="1"/>
  <c r="S7" i="1"/>
  <c r="S12" i="1"/>
  <c r="S14" i="1"/>
  <c r="S24" i="1"/>
  <c r="S25" i="1"/>
  <c r="S41" i="1"/>
  <c r="T7" i="1"/>
  <c r="T12" i="1"/>
  <c r="T21" i="1"/>
  <c r="T22" i="1"/>
  <c r="T41" i="1"/>
  <c r="U12" i="1"/>
  <c r="U22" i="1"/>
  <c r="U25" i="1"/>
  <c r="U41" i="1"/>
  <c r="V12" i="1"/>
  <c r="V22" i="1"/>
  <c r="V25" i="1"/>
  <c r="V41" i="1"/>
  <c r="W41" i="1"/>
  <c r="AA41" i="1"/>
  <c r="V20" i="2"/>
  <c r="V10" i="2"/>
  <c r="V11" i="5"/>
  <c r="V24" i="5"/>
  <c r="V27" i="5"/>
  <c r="V12" i="3"/>
  <c r="V24" i="3"/>
  <c r="V27" i="3"/>
  <c r="V12" i="2"/>
  <c r="V30" i="2"/>
  <c r="V32" i="2"/>
  <c r="V42" i="2"/>
  <c r="T30" i="2"/>
  <c r="T32" i="2"/>
  <c r="T42" i="2"/>
  <c r="T48" i="2"/>
  <c r="U30" i="2"/>
  <c r="U32" i="2"/>
  <c r="U42" i="2"/>
  <c r="AA38" i="4"/>
  <c r="U38" i="4"/>
  <c r="E6" i="4"/>
  <c r="G6" i="4"/>
  <c r="I6" i="4"/>
  <c r="K6" i="4"/>
  <c r="M6" i="4"/>
  <c r="O6" i="4"/>
  <c r="Q6" i="4"/>
  <c r="S6" i="4"/>
  <c r="U6" i="4"/>
  <c r="U10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U24" i="4"/>
  <c r="U27" i="4"/>
  <c r="U40" i="4"/>
  <c r="T35" i="4"/>
  <c r="T38" i="4"/>
  <c r="T10" i="4"/>
  <c r="T24" i="4"/>
  <c r="T27" i="4"/>
  <c r="T40" i="4"/>
  <c r="R5" i="4"/>
  <c r="H6" i="4"/>
  <c r="J6" i="4"/>
  <c r="L6" i="4"/>
  <c r="N6" i="4"/>
  <c r="P6" i="4"/>
  <c r="R6" i="4"/>
  <c r="R10" i="4"/>
  <c r="R24" i="4"/>
  <c r="R27" i="4"/>
  <c r="R38" i="4"/>
  <c r="R40" i="4"/>
  <c r="R46" i="4"/>
  <c r="S44" i="4"/>
  <c r="S10" i="4"/>
  <c r="S24" i="4"/>
  <c r="S27" i="4"/>
  <c r="S38" i="4"/>
  <c r="S40" i="4"/>
  <c r="S46" i="4"/>
  <c r="T44" i="4"/>
  <c r="T46" i="4"/>
  <c r="V38" i="4"/>
  <c r="V6" i="4"/>
  <c r="V10" i="4"/>
  <c r="V15" i="4"/>
  <c r="V16" i="4"/>
  <c r="V17" i="4"/>
  <c r="V18" i="4"/>
  <c r="V19" i="4"/>
  <c r="V20" i="4"/>
  <c r="V24" i="4"/>
  <c r="V27" i="4"/>
  <c r="V40" i="4"/>
  <c r="W6" i="4"/>
  <c r="W15" i="4"/>
  <c r="W16" i="4"/>
  <c r="W17" i="4"/>
  <c r="W18" i="4"/>
  <c r="W19" i="4"/>
  <c r="W20" i="4"/>
  <c r="M24" i="35"/>
  <c r="AA11" i="8"/>
  <c r="M8" i="35"/>
  <c r="M6" i="35"/>
  <c r="M9" i="35"/>
  <c r="M14" i="35"/>
  <c r="M17" i="35"/>
  <c r="M20" i="35"/>
  <c r="M26" i="35"/>
  <c r="Y11" i="8"/>
  <c r="Y26" i="8"/>
  <c r="Y38" i="8"/>
  <c r="V11" i="8"/>
  <c r="V23" i="8"/>
  <c r="V26" i="8"/>
  <c r="V38" i="8"/>
  <c r="Z11" i="8"/>
  <c r="Z26" i="8"/>
  <c r="Z38" i="8"/>
  <c r="M30" i="35"/>
  <c r="AA26" i="8"/>
  <c r="AA38" i="8"/>
  <c r="M31" i="35"/>
  <c r="M15" i="35"/>
  <c r="M16" i="35"/>
  <c r="L14" i="35"/>
  <c r="L15" i="35"/>
  <c r="L17" i="35"/>
  <c r="M7" i="35"/>
  <c r="V12" i="44"/>
  <c r="V24" i="44"/>
  <c r="V27" i="44"/>
  <c r="M29" i="33"/>
  <c r="M7" i="33"/>
  <c r="M7" i="34"/>
  <c r="M9" i="34"/>
  <c r="M10" i="34"/>
  <c r="M11" i="34"/>
  <c r="M8" i="34"/>
  <c r="M6" i="34"/>
  <c r="M12" i="34"/>
  <c r="M6" i="33"/>
  <c r="M8" i="33"/>
  <c r="M31" i="33"/>
  <c r="L31" i="35"/>
  <c r="L29" i="33"/>
  <c r="L7" i="34"/>
  <c r="L9" i="34"/>
  <c r="L10" i="34"/>
  <c r="L11" i="34"/>
  <c r="L8" i="34"/>
  <c r="L6" i="34"/>
  <c r="L12" i="34"/>
  <c r="L6" i="33"/>
  <c r="L8" i="35"/>
  <c r="L6" i="35"/>
  <c r="L7" i="35"/>
  <c r="L9" i="35"/>
  <c r="L7" i="33"/>
  <c r="L8" i="33"/>
  <c r="L31" i="33"/>
  <c r="K31" i="35"/>
  <c r="K29" i="33"/>
  <c r="K7" i="34"/>
  <c r="K9" i="34"/>
  <c r="K10" i="34"/>
  <c r="K11" i="34"/>
  <c r="K8" i="34"/>
  <c r="K6" i="34"/>
  <c r="K12" i="34"/>
  <c r="K6" i="33"/>
  <c r="K8" i="35"/>
  <c r="K6" i="35"/>
  <c r="K7" i="35"/>
  <c r="K9" i="35"/>
  <c r="K7" i="33"/>
  <c r="K8" i="33"/>
  <c r="K31" i="33"/>
  <c r="M36" i="34"/>
  <c r="M28" i="33"/>
  <c r="L36" i="34"/>
  <c r="L30" i="35"/>
  <c r="L28" i="33"/>
  <c r="K36" i="34"/>
  <c r="K30" i="35"/>
  <c r="K28" i="33"/>
  <c r="AA40" i="2"/>
  <c r="M14" i="33"/>
  <c r="M13" i="33"/>
  <c r="M15" i="33"/>
  <c r="M18" i="33"/>
  <c r="M24" i="33"/>
  <c r="L14" i="33"/>
  <c r="L13" i="33"/>
  <c r="L15" i="33"/>
  <c r="L18" i="33"/>
  <c r="L24" i="33"/>
  <c r="K13" i="33"/>
  <c r="K14" i="35"/>
  <c r="K15" i="35"/>
  <c r="K17" i="35"/>
  <c r="K14" i="33"/>
  <c r="K15" i="33"/>
  <c r="K18" i="33"/>
  <c r="K24" i="33"/>
  <c r="M40" i="34"/>
  <c r="M26" i="34"/>
  <c r="M32" i="34"/>
  <c r="Y35" i="8"/>
  <c r="Z35" i="8"/>
  <c r="AA35" i="8"/>
  <c r="Y21" i="8"/>
  <c r="Z21" i="8"/>
  <c r="AA21" i="8"/>
  <c r="Y23" i="8"/>
  <c r="Z23" i="8"/>
  <c r="AA23" i="8"/>
  <c r="AA38" i="44"/>
  <c r="X20" i="44"/>
  <c r="Y20" i="44"/>
  <c r="Z20" i="44"/>
  <c r="AA20" i="44"/>
  <c r="X21" i="44"/>
  <c r="Y21" i="44"/>
  <c r="Z21" i="44"/>
  <c r="AA21" i="44"/>
  <c r="X22" i="44"/>
  <c r="Y22" i="44"/>
  <c r="Z22" i="44"/>
  <c r="AA22" i="44"/>
  <c r="Z10" i="44"/>
  <c r="AA10" i="44"/>
  <c r="AB16" i="7"/>
  <c r="AB17" i="7"/>
  <c r="AB18" i="7"/>
  <c r="AB19" i="7"/>
  <c r="AB20" i="7"/>
  <c r="AB21" i="7"/>
  <c r="AB23" i="7"/>
  <c r="AA36" i="5"/>
  <c r="X7" i="5"/>
  <c r="Y7" i="5"/>
  <c r="Z7" i="5"/>
  <c r="AA7" i="5"/>
  <c r="X8" i="5"/>
  <c r="Y8" i="5"/>
  <c r="Z8" i="5"/>
  <c r="AA8" i="5"/>
  <c r="X6" i="5"/>
  <c r="Y6" i="5"/>
  <c r="Z6" i="5"/>
  <c r="AA6" i="5"/>
  <c r="W6" i="5"/>
  <c r="AA42" i="3"/>
  <c r="AA30" i="3"/>
  <c r="X21" i="3"/>
  <c r="Y21" i="3"/>
  <c r="Z21" i="3"/>
  <c r="AA21" i="3"/>
  <c r="AA50" i="2"/>
  <c r="X21" i="2"/>
  <c r="Y21" i="2"/>
  <c r="Z21" i="2"/>
  <c r="AA21" i="2"/>
  <c r="AA56" i="1"/>
  <c r="U11" i="5"/>
  <c r="U24" i="5"/>
  <c r="U27" i="5"/>
  <c r="U20" i="2"/>
  <c r="U11" i="8"/>
  <c r="U23" i="8"/>
  <c r="U26" i="8"/>
  <c r="U38" i="8"/>
  <c r="U42" i="45"/>
  <c r="G31" i="35"/>
  <c r="G30" i="35"/>
  <c r="F30" i="35"/>
  <c r="E31" i="35"/>
  <c r="S43" i="8"/>
  <c r="T9" i="8"/>
  <c r="L16" i="35"/>
  <c r="L33" i="35"/>
  <c r="K16" i="35"/>
  <c r="K33" i="35"/>
  <c r="L20" i="35"/>
  <c r="L26" i="35"/>
  <c r="K20" i="35"/>
  <c r="K26" i="35"/>
  <c r="R16" i="1"/>
  <c r="S16" i="1"/>
  <c r="T16" i="1"/>
  <c r="U16" i="1"/>
  <c r="V6" i="5"/>
  <c r="R34" i="5"/>
  <c r="S32" i="5"/>
  <c r="S34" i="5"/>
  <c r="T32" i="5"/>
  <c r="T34" i="5"/>
  <c r="U12" i="3"/>
  <c r="U24" i="3"/>
  <c r="U27" i="3"/>
  <c r="T19" i="2"/>
  <c r="T18" i="2"/>
  <c r="T17" i="2"/>
  <c r="T16" i="2"/>
  <c r="T23" i="2"/>
  <c r="U12" i="2"/>
  <c r="T24" i="3"/>
  <c r="T27" i="3"/>
  <c r="T40" i="3"/>
  <c r="U12" i="44"/>
  <c r="U24" i="44"/>
  <c r="U27" i="44"/>
  <c r="Z38" i="44"/>
  <c r="Z36" i="5"/>
  <c r="Z42" i="3"/>
  <c r="Z30" i="3"/>
  <c r="Z50" i="2"/>
  <c r="Y10" i="44"/>
  <c r="Y38" i="44"/>
  <c r="Y36" i="5"/>
  <c r="Y42" i="3"/>
  <c r="Y30" i="3"/>
  <c r="Y50" i="2"/>
  <c r="S17" i="5"/>
  <c r="S24" i="5"/>
  <c r="T11" i="5"/>
  <c r="S40" i="3"/>
  <c r="R40" i="3"/>
  <c r="S19" i="3"/>
  <c r="S7" i="3"/>
  <c r="S12" i="3"/>
  <c r="S48" i="2"/>
  <c r="R48" i="2"/>
  <c r="S27" i="5"/>
  <c r="T12" i="3"/>
  <c r="S24" i="3"/>
  <c r="S27" i="3"/>
  <c r="S36" i="3"/>
  <c r="T36" i="3"/>
  <c r="U32" i="3"/>
  <c r="T10" i="3"/>
  <c r="S12" i="2"/>
  <c r="S32" i="2"/>
  <c r="S42" i="2"/>
  <c r="S46" i="2"/>
  <c r="T46" i="2"/>
  <c r="S30" i="2"/>
  <c r="T10" i="2"/>
  <c r="T24" i="5"/>
  <c r="T27" i="5"/>
  <c r="T12" i="2"/>
  <c r="T27" i="2"/>
  <c r="U40" i="2"/>
  <c r="U32" i="7"/>
  <c r="G30" i="34"/>
  <c r="U42" i="3"/>
  <c r="X30" i="3"/>
  <c r="W30" i="3"/>
  <c r="V30" i="3"/>
  <c r="T30" i="3"/>
  <c r="S30" i="3"/>
  <c r="R30" i="3"/>
  <c r="U30" i="3"/>
  <c r="L6" i="3"/>
  <c r="M6" i="3"/>
  <c r="N6" i="3"/>
  <c r="O6" i="3"/>
  <c r="P6" i="3"/>
  <c r="Q6" i="3"/>
  <c r="R6" i="3"/>
  <c r="S6" i="3"/>
  <c r="T6" i="3"/>
  <c r="U6" i="3"/>
  <c r="V6" i="3"/>
  <c r="W6" i="3"/>
  <c r="T8" i="3"/>
  <c r="U8" i="3"/>
  <c r="V8" i="3"/>
  <c r="W8" i="3"/>
  <c r="U21" i="3"/>
  <c r="R12" i="3"/>
  <c r="R24" i="3"/>
  <c r="R27" i="3"/>
  <c r="V21" i="3"/>
  <c r="W21" i="3"/>
  <c r="U50" i="2"/>
  <c r="T41" i="8"/>
  <c r="T11" i="8"/>
  <c r="T23" i="8"/>
  <c r="T26" i="8"/>
  <c r="T38" i="8"/>
  <c r="T43" i="8"/>
  <c r="S24" i="44"/>
  <c r="S27" i="44"/>
  <c r="S36" i="44"/>
  <c r="E37" i="34"/>
  <c r="E20" i="34"/>
  <c r="E19" i="34"/>
  <c r="E17" i="34"/>
  <c r="E18" i="34"/>
  <c r="E21" i="34"/>
  <c r="E22" i="34"/>
  <c r="E23" i="34"/>
  <c r="E40" i="34"/>
  <c r="E9" i="34"/>
  <c r="E6" i="34"/>
  <c r="E8" i="34"/>
  <c r="E7" i="34"/>
  <c r="E10" i="34"/>
  <c r="E11" i="34"/>
  <c r="E12" i="34"/>
  <c r="E26" i="34"/>
  <c r="S32" i="7"/>
  <c r="E30" i="34"/>
  <c r="E32" i="34"/>
  <c r="D37" i="34"/>
  <c r="D9" i="34"/>
  <c r="D6" i="34"/>
  <c r="D7" i="34"/>
  <c r="D8" i="34"/>
  <c r="D10" i="34"/>
  <c r="D11" i="34"/>
  <c r="D12" i="34"/>
  <c r="D40" i="34"/>
  <c r="S19" i="2"/>
  <c r="S20" i="2"/>
  <c r="R7" i="2"/>
  <c r="S7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S27" i="2"/>
  <c r="R12" i="2"/>
  <c r="R27" i="2"/>
  <c r="R30" i="2"/>
  <c r="R32" i="2"/>
  <c r="R42" i="2"/>
  <c r="R46" i="2"/>
  <c r="R22" i="44"/>
  <c r="R21" i="44"/>
  <c r="R20" i="44"/>
  <c r="R19" i="44"/>
  <c r="R10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L6" i="44"/>
  <c r="M6" i="44"/>
  <c r="N6" i="44"/>
  <c r="O6" i="44"/>
  <c r="P6" i="44"/>
  <c r="Q6" i="44"/>
  <c r="R6" i="44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T7" i="2"/>
  <c r="T21" i="2"/>
  <c r="T22" i="2"/>
  <c r="U21" i="2"/>
  <c r="U22" i="2"/>
  <c r="V21" i="2"/>
  <c r="V22" i="2"/>
  <c r="W21" i="2"/>
  <c r="W22" i="2"/>
  <c r="S7" i="5"/>
  <c r="T7" i="5"/>
  <c r="U7" i="5"/>
  <c r="V7" i="5"/>
  <c r="W7" i="5"/>
  <c r="S8" i="5"/>
  <c r="T8" i="5"/>
  <c r="U8" i="5"/>
  <c r="V8" i="5"/>
  <c r="W8" i="5"/>
  <c r="U6" i="5"/>
  <c r="S16" i="5"/>
  <c r="T16" i="5"/>
  <c r="S18" i="5"/>
  <c r="T18" i="5"/>
  <c r="S19" i="5"/>
  <c r="T19" i="5"/>
  <c r="S20" i="5"/>
  <c r="T20" i="5"/>
  <c r="S21" i="5"/>
  <c r="T21" i="5"/>
  <c r="S11" i="5"/>
  <c r="R11" i="5"/>
  <c r="R24" i="5"/>
  <c r="R27" i="5"/>
  <c r="U16" i="5"/>
  <c r="U18" i="5"/>
  <c r="U19" i="5"/>
  <c r="U20" i="5"/>
  <c r="U21" i="5"/>
  <c r="V16" i="5"/>
  <c r="V18" i="5"/>
  <c r="V19" i="5"/>
  <c r="V20" i="5"/>
  <c r="V21" i="5"/>
  <c r="W16" i="5"/>
  <c r="W18" i="5"/>
  <c r="W19" i="5"/>
  <c r="W20" i="5"/>
  <c r="W21" i="5"/>
  <c r="S10" i="44"/>
  <c r="T10" i="44"/>
  <c r="U10" i="44"/>
  <c r="V10" i="44"/>
  <c r="W10" i="44"/>
  <c r="X10" i="44"/>
  <c r="S22" i="44"/>
  <c r="T22" i="44"/>
  <c r="U22" i="44"/>
  <c r="V22" i="44"/>
  <c r="W22" i="44"/>
  <c r="S6" i="44"/>
  <c r="T6" i="44"/>
  <c r="U6" i="44"/>
  <c r="V6" i="44"/>
  <c r="W6" i="44"/>
  <c r="S7" i="44"/>
  <c r="T7" i="44"/>
  <c r="U7" i="44"/>
  <c r="V7" i="44"/>
  <c r="W7" i="44"/>
  <c r="S8" i="44"/>
  <c r="T8" i="44"/>
  <c r="U8" i="44"/>
  <c r="V8" i="44"/>
  <c r="W8" i="44"/>
  <c r="S20" i="44"/>
  <c r="T20" i="44"/>
  <c r="U20" i="44"/>
  <c r="V20" i="44"/>
  <c r="W20" i="44"/>
  <c r="S21" i="44"/>
  <c r="T21" i="44"/>
  <c r="U21" i="44"/>
  <c r="V21" i="44"/>
  <c r="W21" i="44"/>
  <c r="T12" i="44"/>
  <c r="T24" i="44"/>
  <c r="T27" i="44"/>
  <c r="S12" i="44"/>
  <c r="R12" i="44"/>
  <c r="R24" i="44"/>
  <c r="R27" i="44"/>
  <c r="R36" i="44"/>
  <c r="S32" i="44"/>
  <c r="T32" i="44"/>
  <c r="T36" i="44"/>
  <c r="R11" i="8"/>
  <c r="R23" i="8"/>
  <c r="R26" i="8"/>
  <c r="R38" i="8"/>
  <c r="R43" i="8"/>
  <c r="S41" i="8"/>
  <c r="S11" i="8"/>
  <c r="S23" i="8"/>
  <c r="S26" i="8"/>
  <c r="S34" i="8"/>
  <c r="S38" i="8"/>
  <c r="X21" i="8"/>
  <c r="J31" i="35"/>
  <c r="J7" i="34"/>
  <c r="J8" i="34"/>
  <c r="J9" i="34"/>
  <c r="J10" i="34"/>
  <c r="J11" i="34"/>
  <c r="J6" i="35"/>
  <c r="J7" i="35"/>
  <c r="J8" i="35"/>
  <c r="J9" i="35"/>
  <c r="J7" i="33"/>
  <c r="J30" i="35"/>
  <c r="J13" i="33"/>
  <c r="J14" i="35"/>
  <c r="J16" i="35"/>
  <c r="J17" i="35"/>
  <c r="J14" i="33"/>
  <c r="J15" i="33"/>
  <c r="X35" i="8"/>
  <c r="D22" i="34"/>
  <c r="R40" i="2"/>
  <c r="R32" i="7"/>
  <c r="D30" i="34"/>
  <c r="S40" i="2"/>
  <c r="T40" i="2"/>
  <c r="T32" i="7"/>
  <c r="V40" i="2"/>
  <c r="W35" i="8"/>
  <c r="V35" i="8"/>
  <c r="H24" i="35"/>
  <c r="U35" i="8"/>
  <c r="G24" i="35"/>
  <c r="T35" i="8"/>
  <c r="F24" i="35"/>
  <c r="J33" i="35"/>
  <c r="W11" i="45"/>
  <c r="V21" i="45"/>
  <c r="W21" i="45"/>
  <c r="W23" i="45"/>
  <c r="W26" i="45"/>
  <c r="W42" i="45"/>
  <c r="I31" i="35"/>
  <c r="I14" i="35"/>
  <c r="I15" i="35"/>
  <c r="I16" i="35"/>
  <c r="I17" i="35"/>
  <c r="I33" i="35"/>
  <c r="R11" i="45"/>
  <c r="R23" i="45"/>
  <c r="R26" i="45"/>
  <c r="R37" i="45"/>
  <c r="R42" i="45"/>
  <c r="S40" i="45"/>
  <c r="S11" i="45"/>
  <c r="S23" i="45"/>
  <c r="S26" i="45"/>
  <c r="S33" i="45"/>
  <c r="S37" i="45"/>
  <c r="S42" i="45"/>
  <c r="T40" i="45"/>
  <c r="T9" i="45"/>
  <c r="T11" i="45"/>
  <c r="V40" i="45"/>
  <c r="V9" i="45"/>
  <c r="V11" i="45"/>
  <c r="V23" i="45"/>
  <c r="V26" i="45"/>
  <c r="V42" i="45"/>
  <c r="H31" i="35"/>
  <c r="H14" i="35"/>
  <c r="H15" i="35"/>
  <c r="H16" i="35"/>
  <c r="H17" i="35"/>
  <c r="H33" i="35"/>
  <c r="G14" i="35"/>
  <c r="G15" i="35"/>
  <c r="G16" i="35"/>
  <c r="G17" i="35"/>
  <c r="G33" i="35"/>
  <c r="F14" i="35"/>
  <c r="F16" i="35"/>
  <c r="F33" i="35"/>
  <c r="E14" i="35"/>
  <c r="E15" i="35"/>
  <c r="E16" i="35"/>
  <c r="E17" i="35"/>
  <c r="E33" i="35"/>
  <c r="R35" i="8"/>
  <c r="D24" i="35"/>
  <c r="S35" i="8"/>
  <c r="E24" i="35"/>
  <c r="J20" i="35"/>
  <c r="J26" i="35"/>
  <c r="R42" i="3"/>
  <c r="X50" i="2"/>
  <c r="W50" i="2"/>
  <c r="V50" i="2"/>
  <c r="T50" i="2"/>
  <c r="S50" i="2"/>
  <c r="R50" i="2"/>
  <c r="F40" i="34"/>
  <c r="X38" i="44"/>
  <c r="X36" i="5"/>
  <c r="W36" i="5"/>
  <c r="V36" i="5"/>
  <c r="U36" i="5"/>
  <c r="T36" i="5"/>
  <c r="S36" i="5"/>
  <c r="R36" i="5"/>
  <c r="P11" i="5"/>
  <c r="P24" i="5"/>
  <c r="P27" i="5"/>
  <c r="P34" i="5"/>
  <c r="Q32" i="5"/>
  <c r="Q11" i="5"/>
  <c r="Q24" i="5"/>
  <c r="Q27" i="5"/>
  <c r="Q34" i="5"/>
  <c r="Q36" i="5"/>
  <c r="P36" i="5"/>
  <c r="X42" i="3"/>
  <c r="A31" i="33"/>
  <c r="A29" i="33"/>
  <c r="A28" i="33"/>
  <c r="A26" i="33"/>
  <c r="A18" i="33"/>
  <c r="B36" i="34"/>
  <c r="B30" i="35"/>
  <c r="B28" i="33"/>
  <c r="I14" i="33"/>
  <c r="H14" i="33"/>
  <c r="G14" i="33"/>
  <c r="E6" i="35"/>
  <c r="E7" i="35"/>
  <c r="E8" i="35"/>
  <c r="E9" i="35"/>
  <c r="E7" i="33"/>
  <c r="D6" i="35"/>
  <c r="D7" i="35"/>
  <c r="D8" i="35"/>
  <c r="D9" i="35"/>
  <c r="D7" i="33"/>
  <c r="E14" i="33"/>
  <c r="E13" i="33"/>
  <c r="E15" i="33"/>
  <c r="Q10" i="4"/>
  <c r="C6" i="35"/>
  <c r="Q11" i="8"/>
  <c r="C8" i="35"/>
  <c r="C9" i="35"/>
  <c r="C7" i="33"/>
  <c r="Q24" i="4"/>
  <c r="C14" i="35"/>
  <c r="Q23" i="8"/>
  <c r="C16" i="35"/>
  <c r="C17" i="35"/>
  <c r="C14" i="33"/>
  <c r="Q19" i="1"/>
  <c r="Q21" i="1"/>
  <c r="Q22" i="1"/>
  <c r="Q23" i="1"/>
  <c r="Q29" i="1"/>
  <c r="C17" i="34"/>
  <c r="Q24" i="44"/>
  <c r="C18" i="34"/>
  <c r="N22" i="2"/>
  <c r="O22" i="2"/>
  <c r="P22" i="2"/>
  <c r="Q22" i="2"/>
  <c r="Q30" i="2"/>
  <c r="C19" i="34"/>
  <c r="Q24" i="3"/>
  <c r="C20" i="34"/>
  <c r="C21" i="34"/>
  <c r="Q23" i="7"/>
  <c r="C22" i="34"/>
  <c r="C23" i="34"/>
  <c r="C13" i="33"/>
  <c r="C15" i="33"/>
  <c r="P10" i="4"/>
  <c r="B6" i="35"/>
  <c r="P11" i="8"/>
  <c r="B8" i="35"/>
  <c r="B9" i="35"/>
  <c r="B7" i="33"/>
  <c r="P24" i="4"/>
  <c r="B14" i="35"/>
  <c r="P23" i="8"/>
  <c r="B16" i="35"/>
  <c r="B17" i="35"/>
  <c r="B14" i="33"/>
  <c r="P22" i="1"/>
  <c r="P29" i="1"/>
  <c r="P24" i="44"/>
  <c r="B18" i="34"/>
  <c r="B17" i="34"/>
  <c r="P18" i="2"/>
  <c r="P20" i="2"/>
  <c r="P30" i="2"/>
  <c r="B19" i="34"/>
  <c r="P24" i="3"/>
  <c r="B20" i="34"/>
  <c r="B21" i="34"/>
  <c r="P23" i="7"/>
  <c r="B22" i="34"/>
  <c r="B23" i="34"/>
  <c r="B13" i="33"/>
  <c r="B15" i="33"/>
  <c r="D14" i="35"/>
  <c r="D15" i="35"/>
  <c r="D16" i="35"/>
  <c r="D17" i="35"/>
  <c r="D14" i="33"/>
  <c r="D17" i="34"/>
  <c r="D18" i="34"/>
  <c r="D19" i="34"/>
  <c r="D20" i="34"/>
  <c r="D21" i="34"/>
  <c r="D23" i="34"/>
  <c r="D13" i="33"/>
  <c r="D15" i="33"/>
  <c r="G13" i="33"/>
  <c r="G15" i="33"/>
  <c r="H13" i="33"/>
  <c r="H15" i="33"/>
  <c r="I13" i="33"/>
  <c r="I15" i="33"/>
  <c r="E8" i="3"/>
  <c r="F8" i="3"/>
  <c r="G8" i="3"/>
  <c r="H8" i="3"/>
  <c r="I8" i="3"/>
  <c r="J8" i="3"/>
  <c r="K8" i="3"/>
  <c r="L8" i="3"/>
  <c r="M8" i="3"/>
  <c r="N8" i="3"/>
  <c r="O8" i="3"/>
  <c r="P8" i="3"/>
  <c r="Q8" i="3"/>
  <c r="E6" i="33"/>
  <c r="E8" i="33"/>
  <c r="E18" i="33"/>
  <c r="Q14" i="1"/>
  <c r="Q12" i="44"/>
  <c r="C7" i="34"/>
  <c r="C6" i="34"/>
  <c r="Q10" i="2"/>
  <c r="Q12" i="2"/>
  <c r="C8" i="34"/>
  <c r="Q12" i="3"/>
  <c r="C9" i="34"/>
  <c r="C10" i="34"/>
  <c r="Q11" i="7"/>
  <c r="C11" i="34"/>
  <c r="C12" i="34"/>
  <c r="C6" i="33"/>
  <c r="C8" i="33"/>
  <c r="C18" i="33"/>
  <c r="P14" i="1"/>
  <c r="P12" i="44"/>
  <c r="B6" i="34"/>
  <c r="B7" i="34"/>
  <c r="P12" i="2"/>
  <c r="B8" i="34"/>
  <c r="P12" i="3"/>
  <c r="B9" i="34"/>
  <c r="B10" i="34"/>
  <c r="P11" i="7"/>
  <c r="B11" i="34"/>
  <c r="B12" i="34"/>
  <c r="B6" i="33"/>
  <c r="B8" i="33"/>
  <c r="B18" i="33"/>
  <c r="D6" i="33"/>
  <c r="D8" i="33"/>
  <c r="D18" i="33"/>
  <c r="T34" i="45"/>
  <c r="P32" i="1"/>
  <c r="P41" i="1"/>
  <c r="P43" i="1"/>
  <c r="P51" i="1"/>
  <c r="Q47" i="1"/>
  <c r="Q32" i="1"/>
  <c r="Q41" i="1"/>
  <c r="Q43" i="1"/>
  <c r="Q51" i="1"/>
  <c r="Q27" i="3"/>
  <c r="P27" i="3"/>
  <c r="P40" i="3"/>
  <c r="Q36" i="3"/>
  <c r="Q40" i="3"/>
  <c r="Q32" i="2"/>
  <c r="Q42" i="2"/>
  <c r="P32" i="2"/>
  <c r="P42" i="2"/>
  <c r="P48" i="2"/>
  <c r="Q46" i="2"/>
  <c r="Q48" i="2"/>
  <c r="P31" i="7"/>
  <c r="P26" i="7"/>
  <c r="P34" i="7"/>
  <c r="P40" i="7"/>
  <c r="Q38" i="7"/>
  <c r="Q26" i="7"/>
  <c r="Q31" i="7"/>
  <c r="Q34" i="7"/>
  <c r="Q40" i="7"/>
  <c r="P27" i="4"/>
  <c r="P37" i="4"/>
  <c r="P38" i="4"/>
  <c r="P40" i="4"/>
  <c r="P46" i="4"/>
  <c r="Q44" i="4"/>
  <c r="Q27" i="4"/>
  <c r="Q37" i="4"/>
  <c r="Q38" i="4"/>
  <c r="Q40" i="4"/>
  <c r="Q46" i="4"/>
  <c r="P26" i="8"/>
  <c r="P34" i="8"/>
  <c r="P38" i="8"/>
  <c r="P43" i="8"/>
  <c r="Q41" i="8"/>
  <c r="Q26" i="8"/>
  <c r="Q34" i="8"/>
  <c r="Q38" i="8"/>
  <c r="Q43" i="8"/>
  <c r="E36" i="34"/>
  <c r="E30" i="35"/>
  <c r="E28" i="33"/>
  <c r="D36" i="34"/>
  <c r="D30" i="35"/>
  <c r="D28" i="33"/>
  <c r="P27" i="44"/>
  <c r="P36" i="44"/>
  <c r="Q32" i="44"/>
  <c r="C36" i="34"/>
  <c r="C30" i="35"/>
  <c r="C28" i="33"/>
  <c r="G22" i="33"/>
  <c r="E29" i="33"/>
  <c r="E31" i="33"/>
  <c r="D31" i="35"/>
  <c r="D29" i="33"/>
  <c r="D31" i="33"/>
  <c r="E22" i="33"/>
  <c r="E24" i="33"/>
  <c r="Q27" i="44"/>
  <c r="Q36" i="44"/>
  <c r="C37" i="34"/>
  <c r="C31" i="35"/>
  <c r="C29" i="33"/>
  <c r="C31" i="33"/>
  <c r="Q40" i="2"/>
  <c r="Q32" i="7"/>
  <c r="C30" i="34"/>
  <c r="Q35" i="8"/>
  <c r="C24" i="35"/>
  <c r="C22" i="33"/>
  <c r="C24" i="33"/>
  <c r="P40" i="2"/>
  <c r="P32" i="7"/>
  <c r="B30" i="34"/>
  <c r="P35" i="8"/>
  <c r="B24" i="35"/>
  <c r="B22" i="33"/>
  <c r="B24" i="33"/>
  <c r="B37" i="34"/>
  <c r="B31" i="35"/>
  <c r="B29" i="33"/>
  <c r="B31" i="33"/>
  <c r="D22" i="33"/>
  <c r="D24" i="33"/>
  <c r="F6" i="35"/>
  <c r="F7" i="35"/>
  <c r="F8" i="35"/>
  <c r="G36" i="34"/>
  <c r="G28" i="33"/>
  <c r="G7" i="35"/>
  <c r="G8" i="35"/>
  <c r="G9" i="35"/>
  <c r="G7" i="33"/>
  <c r="G7" i="34"/>
  <c r="G8" i="34"/>
  <c r="G9" i="34"/>
  <c r="G10" i="34"/>
  <c r="G11" i="34"/>
  <c r="H30" i="35"/>
  <c r="H6" i="35"/>
  <c r="H7" i="35"/>
  <c r="H8" i="35"/>
  <c r="H9" i="35"/>
  <c r="H7" i="33"/>
  <c r="H7" i="34"/>
  <c r="H8" i="34"/>
  <c r="H9" i="34"/>
  <c r="H10" i="34"/>
  <c r="H11" i="34"/>
  <c r="I6" i="35"/>
  <c r="I7" i="35"/>
  <c r="I8" i="35"/>
  <c r="I9" i="35"/>
  <c r="I7" i="33"/>
  <c r="I7" i="34"/>
  <c r="I9" i="34"/>
  <c r="I10" i="34"/>
  <c r="I11" i="34"/>
  <c r="I30" i="35"/>
  <c r="G10" i="4"/>
  <c r="H10" i="4"/>
  <c r="I37" i="4"/>
  <c r="J37" i="4"/>
  <c r="K37" i="4"/>
  <c r="M37" i="4"/>
  <c r="N37" i="4"/>
  <c r="O37" i="4"/>
  <c r="B8" i="4"/>
  <c r="B10" i="4"/>
  <c r="B24" i="4"/>
  <c r="B27" i="4"/>
  <c r="B46" i="4"/>
  <c r="C44" i="4"/>
  <c r="C8" i="4"/>
  <c r="C10" i="4"/>
  <c r="C24" i="4"/>
  <c r="C27" i="4"/>
  <c r="C51" i="4"/>
  <c r="D10" i="4"/>
  <c r="D24" i="4"/>
  <c r="D27" i="4"/>
  <c r="E10" i="4"/>
  <c r="E24" i="4"/>
  <c r="E27" i="4"/>
  <c r="F10" i="4"/>
  <c r="F24" i="4"/>
  <c r="F27" i="4"/>
  <c r="B51" i="4"/>
  <c r="I10" i="4"/>
  <c r="G24" i="4"/>
  <c r="G27" i="4"/>
  <c r="G46" i="4"/>
  <c r="J10" i="4"/>
  <c r="C46" i="4"/>
  <c r="D44" i="4"/>
  <c r="D46" i="4"/>
  <c r="E44" i="4"/>
  <c r="E46" i="4"/>
  <c r="D51" i="4"/>
  <c r="L10" i="4"/>
  <c r="G51" i="4"/>
  <c r="H44" i="4"/>
  <c r="H24" i="4"/>
  <c r="H27" i="4"/>
  <c r="H46" i="4"/>
  <c r="K10" i="4"/>
  <c r="I24" i="4"/>
  <c r="I27" i="4"/>
  <c r="I40" i="4"/>
  <c r="I44" i="4"/>
  <c r="I46" i="4"/>
  <c r="H51" i="4"/>
  <c r="M10" i="4"/>
  <c r="N10" i="4"/>
  <c r="E51" i="4"/>
  <c r="F44" i="4"/>
  <c r="F46" i="4"/>
  <c r="F51" i="4"/>
  <c r="O10" i="4"/>
  <c r="J24" i="4"/>
  <c r="J27" i="4"/>
  <c r="J40" i="4"/>
  <c r="I51" i="4"/>
  <c r="J44" i="4"/>
  <c r="J46" i="4"/>
  <c r="K44" i="4"/>
  <c r="J51" i="4"/>
  <c r="K24" i="4"/>
  <c r="K27" i="4"/>
  <c r="K40" i="4"/>
  <c r="L24" i="4"/>
  <c r="L27" i="4"/>
  <c r="L40" i="4"/>
  <c r="K46" i="4"/>
  <c r="K51" i="4"/>
  <c r="L44" i="4"/>
  <c r="L46" i="4"/>
  <c r="M24" i="4"/>
  <c r="M27" i="4"/>
  <c r="M40" i="4"/>
  <c r="N24" i="4"/>
  <c r="N27" i="4"/>
  <c r="N40" i="4"/>
  <c r="M44" i="4"/>
  <c r="M46" i="4"/>
  <c r="L51" i="4"/>
  <c r="N44" i="4"/>
  <c r="N46" i="4"/>
  <c r="M51" i="4"/>
  <c r="O24" i="4"/>
  <c r="O27" i="4"/>
  <c r="O40" i="4"/>
  <c r="O44" i="4"/>
  <c r="O46" i="4"/>
  <c r="O51" i="4"/>
  <c r="N51" i="4"/>
  <c r="P51" i="4"/>
  <c r="Q51" i="4"/>
  <c r="R51" i="4"/>
  <c r="S51" i="4"/>
  <c r="T51" i="4"/>
  <c r="U51" i="4"/>
  <c r="A4" i="35"/>
  <c r="A33" i="35"/>
  <c r="A31" i="35"/>
  <c r="A30" i="35"/>
  <c r="A28" i="35"/>
  <c r="A20" i="35"/>
  <c r="A12" i="35"/>
  <c r="D20" i="35"/>
  <c r="D26" i="35"/>
  <c r="B20" i="35"/>
  <c r="C20" i="35"/>
  <c r="E20" i="35"/>
  <c r="B33" i="35"/>
  <c r="B26" i="35"/>
  <c r="C26" i="35"/>
  <c r="C33" i="35"/>
  <c r="E26" i="35"/>
  <c r="D33" i="35"/>
  <c r="F20" i="35"/>
  <c r="F26" i="35"/>
  <c r="G20" i="35"/>
  <c r="G26" i="35"/>
  <c r="I20" i="35"/>
  <c r="I26" i="35"/>
  <c r="H20" i="35"/>
  <c r="H26" i="35"/>
  <c r="P11" i="45"/>
  <c r="P23" i="45"/>
  <c r="P26" i="45"/>
  <c r="P33" i="45"/>
  <c r="P37" i="45"/>
  <c r="P42" i="45"/>
  <c r="Q11" i="45"/>
  <c r="Q23" i="45"/>
  <c r="Q26" i="45"/>
  <c r="Q33" i="45"/>
  <c r="Q37" i="45"/>
  <c r="C40" i="45"/>
  <c r="C11" i="45"/>
  <c r="C23" i="45"/>
  <c r="C26" i="45"/>
  <c r="C37" i="45"/>
  <c r="D11" i="45"/>
  <c r="D23" i="45"/>
  <c r="D26" i="45"/>
  <c r="D37" i="45"/>
  <c r="E11" i="45"/>
  <c r="E23" i="45"/>
  <c r="E26" i="45"/>
  <c r="E37" i="45"/>
  <c r="F11" i="45"/>
  <c r="F23" i="45"/>
  <c r="F26" i="45"/>
  <c r="F37" i="45"/>
  <c r="G11" i="45"/>
  <c r="G23" i="45"/>
  <c r="G26" i="45"/>
  <c r="H11" i="45"/>
  <c r="H23" i="45"/>
  <c r="H26" i="45"/>
  <c r="H37" i="45"/>
  <c r="I11" i="45"/>
  <c r="I23" i="45"/>
  <c r="I26" i="45"/>
  <c r="I37" i="45"/>
  <c r="J11" i="45"/>
  <c r="J23" i="45"/>
  <c r="J26" i="45"/>
  <c r="J37" i="45"/>
  <c r="K11" i="45"/>
  <c r="K23" i="45"/>
  <c r="K26" i="45"/>
  <c r="K33" i="45"/>
  <c r="K37" i="45"/>
  <c r="L11" i="45"/>
  <c r="L23" i="45"/>
  <c r="L26" i="45"/>
  <c r="L33" i="45"/>
  <c r="L37" i="45"/>
  <c r="M11" i="45"/>
  <c r="M23" i="45"/>
  <c r="M26" i="45"/>
  <c r="M33" i="45"/>
  <c r="M37" i="45"/>
  <c r="N11" i="45"/>
  <c r="N23" i="45"/>
  <c r="N26" i="45"/>
  <c r="N33" i="45"/>
  <c r="N37" i="45"/>
  <c r="O11" i="45"/>
  <c r="O23" i="45"/>
  <c r="O26" i="45"/>
  <c r="O33" i="45"/>
  <c r="O37" i="45"/>
  <c r="C46" i="45"/>
  <c r="B46" i="45"/>
  <c r="G37" i="45"/>
  <c r="W34" i="45"/>
  <c r="U34" i="45"/>
  <c r="S34" i="45"/>
  <c r="R34" i="45"/>
  <c r="Q34" i="45"/>
  <c r="P34" i="45"/>
  <c r="R46" i="45"/>
  <c r="C42" i="45"/>
  <c r="D40" i="45"/>
  <c r="D42" i="45"/>
  <c r="Q40" i="45"/>
  <c r="Q42" i="45"/>
  <c r="Q46" i="45"/>
  <c r="P46" i="45"/>
  <c r="E40" i="45"/>
  <c r="E42" i="45"/>
  <c r="D46" i="45"/>
  <c r="S46" i="45"/>
  <c r="F40" i="45"/>
  <c r="F42" i="45"/>
  <c r="E46" i="45"/>
  <c r="T46" i="45"/>
  <c r="G40" i="45"/>
  <c r="G42" i="45"/>
  <c r="F46" i="45"/>
  <c r="H40" i="45"/>
  <c r="H42" i="45"/>
  <c r="G46" i="45"/>
  <c r="U46" i="45"/>
  <c r="I40" i="45"/>
  <c r="I42" i="45"/>
  <c r="H46" i="45"/>
  <c r="J40" i="45"/>
  <c r="J42" i="45"/>
  <c r="I46" i="45"/>
  <c r="K40" i="45"/>
  <c r="K42" i="45"/>
  <c r="J46" i="45"/>
  <c r="L40" i="45"/>
  <c r="L42" i="45"/>
  <c r="K46" i="45"/>
  <c r="M40" i="45"/>
  <c r="M42" i="45"/>
  <c r="L46" i="45"/>
  <c r="N40" i="45"/>
  <c r="N42" i="45"/>
  <c r="M46" i="45"/>
  <c r="O40" i="45"/>
  <c r="O42" i="45"/>
  <c r="O46" i="45"/>
  <c r="N46" i="45"/>
  <c r="V128" i="1"/>
  <c r="U128" i="1"/>
  <c r="T128" i="1"/>
  <c r="S128" i="1"/>
  <c r="R128" i="1"/>
  <c r="Q128" i="1"/>
  <c r="P128" i="1"/>
  <c r="O41" i="1"/>
  <c r="H14" i="1"/>
  <c r="H29" i="1"/>
  <c r="H32" i="1"/>
  <c r="H41" i="1"/>
  <c r="H43" i="1"/>
  <c r="H51" i="1"/>
  <c r="I14" i="1"/>
  <c r="I29" i="1"/>
  <c r="I32" i="1"/>
  <c r="I41" i="1"/>
  <c r="I43" i="1"/>
  <c r="J14" i="1"/>
  <c r="J29" i="1"/>
  <c r="J32" i="1"/>
  <c r="J41" i="1"/>
  <c r="J43" i="1"/>
  <c r="K14" i="1"/>
  <c r="K29" i="1"/>
  <c r="K32" i="1"/>
  <c r="K41" i="1"/>
  <c r="K43" i="1"/>
  <c r="L14" i="1"/>
  <c r="L29" i="1"/>
  <c r="L32" i="1"/>
  <c r="L41" i="1"/>
  <c r="L43" i="1"/>
  <c r="M14" i="1"/>
  <c r="M24" i="1"/>
  <c r="M29" i="1"/>
  <c r="M32" i="1"/>
  <c r="M41" i="1"/>
  <c r="M43" i="1"/>
  <c r="N14" i="1"/>
  <c r="N29" i="1"/>
  <c r="N32" i="1"/>
  <c r="N41" i="1"/>
  <c r="N43" i="1"/>
  <c r="O14" i="1"/>
  <c r="O29" i="1"/>
  <c r="O32" i="1"/>
  <c r="O43" i="1"/>
  <c r="C5" i="1"/>
  <c r="B12" i="1"/>
  <c r="C12" i="1"/>
  <c r="D12" i="1"/>
  <c r="E12" i="1"/>
  <c r="F12" i="1"/>
  <c r="C14" i="1"/>
  <c r="C29" i="1"/>
  <c r="C32" i="1"/>
  <c r="C51" i="1"/>
  <c r="D47" i="1"/>
  <c r="D14" i="1"/>
  <c r="D29" i="1"/>
  <c r="D32" i="1"/>
  <c r="E14" i="1"/>
  <c r="E29" i="1"/>
  <c r="E32" i="1"/>
  <c r="F14" i="1"/>
  <c r="F29" i="1"/>
  <c r="F32" i="1"/>
  <c r="B14" i="1"/>
  <c r="B29" i="1"/>
  <c r="B32" i="1"/>
  <c r="B51" i="1"/>
  <c r="G14" i="1"/>
  <c r="G29" i="1"/>
  <c r="G32" i="1"/>
  <c r="B55" i="1"/>
  <c r="C55" i="1"/>
  <c r="I47" i="1"/>
  <c r="I51" i="1"/>
  <c r="H55" i="1"/>
  <c r="P56" i="1"/>
  <c r="P55" i="1"/>
  <c r="D51" i="1"/>
  <c r="E47" i="1"/>
  <c r="E51" i="1"/>
  <c r="D55" i="1"/>
  <c r="I55" i="1"/>
  <c r="J47" i="1"/>
  <c r="J51" i="1"/>
  <c r="E55" i="1"/>
  <c r="F47" i="1"/>
  <c r="F51" i="1"/>
  <c r="Q56" i="1"/>
  <c r="Q55" i="1"/>
  <c r="K47" i="1"/>
  <c r="K51" i="1"/>
  <c r="J55" i="1"/>
  <c r="G47" i="1"/>
  <c r="G51" i="1"/>
  <c r="G55" i="1"/>
  <c r="F55" i="1"/>
  <c r="K55" i="1"/>
  <c r="L47" i="1"/>
  <c r="L51" i="1"/>
  <c r="M47" i="1"/>
  <c r="M51" i="1"/>
  <c r="L55" i="1"/>
  <c r="R56" i="1"/>
  <c r="R55" i="1"/>
  <c r="N47" i="1"/>
  <c r="N51" i="1"/>
  <c r="M55" i="1"/>
  <c r="S56" i="1"/>
  <c r="S55" i="1"/>
  <c r="O47" i="1"/>
  <c r="O51" i="1"/>
  <c r="O55" i="1"/>
  <c r="N55" i="1"/>
  <c r="T55" i="1"/>
  <c r="T56" i="1"/>
  <c r="K34" i="8"/>
  <c r="K11" i="8"/>
  <c r="K23" i="8"/>
  <c r="K26" i="8"/>
  <c r="K38" i="8"/>
  <c r="C41" i="8"/>
  <c r="C11" i="8"/>
  <c r="C23" i="8"/>
  <c r="C26" i="8"/>
  <c r="C38" i="8"/>
  <c r="C43" i="8"/>
  <c r="D41" i="8"/>
  <c r="D11" i="8"/>
  <c r="D23" i="8"/>
  <c r="D26" i="8"/>
  <c r="D38" i="8"/>
  <c r="D43" i="8"/>
  <c r="E11" i="8"/>
  <c r="E23" i="8"/>
  <c r="E26" i="8"/>
  <c r="E38" i="8"/>
  <c r="F11" i="8"/>
  <c r="F23" i="8"/>
  <c r="F26" i="8"/>
  <c r="F38" i="8"/>
  <c r="G11" i="8"/>
  <c r="G23" i="8"/>
  <c r="G26" i="8"/>
  <c r="H11" i="8"/>
  <c r="H23" i="8"/>
  <c r="H26" i="8"/>
  <c r="H38" i="8"/>
  <c r="I11" i="8"/>
  <c r="I23" i="8"/>
  <c r="I26" i="8"/>
  <c r="I38" i="8"/>
  <c r="J11" i="8"/>
  <c r="J23" i="8"/>
  <c r="J26" i="8"/>
  <c r="J38" i="8"/>
  <c r="L34" i="8"/>
  <c r="L11" i="8"/>
  <c r="L23" i="8"/>
  <c r="L26" i="8"/>
  <c r="L38" i="8"/>
  <c r="M34" i="8"/>
  <c r="M11" i="8"/>
  <c r="M23" i="8"/>
  <c r="M26" i="8"/>
  <c r="M38" i="8"/>
  <c r="N34" i="8"/>
  <c r="N11" i="8"/>
  <c r="N23" i="8"/>
  <c r="N26" i="8"/>
  <c r="O34" i="8"/>
  <c r="O11" i="8"/>
  <c r="O23" i="8"/>
  <c r="O26" i="8"/>
  <c r="O38" i="8"/>
  <c r="G38" i="8"/>
  <c r="B47" i="8"/>
  <c r="C47" i="8"/>
  <c r="N38" i="8"/>
  <c r="P47" i="8"/>
  <c r="E41" i="8"/>
  <c r="E43" i="8"/>
  <c r="D47" i="8"/>
  <c r="F41" i="8"/>
  <c r="F43" i="8"/>
  <c r="E47" i="8"/>
  <c r="Q47" i="8"/>
  <c r="R47" i="8"/>
  <c r="G41" i="8"/>
  <c r="G43" i="8"/>
  <c r="F47" i="8"/>
  <c r="H41" i="8"/>
  <c r="H43" i="8"/>
  <c r="G47" i="8"/>
  <c r="S47" i="8"/>
  <c r="H47" i="8"/>
  <c r="I41" i="8"/>
  <c r="I43" i="8"/>
  <c r="T47" i="8"/>
  <c r="J41" i="8"/>
  <c r="J43" i="8"/>
  <c r="I47" i="8"/>
  <c r="J47" i="8"/>
  <c r="K41" i="8"/>
  <c r="K43" i="8"/>
  <c r="U47" i="8"/>
  <c r="L41" i="8"/>
  <c r="L43" i="8"/>
  <c r="K47" i="8"/>
  <c r="M41" i="8"/>
  <c r="M43" i="8"/>
  <c r="L47" i="8"/>
  <c r="N41" i="8"/>
  <c r="N43" i="8"/>
  <c r="M47" i="8"/>
  <c r="O41" i="8"/>
  <c r="O43" i="8"/>
  <c r="O47" i="8"/>
  <c r="N47" i="8"/>
  <c r="E6" i="5"/>
  <c r="F6" i="5"/>
  <c r="G6" i="5"/>
  <c r="H6" i="5"/>
  <c r="G11" i="5"/>
  <c r="E22" i="5"/>
  <c r="F22" i="5"/>
  <c r="G22" i="5"/>
  <c r="B5" i="5"/>
  <c r="B11" i="5"/>
  <c r="B24" i="5"/>
  <c r="B27" i="5"/>
  <c r="B34" i="5"/>
  <c r="C32" i="5"/>
  <c r="C5" i="5"/>
  <c r="C11" i="5"/>
  <c r="C24" i="5"/>
  <c r="C27" i="5"/>
  <c r="C34" i="5"/>
  <c r="D32" i="5"/>
  <c r="C39" i="5"/>
  <c r="D11" i="5"/>
  <c r="D24" i="5"/>
  <c r="D27" i="5"/>
  <c r="D34" i="5"/>
  <c r="E11" i="5"/>
  <c r="E24" i="5"/>
  <c r="E27" i="5"/>
  <c r="F11" i="5"/>
  <c r="B39" i="5"/>
  <c r="E32" i="5"/>
  <c r="D39" i="5"/>
  <c r="E34" i="5"/>
  <c r="I6" i="5"/>
  <c r="H11" i="5"/>
  <c r="H24" i="5"/>
  <c r="H27" i="5"/>
  <c r="I24" i="5"/>
  <c r="F24" i="5"/>
  <c r="F27" i="5"/>
  <c r="G24" i="5"/>
  <c r="G27" i="5"/>
  <c r="G34" i="5"/>
  <c r="H32" i="5"/>
  <c r="G39" i="5"/>
  <c r="F32" i="5"/>
  <c r="F34" i="5"/>
  <c r="F39" i="5"/>
  <c r="E39" i="5"/>
  <c r="J24" i="5"/>
  <c r="J6" i="5"/>
  <c r="I11" i="5"/>
  <c r="I27" i="5"/>
  <c r="H34" i="5"/>
  <c r="I32" i="5"/>
  <c r="H39" i="5"/>
  <c r="K6" i="5"/>
  <c r="J11" i="5"/>
  <c r="J27" i="5"/>
  <c r="K24" i="5"/>
  <c r="I34" i="5"/>
  <c r="J32" i="5"/>
  <c r="I39" i="5"/>
  <c r="L24" i="5"/>
  <c r="L6" i="5"/>
  <c r="K11" i="5"/>
  <c r="K27" i="5"/>
  <c r="J34" i="5"/>
  <c r="M6" i="5"/>
  <c r="L11" i="5"/>
  <c r="L27" i="5"/>
  <c r="M24" i="5"/>
  <c r="K32" i="5"/>
  <c r="J39" i="5"/>
  <c r="K34" i="5"/>
  <c r="N24" i="5"/>
  <c r="N6" i="5"/>
  <c r="M11" i="5"/>
  <c r="M27" i="5"/>
  <c r="L32" i="5"/>
  <c r="L34" i="5"/>
  <c r="K39" i="5"/>
  <c r="M32" i="5"/>
  <c r="L39" i="5"/>
  <c r="O6" i="5"/>
  <c r="O11" i="5"/>
  <c r="N11" i="5"/>
  <c r="N27" i="5"/>
  <c r="O24" i="5"/>
  <c r="M34" i="5"/>
  <c r="N32" i="5"/>
  <c r="M39" i="5"/>
  <c r="N34" i="5"/>
  <c r="O27" i="5"/>
  <c r="O32" i="5"/>
  <c r="N39" i="5"/>
  <c r="O34" i="5"/>
  <c r="O39" i="5"/>
  <c r="P39" i="5"/>
  <c r="Q39" i="5"/>
  <c r="R39" i="5"/>
  <c r="S39" i="5"/>
  <c r="T39" i="5"/>
  <c r="U39" i="5"/>
  <c r="Q27" i="2"/>
  <c r="P27" i="2"/>
  <c r="O12" i="2"/>
  <c r="N12" i="2"/>
  <c r="M12" i="2"/>
  <c r="M19" i="2"/>
  <c r="L12" i="2"/>
  <c r="K12" i="2"/>
  <c r="J12" i="2"/>
  <c r="I12" i="2"/>
  <c r="H12" i="2"/>
  <c r="G12" i="2"/>
  <c r="E6" i="2"/>
  <c r="F6" i="2"/>
  <c r="E7" i="2"/>
  <c r="F7" i="2"/>
  <c r="E8" i="2"/>
  <c r="F8" i="2"/>
  <c r="B10" i="2"/>
  <c r="B12" i="2"/>
  <c r="B30" i="2"/>
  <c r="B32" i="2"/>
  <c r="B42" i="2"/>
  <c r="B48" i="2"/>
  <c r="C46" i="2"/>
  <c r="C10" i="2"/>
  <c r="D10" i="2"/>
  <c r="D12" i="2"/>
  <c r="D30" i="2"/>
  <c r="D32" i="2"/>
  <c r="D42" i="2"/>
  <c r="E10" i="2"/>
  <c r="F10" i="2"/>
  <c r="C12" i="2"/>
  <c r="C30" i="2"/>
  <c r="C32" i="2"/>
  <c r="C42" i="2"/>
  <c r="C48" i="2"/>
  <c r="D46" i="2"/>
  <c r="E30" i="2"/>
  <c r="F30" i="2"/>
  <c r="B53" i="2"/>
  <c r="C53" i="2"/>
  <c r="G30" i="2"/>
  <c r="F12" i="2"/>
  <c r="F32" i="2"/>
  <c r="F42" i="2"/>
  <c r="D48" i="2"/>
  <c r="E12" i="2"/>
  <c r="E32" i="2"/>
  <c r="E42" i="2"/>
  <c r="G32" i="2"/>
  <c r="G42" i="2"/>
  <c r="G48" i="2"/>
  <c r="E46" i="2"/>
  <c r="D53" i="2"/>
  <c r="H30" i="2"/>
  <c r="E48" i="2"/>
  <c r="F46" i="2"/>
  <c r="F48" i="2"/>
  <c r="F53" i="2"/>
  <c r="E53" i="2"/>
  <c r="H32" i="2"/>
  <c r="H42" i="2"/>
  <c r="H46" i="2"/>
  <c r="G53" i="2"/>
  <c r="I30" i="2"/>
  <c r="I32" i="2"/>
  <c r="I42" i="2"/>
  <c r="J30" i="2"/>
  <c r="H48" i="2"/>
  <c r="K30" i="2"/>
  <c r="I46" i="2"/>
  <c r="H53" i="2"/>
  <c r="J32" i="2"/>
  <c r="J42" i="2"/>
  <c r="I48" i="2"/>
  <c r="L30" i="2"/>
  <c r="J46" i="2"/>
  <c r="I53" i="2"/>
  <c r="K32" i="2"/>
  <c r="K42" i="2"/>
  <c r="J48" i="2"/>
  <c r="K46" i="2"/>
  <c r="J53" i="2"/>
  <c r="M30" i="2"/>
  <c r="L32" i="2"/>
  <c r="L42" i="2"/>
  <c r="K48" i="2"/>
  <c r="M32" i="2"/>
  <c r="M42" i="2"/>
  <c r="L46" i="2"/>
  <c r="K53" i="2"/>
  <c r="N30" i="2"/>
  <c r="L48" i="2"/>
  <c r="M46" i="2"/>
  <c r="M48" i="2"/>
  <c r="L53" i="2"/>
  <c r="N32" i="2"/>
  <c r="N42" i="2"/>
  <c r="O30" i="2"/>
  <c r="N46" i="2"/>
  <c r="M53" i="2"/>
  <c r="O32" i="2"/>
  <c r="O42" i="2"/>
  <c r="N48" i="2"/>
  <c r="O46" i="2"/>
  <c r="N53" i="2"/>
  <c r="O48" i="2"/>
  <c r="O53" i="2"/>
  <c r="P50" i="2"/>
  <c r="P53" i="2"/>
  <c r="Q50" i="2"/>
  <c r="Q53" i="2"/>
  <c r="R53" i="2"/>
  <c r="S53" i="2"/>
  <c r="T53" i="2"/>
  <c r="U53" i="2"/>
  <c r="F26" i="34"/>
  <c r="F32" i="34"/>
  <c r="B26" i="34"/>
  <c r="D26" i="34"/>
  <c r="C26" i="34"/>
  <c r="B32" i="34"/>
  <c r="B40" i="34"/>
  <c r="D32" i="34"/>
  <c r="C32" i="34"/>
  <c r="C40" i="34"/>
  <c r="O24" i="44"/>
  <c r="N24" i="44"/>
  <c r="M24" i="44"/>
  <c r="L24" i="44"/>
  <c r="K24" i="44"/>
  <c r="E6" i="44"/>
  <c r="F6" i="44"/>
  <c r="J24" i="44"/>
  <c r="I24" i="44"/>
  <c r="H24" i="44"/>
  <c r="G24" i="44"/>
  <c r="F10" i="44"/>
  <c r="F24" i="44"/>
  <c r="E10" i="44"/>
  <c r="E12" i="44"/>
  <c r="E18" i="44"/>
  <c r="E22" i="44"/>
  <c r="E24" i="44"/>
  <c r="E27" i="44"/>
  <c r="D10" i="44"/>
  <c r="D12" i="44"/>
  <c r="D24" i="44"/>
  <c r="D27" i="44"/>
  <c r="C10" i="44"/>
  <c r="C12" i="44"/>
  <c r="C24" i="44"/>
  <c r="C27" i="44"/>
  <c r="C36" i="44"/>
  <c r="D32" i="44"/>
  <c r="C40" i="44"/>
  <c r="B24" i="44"/>
  <c r="B40" i="44"/>
  <c r="B10" i="44"/>
  <c r="B12" i="44"/>
  <c r="B27" i="44"/>
  <c r="B36" i="44"/>
  <c r="G6" i="44"/>
  <c r="F12" i="44"/>
  <c r="F27" i="44"/>
  <c r="D36" i="44"/>
  <c r="K12" i="44"/>
  <c r="K27" i="44"/>
  <c r="L12" i="44"/>
  <c r="L27" i="44"/>
  <c r="E32" i="44"/>
  <c r="E36" i="44"/>
  <c r="D40" i="44"/>
  <c r="G12" i="44"/>
  <c r="G27" i="44"/>
  <c r="H6" i="44"/>
  <c r="F32" i="44"/>
  <c r="F36" i="44"/>
  <c r="E40" i="44"/>
  <c r="M12" i="44"/>
  <c r="M27" i="44"/>
  <c r="I6" i="44"/>
  <c r="H12" i="44"/>
  <c r="H27" i="44"/>
  <c r="H36" i="44"/>
  <c r="I32" i="44"/>
  <c r="H40" i="44"/>
  <c r="J6" i="44"/>
  <c r="J12" i="44"/>
  <c r="J27" i="44"/>
  <c r="I12" i="44"/>
  <c r="I27" i="44"/>
  <c r="N12" i="44"/>
  <c r="N27" i="44"/>
  <c r="G32" i="44"/>
  <c r="G36" i="44"/>
  <c r="G40" i="44"/>
  <c r="F40" i="44"/>
  <c r="O12" i="44"/>
  <c r="O27" i="44"/>
  <c r="I36" i="44"/>
  <c r="J32" i="44"/>
  <c r="J36" i="44"/>
  <c r="I40" i="44"/>
  <c r="K32" i="44"/>
  <c r="K36" i="44"/>
  <c r="J40" i="44"/>
  <c r="P40" i="44"/>
  <c r="L32" i="44"/>
  <c r="L36" i="44"/>
  <c r="K40" i="44"/>
  <c r="M32" i="44"/>
  <c r="M36" i="44"/>
  <c r="L40" i="44"/>
  <c r="Q40" i="44"/>
  <c r="R40" i="44"/>
  <c r="R38" i="44"/>
  <c r="N32" i="44"/>
  <c r="N36" i="44"/>
  <c r="M40" i="44"/>
  <c r="O32" i="44"/>
  <c r="O36" i="44"/>
  <c r="O40" i="44"/>
  <c r="N40" i="44"/>
  <c r="S38" i="44"/>
  <c r="S40" i="44"/>
  <c r="T40" i="44"/>
  <c r="T38" i="44"/>
  <c r="U38" i="44"/>
  <c r="U40" i="44"/>
  <c r="V38" i="44"/>
  <c r="W38" i="44"/>
  <c r="E10" i="3"/>
  <c r="F10" i="3"/>
  <c r="E22" i="3"/>
  <c r="D10" i="3"/>
  <c r="B10" i="3"/>
  <c r="C10" i="3"/>
  <c r="E18" i="3"/>
  <c r="E24" i="3"/>
  <c r="E6" i="3"/>
  <c r="E12" i="3"/>
  <c r="E27" i="3"/>
  <c r="F6" i="3"/>
  <c r="G6" i="3"/>
  <c r="C12" i="3"/>
  <c r="C24" i="3"/>
  <c r="C27" i="3"/>
  <c r="C40" i="3"/>
  <c r="D36" i="3"/>
  <c r="D12" i="3"/>
  <c r="D24" i="3"/>
  <c r="D27" i="3"/>
  <c r="D40" i="3"/>
  <c r="F24" i="3"/>
  <c r="B12" i="3"/>
  <c r="B24" i="3"/>
  <c r="B27" i="3"/>
  <c r="B40" i="3"/>
  <c r="G24" i="3"/>
  <c r="H24" i="3"/>
  <c r="I24" i="3"/>
  <c r="J24" i="3"/>
  <c r="K24" i="3"/>
  <c r="L24" i="3"/>
  <c r="M24" i="3"/>
  <c r="N24" i="3"/>
  <c r="O24" i="3"/>
  <c r="B44" i="3"/>
  <c r="C44" i="3"/>
  <c r="E36" i="3"/>
  <c r="D44" i="3"/>
  <c r="E40" i="3"/>
  <c r="G12" i="3"/>
  <c r="G27" i="3"/>
  <c r="H6" i="3"/>
  <c r="K12" i="3"/>
  <c r="K27" i="3"/>
  <c r="F12" i="3"/>
  <c r="F27" i="3"/>
  <c r="I6" i="3"/>
  <c r="H12" i="3"/>
  <c r="H27" i="3"/>
  <c r="H40" i="3"/>
  <c r="F36" i="3"/>
  <c r="F40" i="3"/>
  <c r="E44" i="3"/>
  <c r="L12" i="3"/>
  <c r="L27" i="3"/>
  <c r="G36" i="3"/>
  <c r="G40" i="3"/>
  <c r="G44" i="3"/>
  <c r="F44" i="3"/>
  <c r="J6" i="3"/>
  <c r="J12" i="3"/>
  <c r="J27" i="3"/>
  <c r="I12" i="3"/>
  <c r="I27" i="3"/>
  <c r="I36" i="3"/>
  <c r="I40" i="3"/>
  <c r="M12" i="3"/>
  <c r="M27" i="3"/>
  <c r="H44" i="3"/>
  <c r="I44" i="3"/>
  <c r="J36" i="3"/>
  <c r="N12" i="3"/>
  <c r="N27" i="3"/>
  <c r="J40" i="3"/>
  <c r="K36" i="3"/>
  <c r="K40" i="3"/>
  <c r="J44" i="3"/>
  <c r="O12" i="3"/>
  <c r="O27" i="3"/>
  <c r="K44" i="3"/>
  <c r="L36" i="3"/>
  <c r="L40" i="3"/>
  <c r="M36" i="3"/>
  <c r="M40" i="3"/>
  <c r="L44" i="3"/>
  <c r="P42" i="3"/>
  <c r="P44" i="3"/>
  <c r="M44" i="3"/>
  <c r="N36" i="3"/>
  <c r="N40" i="3"/>
  <c r="Q42" i="3"/>
  <c r="Q44" i="3"/>
  <c r="O36" i="3"/>
  <c r="O40" i="3"/>
  <c r="O44" i="3"/>
  <c r="N44" i="3"/>
  <c r="R44" i="3"/>
  <c r="S42" i="3"/>
  <c r="S44" i="3"/>
  <c r="T44" i="3"/>
  <c r="T42" i="3"/>
  <c r="U44" i="3"/>
  <c r="V42" i="3"/>
  <c r="W42" i="3"/>
  <c r="E20" i="7"/>
  <c r="F20" i="7"/>
  <c r="G20" i="7"/>
  <c r="H20" i="7"/>
  <c r="I20" i="7"/>
  <c r="B11" i="7"/>
  <c r="B26" i="7"/>
  <c r="B40" i="7"/>
  <c r="C38" i="7"/>
  <c r="C11" i="7"/>
  <c r="C26" i="7"/>
  <c r="C40" i="7"/>
  <c r="D38" i="7"/>
  <c r="D11" i="7"/>
  <c r="D26" i="7"/>
  <c r="D40" i="7"/>
  <c r="E38" i="7"/>
  <c r="E11" i="7"/>
  <c r="I31" i="7"/>
  <c r="J31" i="7"/>
  <c r="K31" i="7"/>
  <c r="M31" i="7"/>
  <c r="O31" i="7"/>
  <c r="H31" i="7"/>
  <c r="B43" i="7"/>
  <c r="C43" i="7"/>
  <c r="D43" i="7"/>
  <c r="F44" i="7"/>
  <c r="F23" i="7"/>
  <c r="F43" i="7"/>
  <c r="G11" i="7"/>
  <c r="F11" i="7"/>
  <c r="F26" i="7"/>
  <c r="E23" i="7"/>
  <c r="G44" i="7"/>
  <c r="E26" i="7"/>
  <c r="E40" i="7"/>
  <c r="F38" i="7"/>
  <c r="F40" i="7"/>
  <c r="E43" i="7"/>
  <c r="H11" i="7"/>
  <c r="G23" i="7"/>
  <c r="G43" i="7"/>
  <c r="G26" i="7"/>
  <c r="H23" i="7"/>
  <c r="H43" i="7"/>
  <c r="I11" i="7"/>
  <c r="H44" i="7"/>
  <c r="G38" i="7"/>
  <c r="G40" i="7"/>
  <c r="F46" i="7"/>
  <c r="H26" i="7"/>
  <c r="H34" i="7"/>
  <c r="I44" i="7"/>
  <c r="H38" i="7"/>
  <c r="H40" i="7"/>
  <c r="G46" i="7"/>
  <c r="J11" i="7"/>
  <c r="I23" i="7"/>
  <c r="I43" i="7"/>
  <c r="J23" i="7"/>
  <c r="J43" i="7"/>
  <c r="K11" i="7"/>
  <c r="I38" i="7"/>
  <c r="H46" i="7"/>
  <c r="I26" i="7"/>
  <c r="I34" i="7"/>
  <c r="J44" i="7"/>
  <c r="J26" i="7"/>
  <c r="J34" i="7"/>
  <c r="L11" i="7"/>
  <c r="K23" i="7"/>
  <c r="K43" i="7"/>
  <c r="I40" i="7"/>
  <c r="K44" i="7"/>
  <c r="J38" i="7"/>
  <c r="J40" i="7"/>
  <c r="I46" i="7"/>
  <c r="L23" i="7"/>
  <c r="L43" i="7"/>
  <c r="M11" i="7"/>
  <c r="L44" i="7"/>
  <c r="L26" i="7"/>
  <c r="L34" i="7"/>
  <c r="K26" i="7"/>
  <c r="K34" i="7"/>
  <c r="M44" i="7"/>
  <c r="N11" i="7"/>
  <c r="M23" i="7"/>
  <c r="M43" i="7"/>
  <c r="K38" i="7"/>
  <c r="K40" i="7"/>
  <c r="J46" i="7"/>
  <c r="M26" i="7"/>
  <c r="M34" i="7"/>
  <c r="N44" i="7"/>
  <c r="L38" i="7"/>
  <c r="L40" i="7"/>
  <c r="K46" i="7"/>
  <c r="N23" i="7"/>
  <c r="N43" i="7"/>
  <c r="O11" i="7"/>
  <c r="N26" i="7"/>
  <c r="N34" i="7"/>
  <c r="O44" i="7"/>
  <c r="O23" i="7"/>
  <c r="O43" i="7"/>
  <c r="M38" i="7"/>
  <c r="M40" i="7"/>
  <c r="L46" i="7"/>
  <c r="P44" i="7"/>
  <c r="N38" i="7"/>
  <c r="N40" i="7"/>
  <c r="M46" i="7"/>
  <c r="O26" i="7"/>
  <c r="O34" i="7"/>
  <c r="P46" i="7"/>
  <c r="O38" i="7"/>
  <c r="O40" i="7"/>
  <c r="O46" i="7"/>
  <c r="N46" i="7"/>
  <c r="P43" i="7"/>
  <c r="Q44" i="7"/>
  <c r="R44" i="7"/>
  <c r="Q43" i="7"/>
  <c r="Q46" i="7"/>
  <c r="S44" i="7"/>
  <c r="R43" i="7"/>
  <c r="T44" i="7"/>
  <c r="S43" i="7"/>
  <c r="R46" i="7"/>
  <c r="T43" i="7"/>
  <c r="S46" i="7"/>
  <c r="U44" i="7"/>
  <c r="U43" i="7"/>
  <c r="T46" i="7"/>
  <c r="U46" i="7"/>
  <c r="L40" i="34"/>
  <c r="L26" i="34"/>
  <c r="L32" i="34"/>
  <c r="Z56" i="1"/>
  <c r="Z55" i="1"/>
  <c r="K40" i="34"/>
  <c r="K26" i="34"/>
  <c r="K32" i="34"/>
  <c r="Y56" i="1"/>
  <c r="Y55" i="1"/>
  <c r="J29" i="33"/>
  <c r="J6" i="34"/>
  <c r="J12" i="34"/>
  <c r="J6" i="33"/>
  <c r="J8" i="33"/>
  <c r="J31" i="33"/>
  <c r="J36" i="34"/>
  <c r="J28" i="33"/>
  <c r="J18" i="33"/>
  <c r="J24" i="33"/>
  <c r="J40" i="34"/>
  <c r="I40" i="34"/>
  <c r="H40" i="34"/>
  <c r="J26" i="34"/>
  <c r="J32" i="34"/>
  <c r="X55" i="1"/>
  <c r="X56" i="1"/>
  <c r="W55" i="1"/>
  <c r="G12" i="34"/>
  <c r="G6" i="33"/>
  <c r="G8" i="33"/>
  <c r="G18" i="33"/>
  <c r="G24" i="33"/>
  <c r="G29" i="33"/>
  <c r="G31" i="33"/>
  <c r="H36" i="34"/>
  <c r="H28" i="33"/>
  <c r="H6" i="34"/>
  <c r="H12" i="34"/>
  <c r="H6" i="33"/>
  <c r="H8" i="33"/>
  <c r="H18" i="33"/>
  <c r="H24" i="33"/>
  <c r="H29" i="33"/>
  <c r="H31" i="33"/>
  <c r="I6" i="34"/>
  <c r="I12" i="34"/>
  <c r="I6" i="33"/>
  <c r="I8" i="33"/>
  <c r="I18" i="33"/>
  <c r="I24" i="33"/>
  <c r="I29" i="33"/>
  <c r="I31" i="33"/>
  <c r="I36" i="34"/>
  <c r="I28" i="33"/>
  <c r="U56" i="1"/>
  <c r="U55" i="1"/>
  <c r="V56" i="1"/>
  <c r="V55" i="1"/>
  <c r="G26" i="34"/>
  <c r="G32" i="34"/>
  <c r="H26" i="34"/>
  <c r="H32" i="34"/>
  <c r="I26" i="34"/>
  <c r="I32" i="34"/>
</calcChain>
</file>

<file path=xl/sharedStrings.xml><?xml version="1.0" encoding="utf-8"?>
<sst xmlns="http://schemas.openxmlformats.org/spreadsheetml/2006/main" count="904" uniqueCount="177">
  <si>
    <t>Other Financial Sources/(Uses):</t>
    <phoneticPr fontId="0" type="noConversion"/>
  </si>
  <si>
    <t>Transfer from Operation &amp; Maintenance</t>
  </si>
  <si>
    <t>Actual</t>
  </si>
  <si>
    <t>2007-08 Actual</t>
    <phoneticPr fontId="0" type="noConversion"/>
  </si>
  <si>
    <t>Capital Projects</t>
    <phoneticPr fontId="16" type="noConversion"/>
  </si>
  <si>
    <t>TOTAL</t>
    <phoneticPr fontId="16" type="noConversion"/>
  </si>
  <si>
    <t>Debt Service Fund</t>
    <phoneticPr fontId="0" type="noConversion"/>
  </si>
  <si>
    <t>Life Safety</t>
  </si>
  <si>
    <t>TOTAL</t>
    <phoneticPr fontId="16" type="noConversion"/>
  </si>
  <si>
    <t>1993-94 Actual</t>
  </si>
  <si>
    <t>Capital Lease Retired</t>
    <phoneticPr fontId="0" type="noConversion"/>
  </si>
  <si>
    <t>Transfer of interest/ accumulated balance</t>
  </si>
  <si>
    <t xml:space="preserve"> </t>
  </si>
  <si>
    <t>Transportation Fund</t>
  </si>
  <si>
    <t>2012-13</t>
    <phoneticPr fontId="0" type="noConversion"/>
  </si>
  <si>
    <t>2001-02 Actual</t>
  </si>
  <si>
    <t>2006-07 Actual</t>
    <phoneticPr fontId="0" type="noConversion"/>
  </si>
  <si>
    <t>Debt Services</t>
    <phoneticPr fontId="0" type="noConversion"/>
  </si>
  <si>
    <t>Employee Benefits GASB 24</t>
  </si>
  <si>
    <t>Premium on bonds sold</t>
    <phoneticPr fontId="0" type="noConversion"/>
  </si>
  <si>
    <t>Accrued interest on bonds sold</t>
    <phoneticPr fontId="0" type="noConversion"/>
  </si>
  <si>
    <t>2013-14</t>
    <phoneticPr fontId="0" type="noConversion"/>
  </si>
  <si>
    <t>TOTAL</t>
  </si>
  <si>
    <t>1996-97 Actual</t>
  </si>
  <si>
    <t>Days of Fund Balance in Reserve</t>
  </si>
  <si>
    <t>Other</t>
    <phoneticPr fontId="0" type="noConversion"/>
  </si>
  <si>
    <t>Transfer to Debt Service</t>
    <phoneticPr fontId="0" type="noConversion"/>
  </si>
  <si>
    <t>Replacement Taxes</t>
  </si>
  <si>
    <t>State Aid</t>
  </si>
  <si>
    <t>Fund Balance as a Percentage of Operations and Maintenance Expenditures</t>
    <phoneticPr fontId="0" type="noConversion"/>
  </si>
  <si>
    <t>Sale from Fixed Assets</t>
  </si>
  <si>
    <t>Capital</t>
  </si>
  <si>
    <t>Educational</t>
  </si>
  <si>
    <t>2009-10</t>
  </si>
  <si>
    <t xml:space="preserve">Transfer of Interest from Debt Service </t>
    <phoneticPr fontId="0" type="noConversion"/>
  </si>
  <si>
    <t>Premium on bonds sold</t>
    <phoneticPr fontId="0" type="noConversion"/>
  </si>
  <si>
    <t>Proceeds from Bonds Issued</t>
  </si>
  <si>
    <t>Bond issuance Costs</t>
  </si>
  <si>
    <t>Fund Balance as a Percentage of Expenditures</t>
  </si>
  <si>
    <t>2010-11</t>
  </si>
  <si>
    <t>Other Financing Sources (Uses):</t>
  </si>
  <si>
    <t>End of Year-(Projected)</t>
  </si>
  <si>
    <t>Fund Balance as a Percentage of Transportation Expenditures</t>
    <phoneticPr fontId="0" type="noConversion"/>
  </si>
  <si>
    <t>Principal on bonds sold</t>
    <phoneticPr fontId="0" type="noConversion"/>
  </si>
  <si>
    <t>1992-93 Actual</t>
  </si>
  <si>
    <t xml:space="preserve"> End of Year-(Projected) </t>
  </si>
  <si>
    <t>Revenue over Expenditures or (Expenditures over Revenues)</t>
  </si>
  <si>
    <t>Fund Balance</t>
  </si>
  <si>
    <t>Beginning of Year</t>
  </si>
  <si>
    <t>State Aid (GASB 24)</t>
  </si>
  <si>
    <t>Federal Aid</t>
  </si>
  <si>
    <t>Working Cash</t>
  </si>
  <si>
    <t>TOTAL</t>
    <phoneticPr fontId="16" type="noConversion"/>
  </si>
  <si>
    <t>TOTAL</t>
    <phoneticPr fontId="16" type="noConversion"/>
  </si>
  <si>
    <t>Debt Service</t>
  </si>
  <si>
    <t>Principal on bonds sold</t>
    <phoneticPr fontId="0" type="noConversion"/>
  </si>
  <si>
    <t>1994-95 Actual</t>
  </si>
  <si>
    <t>1995-96 Actual</t>
  </si>
  <si>
    <t>2002-03 Actual</t>
  </si>
  <si>
    <t>Operating</t>
  </si>
  <si>
    <t>2003-04 Actual</t>
  </si>
  <si>
    <t>Transfer to Debt Service</t>
    <phoneticPr fontId="0" type="noConversion"/>
  </si>
  <si>
    <t>Total Debt Services</t>
    <phoneticPr fontId="0" type="noConversion"/>
  </si>
  <si>
    <t>2006-07 Actual</t>
  </si>
  <si>
    <t>1998-99 Actual</t>
  </si>
  <si>
    <t>Municipal Retirement Social Security Fund</t>
  </si>
  <si>
    <t>Employee Benefits</t>
  </si>
  <si>
    <t>Actual</t>
    <phoneticPr fontId="0" type="noConversion"/>
  </si>
  <si>
    <t>Other Interest</t>
    <phoneticPr fontId="0" type="noConversion"/>
  </si>
  <si>
    <t>2013-14</t>
    <phoneticPr fontId="0" type="noConversion"/>
  </si>
  <si>
    <t>2005-06 Actual</t>
  </si>
  <si>
    <t>2007-08</t>
  </si>
  <si>
    <t>Operations &amp; Maintenance Fund</t>
  </si>
  <si>
    <t>Other</t>
  </si>
  <si>
    <t>Revenue over Expenditures</t>
  </si>
  <si>
    <t>Excess (deficit) of Revenue over Expenditures</t>
  </si>
  <si>
    <t>Working Cash Fund</t>
  </si>
  <si>
    <t>Sale of Fixed Assets</t>
    <phoneticPr fontId="0" type="noConversion"/>
  </si>
  <si>
    <t>Transfer from O &amp; M</t>
    <phoneticPr fontId="0" type="noConversion"/>
  </si>
  <si>
    <t>Debt Retirement</t>
  </si>
  <si>
    <t>Tort Fund</t>
    <phoneticPr fontId="16" type="noConversion"/>
  </si>
  <si>
    <t>Fund Balance as a Percentage of Tort Expenditures</t>
    <phoneticPr fontId="0" type="noConversion"/>
  </si>
  <si>
    <t>Net Other Financial Sources/(Uses)</t>
  </si>
  <si>
    <t>Purchased Services</t>
  </si>
  <si>
    <t>Supplies</t>
  </si>
  <si>
    <t>Capital Outlay</t>
  </si>
  <si>
    <t>Tuition</t>
  </si>
  <si>
    <t>Capital Lease Proceeds</t>
    <phoneticPr fontId="0" type="noConversion"/>
  </si>
  <si>
    <t>Fund Balance as a Percentage of Educational Expenditures</t>
  </si>
  <si>
    <t>Net Change in Fund Balance</t>
  </si>
  <si>
    <t>2006-07</t>
  </si>
  <si>
    <t>1997-98 Actual</t>
  </si>
  <si>
    <t>Revenue:</t>
  </si>
  <si>
    <t>Real Estate Taxes</t>
  </si>
  <si>
    <t xml:space="preserve">Days of Fund Balance in Reserve </t>
  </si>
  <si>
    <t>2000-01 Actual</t>
  </si>
  <si>
    <t>Total Other Financing Sources/(Uses)</t>
  </si>
  <si>
    <t>Operating Expenditures (Education, O&amp;M, Transp.)</t>
  </si>
  <si>
    <t>Tort</t>
  </si>
  <si>
    <t>2006-07</t>
    <phoneticPr fontId="0" type="noConversion"/>
  </si>
  <si>
    <t>2007-08</t>
    <phoneticPr fontId="0" type="noConversion"/>
  </si>
  <si>
    <t>2008-09</t>
    <phoneticPr fontId="0" type="noConversion"/>
  </si>
  <si>
    <t>Expenditures:</t>
  </si>
  <si>
    <t>Salaries</t>
  </si>
  <si>
    <t>2009-10</t>
    <phoneticPr fontId="0" type="noConversion"/>
  </si>
  <si>
    <t>2010-11</t>
    <phoneticPr fontId="0" type="noConversion"/>
  </si>
  <si>
    <t>2011-12</t>
    <phoneticPr fontId="0" type="noConversion"/>
  </si>
  <si>
    <t>Accrued interest on bonds sold</t>
    <phoneticPr fontId="0" type="noConversion"/>
  </si>
  <si>
    <t>Other uses</t>
    <phoneticPr fontId="0" type="noConversion"/>
  </si>
  <si>
    <t>Prior Period Restatement</t>
  </si>
  <si>
    <t>1999-00 Actual</t>
  </si>
  <si>
    <t>2011-12</t>
  </si>
  <si>
    <t>Interest</t>
  </si>
  <si>
    <t>Local</t>
  </si>
  <si>
    <t>Transportation</t>
  </si>
  <si>
    <t>IMRF/Social Security</t>
  </si>
  <si>
    <t>Capital Lease Retired</t>
    <phoneticPr fontId="0" type="noConversion"/>
  </si>
  <si>
    <t xml:space="preserve"> Fund Balance </t>
  </si>
  <si>
    <t xml:space="preserve"> Beginning of Year </t>
  </si>
  <si>
    <t>2004-05   Actual</t>
  </si>
  <si>
    <t>Transfer of Interest</t>
  </si>
  <si>
    <t>Transfer to Capital Projects</t>
    <phoneticPr fontId="0" type="noConversion"/>
  </si>
  <si>
    <t>Capital Projects Fund</t>
    <phoneticPr fontId="16" type="noConversion"/>
  </si>
  <si>
    <t>Fund Balance as a percentage of operating expenditures</t>
  </si>
  <si>
    <t>Fire Prevention/Life Safety Fund</t>
  </si>
  <si>
    <t>Operations &amp; Maintenance</t>
  </si>
  <si>
    <t>2010-2011</t>
  </si>
  <si>
    <t>Budget</t>
  </si>
  <si>
    <t>Projection</t>
  </si>
  <si>
    <t>2012-13</t>
  </si>
  <si>
    <t>2013-14</t>
  </si>
  <si>
    <t>2014-15</t>
  </si>
  <si>
    <t>2015-16</t>
  </si>
  <si>
    <t>Sale of Debt Certificates</t>
  </si>
  <si>
    <t>2016-2017</t>
  </si>
  <si>
    <t>2016-17</t>
  </si>
  <si>
    <t>2017-18</t>
  </si>
  <si>
    <t>2017-2018</t>
  </si>
  <si>
    <t>FY15 Proj</t>
  </si>
  <si>
    <t>FY16 Proj</t>
  </si>
  <si>
    <t>FY17 Proj</t>
  </si>
  <si>
    <t>FY18 Proj</t>
  </si>
  <si>
    <t>FY10 Act</t>
  </si>
  <si>
    <t>FY11 Act</t>
  </si>
  <si>
    <t>FY12 Act</t>
  </si>
  <si>
    <t>Operating Funds</t>
  </si>
  <si>
    <t>Non-Operating Funds</t>
  </si>
  <si>
    <t>Educational Fund</t>
  </si>
  <si>
    <t>FY13 Act</t>
  </si>
  <si>
    <t>FY19 Proj</t>
  </si>
  <si>
    <t>2018-19</t>
  </si>
  <si>
    <t>2018-2019</t>
  </si>
  <si>
    <t>Pension Cost Shift</t>
  </si>
  <si>
    <t>2014-2015</t>
  </si>
  <si>
    <t>2015-2016</t>
  </si>
  <si>
    <t xml:space="preserve">      </t>
  </si>
  <si>
    <t>.</t>
  </si>
  <si>
    <t xml:space="preserve">  </t>
  </si>
  <si>
    <t>Tuition-Special Education</t>
  </si>
  <si>
    <t>2019-20</t>
  </si>
  <si>
    <t>FY14 Act</t>
  </si>
  <si>
    <t>SB16</t>
  </si>
  <si>
    <t>2019-2020</t>
  </si>
  <si>
    <t>FY20 Proj</t>
  </si>
  <si>
    <t>All Funds</t>
  </si>
  <si>
    <t>W/O the State On Behalf Pension Payment</t>
  </si>
  <si>
    <t>FY21 Proj</t>
  </si>
  <si>
    <t>2020-21</t>
  </si>
  <si>
    <t>2020-2021</t>
  </si>
  <si>
    <t>FY15 Act</t>
  </si>
  <si>
    <t>FY16 Bud</t>
  </si>
  <si>
    <t>Transfer fromEducation Fund</t>
  </si>
  <si>
    <t>X</t>
  </si>
  <si>
    <t>Fund Balance as a Percentage of IMRF/SS Expenditures</t>
  </si>
  <si>
    <r>
      <t>Transfer</t>
    </r>
    <r>
      <rPr>
        <sz val="10"/>
        <rFont val="Arial"/>
      </rPr>
      <t xml:space="preserve"> to Debt Service </t>
    </r>
  </si>
  <si>
    <t>FY16 Budget</t>
  </si>
  <si>
    <t>Fund Balance W/O State On Behalf Pension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</si>
</sst>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0.0%"/>
    <numFmt numFmtId="172" formatCode="0.00000000000000%"/>
    <numFmt numFmtId="173" formatCode="&quot;$&quot;#,##0"/>
    <numFmt numFmtId="174" formatCode="&quot;$&quot;#,##0.00;[Red]&quot;$&quot;#,##0.00"/>
    <numFmt numFmtId="175" formatCode="#,##0.00;[Red]#,##0.00"/>
  </numFmts>
  <fonts count="24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i/>
      <sz val="10"/>
      <name val="Arial"/>
    </font>
    <font>
      <u/>
      <sz val="10"/>
      <name val="Arial"/>
    </font>
    <font>
      <sz val="10"/>
      <name val="Arial"/>
    </font>
    <font>
      <b/>
      <sz val="12"/>
      <name val="Arial"/>
    </font>
    <font>
      <b/>
      <sz val="11"/>
      <name val="Arial"/>
    </font>
    <font>
      <sz val="11"/>
      <name val="Arial"/>
      <family val="2"/>
    </font>
    <font>
      <sz val="12"/>
      <name val="Arial"/>
    </font>
    <font>
      <u val="singleAccounting"/>
      <sz val="10"/>
      <name val="Arial"/>
      <family val="2"/>
    </font>
    <font>
      <u val="doubleAccounting"/>
      <sz val="10"/>
      <name val="Arial"/>
      <family val="2"/>
    </font>
    <font>
      <b/>
      <sz val="11"/>
      <name val="Arial"/>
    </font>
    <font>
      <u/>
      <sz val="11"/>
      <name val="Arial"/>
      <family val="2"/>
    </font>
    <font>
      <b/>
      <i/>
      <sz val="11"/>
      <name val="Arial"/>
    </font>
    <font>
      <sz val="8"/>
      <name val="Arial"/>
    </font>
    <font>
      <b/>
      <u/>
      <sz val="16"/>
      <name val="Arial"/>
    </font>
    <font>
      <sz val="10"/>
      <name val="Arial"/>
    </font>
    <font>
      <b/>
      <sz val="16"/>
      <name val="Arial"/>
    </font>
    <font>
      <b/>
      <sz val="22"/>
      <name val="Arial"/>
      <family val="2"/>
    </font>
    <font>
      <sz val="10"/>
      <color indexed="12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32">
    <xf numFmtId="0" fontId="0" fillId="0" borderId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1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right" wrapText="1"/>
    </xf>
    <xf numFmtId="0" fontId="5" fillId="0" borderId="0" xfId="0" quotePrefix="1" applyFont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6" fillId="0" borderId="3" xfId="0" applyNumberFormat="1" applyFont="1" applyBorder="1"/>
    <xf numFmtId="0" fontId="1" fillId="0" borderId="0" xfId="0" applyFont="1"/>
    <xf numFmtId="0" fontId="6" fillId="0" borderId="0" xfId="0" applyFont="1"/>
    <xf numFmtId="165" fontId="6" fillId="0" borderId="0" xfId="0" applyNumberFormat="1" applyFont="1"/>
    <xf numFmtId="164" fontId="6" fillId="0" borderId="0" xfId="0" applyNumberFormat="1" applyFont="1"/>
    <xf numFmtId="37" fontId="6" fillId="0" borderId="0" xfId="0" applyNumberFormat="1" applyFont="1"/>
    <xf numFmtId="165" fontId="6" fillId="0" borderId="0" xfId="0" applyNumberFormat="1" applyFont="1" applyAlignment="1">
      <alignment wrapText="1"/>
    </xf>
    <xf numFmtId="165" fontId="6" fillId="0" borderId="0" xfId="0" applyNumberFormat="1" applyFont="1" applyBorder="1"/>
    <xf numFmtId="170" fontId="6" fillId="0" borderId="0" xfId="1" applyNumberFormat="1" applyFont="1" applyBorder="1"/>
    <xf numFmtId="37" fontId="6" fillId="0" borderId="0" xfId="0" applyNumberFormat="1" applyFont="1" applyBorder="1"/>
    <xf numFmtId="37" fontId="6" fillId="0" borderId="4" xfId="0" applyNumberFormat="1" applyFont="1" applyBorder="1"/>
    <xf numFmtId="165" fontId="6" fillId="0" borderId="0" xfId="0" quotePrefix="1" applyNumberFormat="1" applyFont="1" applyAlignment="1">
      <alignment horizontal="left" wrapText="1"/>
    </xf>
    <xf numFmtId="170" fontId="6" fillId="0" borderId="3" xfId="1" applyNumberFormat="1" applyFont="1" applyBorder="1"/>
    <xf numFmtId="165" fontId="6" fillId="0" borderId="2" xfId="0" applyNumberFormat="1" applyFont="1" applyBorder="1"/>
    <xf numFmtId="0" fontId="6" fillId="0" borderId="0" xfId="0" quotePrefix="1" applyFont="1" applyAlignment="1">
      <alignment horizontal="left"/>
    </xf>
    <xf numFmtId="169" fontId="6" fillId="0" borderId="0" xfId="2" applyNumberFormat="1" applyFont="1"/>
    <xf numFmtId="0" fontId="5" fillId="0" borderId="0" xfId="0" quotePrefix="1" applyFont="1" applyAlignment="1">
      <alignment horizontal="center" wrapText="1"/>
    </xf>
    <xf numFmtId="165" fontId="11" fillId="0" borderId="3" xfId="0" applyNumberFormat="1" applyFont="1" applyBorder="1"/>
    <xf numFmtId="165" fontId="12" fillId="0" borderId="0" xfId="0" applyNumberFormat="1" applyFont="1"/>
    <xf numFmtId="165" fontId="13" fillId="0" borderId="0" xfId="0" applyNumberFormat="1" applyFont="1" applyAlignment="1">
      <alignment wrapText="1"/>
    </xf>
    <xf numFmtId="164" fontId="6" fillId="0" borderId="0" xfId="0" applyNumberFormat="1" applyFont="1" applyBorder="1"/>
    <xf numFmtId="165" fontId="11" fillId="0" borderId="0" xfId="0" applyNumberFormat="1" applyFont="1"/>
    <xf numFmtId="165" fontId="11" fillId="0" borderId="0" xfId="0" applyNumberFormat="1" applyFont="1" applyBorder="1"/>
    <xf numFmtId="0" fontId="6" fillId="0" borderId="0" xfId="0" quotePrefix="1" applyFont="1" applyAlignment="1">
      <alignment horizontal="left" wrapText="1"/>
    </xf>
    <xf numFmtId="164" fontId="6" fillId="0" borderId="2" xfId="0" applyNumberFormat="1" applyFont="1" applyBorder="1"/>
    <xf numFmtId="165" fontId="14" fillId="0" borderId="0" xfId="0" applyNumberFormat="1" applyFont="1" applyAlignment="1">
      <alignment horizontal="right" wrapText="1"/>
    </xf>
    <xf numFmtId="165" fontId="14" fillId="0" borderId="0" xfId="0" quotePrefix="1" applyNumberFormat="1" applyFont="1" applyAlignment="1">
      <alignment horizontal="right" wrapText="1"/>
    </xf>
    <xf numFmtId="0" fontId="9" fillId="0" borderId="0" xfId="0" applyFont="1"/>
    <xf numFmtId="165" fontId="9" fillId="0" borderId="0" xfId="0" applyNumberFormat="1" applyFont="1"/>
    <xf numFmtId="37" fontId="9" fillId="0" borderId="0" xfId="0" applyNumberFormat="1" applyFont="1"/>
    <xf numFmtId="165" fontId="9" fillId="0" borderId="0" xfId="0" quotePrefix="1" applyNumberFormat="1" applyFont="1" applyAlignment="1">
      <alignment horizontal="left" wrapText="1"/>
    </xf>
    <xf numFmtId="165" fontId="14" fillId="0" borderId="0" xfId="0" applyNumberFormat="1" applyFont="1"/>
    <xf numFmtId="164" fontId="14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left" wrapText="1"/>
    </xf>
    <xf numFmtId="165" fontId="9" fillId="0" borderId="3" xfId="0" applyNumberFormat="1" applyFont="1" applyBorder="1"/>
    <xf numFmtId="164" fontId="9" fillId="0" borderId="3" xfId="0" applyNumberFormat="1" applyFont="1" applyBorder="1"/>
    <xf numFmtId="165" fontId="9" fillId="0" borderId="0" xfId="0" applyNumberFormat="1" applyFont="1" applyBorder="1"/>
    <xf numFmtId="164" fontId="9" fillId="0" borderId="0" xfId="0" applyNumberFormat="1" applyFont="1" applyBorder="1"/>
    <xf numFmtId="165" fontId="9" fillId="0" borderId="2" xfId="0" applyNumberFormat="1" applyFont="1" applyBorder="1"/>
    <xf numFmtId="0" fontId="9" fillId="0" borderId="0" xfId="0" quotePrefix="1" applyFont="1" applyAlignment="1">
      <alignment horizontal="left"/>
    </xf>
    <xf numFmtId="169" fontId="9" fillId="0" borderId="0" xfId="2" applyNumberFormat="1" applyFont="1"/>
    <xf numFmtId="165" fontId="5" fillId="0" borderId="0" xfId="0" quotePrefix="1" applyNumberFormat="1" applyFont="1" applyAlignment="1">
      <alignment horizontal="right" wrapText="1"/>
    </xf>
    <xf numFmtId="165" fontId="5" fillId="0" borderId="0" xfId="0" applyNumberFormat="1" applyFont="1" applyAlignment="1">
      <alignment horizontal="right" wrapText="1"/>
    </xf>
    <xf numFmtId="170" fontId="6" fillId="0" borderId="0" xfId="1" applyNumberFormat="1" applyFont="1"/>
    <xf numFmtId="10" fontId="6" fillId="0" borderId="0" xfId="3" applyNumberFormat="1" applyFont="1"/>
    <xf numFmtId="0" fontId="5" fillId="0" borderId="0" xfId="0" applyFont="1" applyAlignment="1">
      <alignment horizontal="center" wrapText="1"/>
    </xf>
    <xf numFmtId="169" fontId="6" fillId="0" borderId="4" xfId="2" applyNumberFormat="1" applyFont="1" applyBorder="1"/>
    <xf numFmtId="170" fontId="6" fillId="0" borderId="4" xfId="1" applyNumberFormat="1" applyFont="1" applyBorder="1"/>
    <xf numFmtId="169" fontId="6" fillId="0" borderId="3" xfId="2" applyNumberFormat="1" applyFont="1" applyBorder="1"/>
    <xf numFmtId="169" fontId="6" fillId="0" borderId="0" xfId="2" applyNumberFormat="1" applyFont="1" applyBorder="1"/>
    <xf numFmtId="169" fontId="6" fillId="0" borderId="2" xfId="2" applyNumberFormat="1" applyFont="1" applyBorder="1"/>
    <xf numFmtId="0" fontId="2" fillId="0" borderId="0" xfId="0" applyFont="1"/>
    <xf numFmtId="165" fontId="8" fillId="0" borderId="0" xfId="0" applyNumberFormat="1" applyFont="1" applyAlignment="1">
      <alignment wrapText="1"/>
    </xf>
    <xf numFmtId="0" fontId="15" fillId="0" borderId="0" xfId="0" applyFont="1"/>
    <xf numFmtId="0" fontId="8" fillId="0" borderId="0" xfId="0" applyFont="1"/>
    <xf numFmtId="165" fontId="1" fillId="0" borderId="0" xfId="0" applyNumberFormat="1" applyFont="1" applyAlignment="1">
      <alignment wrapText="1"/>
    </xf>
    <xf numFmtId="37" fontId="9" fillId="0" borderId="3" xfId="0" applyNumberFormat="1" applyFont="1" applyBorder="1"/>
    <xf numFmtId="37" fontId="9" fillId="0" borderId="3" xfId="2" applyNumberFormat="1" applyFont="1" applyBorder="1"/>
    <xf numFmtId="0" fontId="3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6" xfId="0" applyFont="1" applyBorder="1" applyAlignment="1">
      <alignment wrapText="1"/>
    </xf>
    <xf numFmtId="168" fontId="6" fillId="0" borderId="0" xfId="1" applyFont="1"/>
    <xf numFmtId="168" fontId="9" fillId="0" borderId="0" xfId="1" applyFont="1"/>
    <xf numFmtId="170" fontId="6" fillId="0" borderId="0" xfId="1" applyNumberFormat="1" applyFont="1" applyAlignment="1">
      <alignment wrapText="1"/>
    </xf>
    <xf numFmtId="169" fontId="6" fillId="0" borderId="0" xfId="0" applyNumberFormat="1" applyFont="1"/>
    <xf numFmtId="165" fontId="5" fillId="0" borderId="0" xfId="0" quotePrefix="1" applyNumberFormat="1" applyFont="1" applyAlignment="1">
      <alignment horizontal="center" wrapText="1"/>
    </xf>
    <xf numFmtId="165" fontId="3" fillId="0" borderId="0" xfId="0" applyNumberFormat="1" applyFont="1" applyAlignment="1">
      <alignment wrapText="1"/>
    </xf>
    <xf numFmtId="171" fontId="3" fillId="0" borderId="0" xfId="3" applyNumberFormat="1" applyFont="1"/>
    <xf numFmtId="171" fontId="3" fillId="0" borderId="0" xfId="3" applyNumberFormat="1" applyFont="1" applyFill="1"/>
    <xf numFmtId="165" fontId="0" fillId="0" borderId="0" xfId="0" applyNumberFormat="1"/>
    <xf numFmtId="38" fontId="6" fillId="0" borderId="0" xfId="1" applyNumberFormat="1" applyFont="1" applyBorder="1"/>
    <xf numFmtId="4" fontId="0" fillId="0" borderId="0" xfId="0" applyNumberFormat="1"/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168" fontId="3" fillId="0" borderId="0" xfId="1" applyFont="1" applyFill="1" applyAlignment="1">
      <alignment horizontal="left"/>
    </xf>
    <xf numFmtId="168" fontId="1" fillId="0" borderId="0" xfId="1" applyFont="1" applyFill="1" applyAlignment="1">
      <alignment horizontal="left"/>
    </xf>
    <xf numFmtId="168" fontId="1" fillId="0" borderId="0" xfId="1" applyFont="1" applyFill="1"/>
    <xf numFmtId="168" fontId="2" fillId="0" borderId="0" xfId="1" applyFont="1" applyFill="1"/>
    <xf numFmtId="165" fontId="3" fillId="0" borderId="0" xfId="1" applyNumberFormat="1" applyFont="1" applyFill="1" applyAlignment="1">
      <alignment horizontal="left"/>
    </xf>
    <xf numFmtId="168" fontId="3" fillId="0" borderId="0" xfId="1" applyFont="1" applyFill="1"/>
    <xf numFmtId="165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8" fontId="1" fillId="0" borderId="0" xfId="0" applyNumberFormat="1" applyFont="1" applyAlignment="1">
      <alignment horizontal="left"/>
    </xf>
    <xf numFmtId="4" fontId="3" fillId="0" borderId="0" xfId="0" applyNumberFormat="1" applyFont="1"/>
    <xf numFmtId="4" fontId="3" fillId="0" borderId="0" xfId="0" applyNumberFormat="1" applyFont="1" applyAlignment="1">
      <alignment horizontal="left"/>
    </xf>
    <xf numFmtId="171" fontId="0" fillId="0" borderId="0" xfId="3" applyNumberFormat="1" applyFont="1"/>
    <xf numFmtId="165" fontId="12" fillId="0" borderId="0" xfId="2" applyNumberFormat="1" applyFont="1"/>
    <xf numFmtId="165" fontId="11" fillId="0" borderId="0" xfId="2" applyNumberFormat="1" applyFont="1"/>
    <xf numFmtId="165" fontId="11" fillId="0" borderId="0" xfId="2" applyNumberFormat="1" applyFont="1" applyBorder="1"/>
    <xf numFmtId="171" fontId="0" fillId="0" borderId="0" xfId="3" applyNumberFormat="1" applyFont="1"/>
    <xf numFmtId="165" fontId="0" fillId="0" borderId="2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71" fontId="0" fillId="0" borderId="0" xfId="3" applyNumberFormat="1" applyFont="1"/>
    <xf numFmtId="0" fontId="17" fillId="0" borderId="0" xfId="0" applyFont="1"/>
    <xf numFmtId="0" fontId="17" fillId="0" borderId="0" xfId="0" applyFont="1" applyAlignment="1">
      <alignment wrapText="1"/>
    </xf>
    <xf numFmtId="165" fontId="6" fillId="0" borderId="0" xfId="2" applyNumberFormat="1" applyFont="1"/>
    <xf numFmtId="165" fontId="6" fillId="0" borderId="0" xfId="0" applyNumberFormat="1" applyFont="1"/>
    <xf numFmtId="165" fontId="6" fillId="0" borderId="4" xfId="1" applyNumberFormat="1" applyFont="1" applyBorder="1"/>
    <xf numFmtId="165" fontId="6" fillId="0" borderId="3" xfId="2" applyNumberFormat="1" applyFont="1" applyBorder="1"/>
    <xf numFmtId="165" fontId="6" fillId="0" borderId="0" xfId="1" applyNumberFormat="1" applyFont="1"/>
    <xf numFmtId="165" fontId="6" fillId="0" borderId="0" xfId="1" applyNumberFormat="1" applyFont="1" applyBorder="1"/>
    <xf numFmtId="165" fontId="6" fillId="0" borderId="0" xfId="0" applyNumberFormat="1" applyFont="1" applyBorder="1"/>
    <xf numFmtId="165" fontId="6" fillId="0" borderId="0" xfId="2" applyNumberFormat="1" applyFont="1" applyBorder="1"/>
    <xf numFmtId="165" fontId="6" fillId="0" borderId="3" xfId="1" applyNumberFormat="1" applyFont="1" applyBorder="1"/>
    <xf numFmtId="165" fontId="6" fillId="0" borderId="2" xfId="2" applyNumberFormat="1" applyFont="1" applyBorder="1"/>
    <xf numFmtId="165" fontId="9" fillId="0" borderId="0" xfId="0" applyNumberFormat="1" applyFont="1"/>
    <xf numFmtId="165" fontId="9" fillId="0" borderId="3" xfId="0" applyNumberFormat="1" applyFont="1" applyBorder="1"/>
    <xf numFmtId="165" fontId="9" fillId="0" borderId="3" xfId="2" applyNumberFormat="1" applyFont="1" applyBorder="1"/>
    <xf numFmtId="165" fontId="9" fillId="0" borderId="0" xfId="0" applyNumberFormat="1" applyFont="1" applyBorder="1"/>
    <xf numFmtId="165" fontId="6" fillId="0" borderId="0" xfId="0" applyNumberFormat="1" applyFont="1" applyBorder="1"/>
    <xf numFmtId="165" fontId="9" fillId="0" borderId="2" xfId="0" applyNumberFormat="1" applyFont="1" applyBorder="1"/>
    <xf numFmtId="165" fontId="9" fillId="0" borderId="0" xfId="0" applyNumberFormat="1" applyFont="1" applyAlignment="1">
      <alignment wrapText="1"/>
    </xf>
    <xf numFmtId="165" fontId="6" fillId="0" borderId="0" xfId="2" applyNumberFormat="1" applyFont="1"/>
    <xf numFmtId="165" fontId="6" fillId="0" borderId="0" xfId="0" applyNumberFormat="1" applyFont="1"/>
    <xf numFmtId="165" fontId="6" fillId="0" borderId="4" xfId="0" applyNumberFormat="1" applyFont="1" applyBorder="1"/>
    <xf numFmtId="165" fontId="6" fillId="0" borderId="3" xfId="0" applyNumberFormat="1" applyFont="1" applyBorder="1"/>
    <xf numFmtId="165" fontId="6" fillId="0" borderId="0" xfId="0" applyNumberFormat="1" applyFont="1" applyBorder="1"/>
    <xf numFmtId="165" fontId="6" fillId="0" borderId="2" xfId="0" applyNumberFormat="1" applyFont="1" applyBorder="1"/>
    <xf numFmtId="171" fontId="3" fillId="0" borderId="0" xfId="3" applyNumberFormat="1" applyFont="1"/>
    <xf numFmtId="0" fontId="6" fillId="0" borderId="0" xfId="0" quotePrefix="1" applyFont="1"/>
    <xf numFmtId="10" fontId="0" fillId="0" borderId="0" xfId="0" applyNumberFormat="1"/>
    <xf numFmtId="165" fontId="9" fillId="0" borderId="3" xfId="1" applyNumberFormat="1" applyFont="1" applyBorder="1"/>
    <xf numFmtId="168" fontId="0" fillId="0" borderId="0" xfId="0" applyNumberFormat="1"/>
    <xf numFmtId="168" fontId="18" fillId="0" borderId="0" xfId="1" applyFont="1" applyFill="1" applyAlignment="1">
      <alignment horizontal="left"/>
    </xf>
    <xf numFmtId="165" fontId="18" fillId="0" borderId="0" xfId="0" applyNumberFormat="1" applyFont="1" applyAlignment="1">
      <alignment wrapText="1"/>
    </xf>
    <xf numFmtId="165" fontId="9" fillId="0" borderId="0" xfId="1" applyNumberFormat="1" applyFont="1" applyBorder="1"/>
    <xf numFmtId="165" fontId="6" fillId="0" borderId="0" xfId="0" applyNumberFormat="1" applyFont="1" applyFill="1" applyBorder="1"/>
    <xf numFmtId="172" fontId="0" fillId="0" borderId="0" xfId="0" applyNumberFormat="1"/>
    <xf numFmtId="0" fontId="20" fillId="0" borderId="0" xfId="0" applyFont="1"/>
    <xf numFmtId="10" fontId="0" fillId="0" borderId="0" xfId="0" applyNumberFormat="1"/>
    <xf numFmtId="171" fontId="3" fillId="0" borderId="0" xfId="3" applyNumberFormat="1" applyFont="1" applyFill="1" applyBorder="1"/>
    <xf numFmtId="165" fontId="6" fillId="0" borderId="3" xfId="1" applyNumberFormat="1" applyFont="1" applyBorder="1"/>
    <xf numFmtId="165" fontId="21" fillId="0" borderId="0" xfId="0" applyNumberFormat="1" applyFont="1" applyBorder="1"/>
    <xf numFmtId="165" fontId="21" fillId="0" borderId="0" xfId="1" applyNumberFormat="1" applyFont="1" applyBorder="1"/>
    <xf numFmtId="165" fontId="21" fillId="0" borderId="0" xfId="2" applyNumberFormat="1" applyFont="1" applyBorder="1"/>
    <xf numFmtId="37" fontId="3" fillId="0" borderId="4" xfId="0" applyNumberFormat="1" applyFont="1" applyBorder="1"/>
    <xf numFmtId="165" fontId="3" fillId="0" borderId="0" xfId="0" applyNumberFormat="1" applyFont="1"/>
    <xf numFmtId="37" fontId="3" fillId="0" borderId="0" xfId="0" applyNumberFormat="1" applyFont="1"/>
    <xf numFmtId="165" fontId="3" fillId="0" borderId="3" xfId="2" applyNumberFormat="1" applyFont="1" applyBorder="1"/>
    <xf numFmtId="165" fontId="3" fillId="0" borderId="0" xfId="1" applyNumberFormat="1" applyFont="1"/>
    <xf numFmtId="165" fontId="3" fillId="0" borderId="0" xfId="1" applyNumberFormat="1" applyFont="1" applyBorder="1"/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0" fillId="0" borderId="0" xfId="0" applyFont="1"/>
    <xf numFmtId="3" fontId="5" fillId="0" borderId="0" xfId="1" applyNumberFormat="1" applyFont="1" applyAlignment="1">
      <alignment horizontal="right" wrapText="1"/>
    </xf>
    <xf numFmtId="3" fontId="5" fillId="0" borderId="0" xfId="1" applyNumberFormat="1" applyFont="1" applyAlignment="1">
      <alignment horizontal="right"/>
    </xf>
    <xf numFmtId="3" fontId="6" fillId="0" borderId="0" xfId="1" applyNumberFormat="1" applyFont="1"/>
    <xf numFmtId="3" fontId="0" fillId="0" borderId="0" xfId="1" applyNumberFormat="1" applyFont="1"/>
    <xf numFmtId="165" fontId="0" fillId="0" borderId="0" xfId="0" applyNumberFormat="1" applyFont="1" applyBorder="1"/>
    <xf numFmtId="37" fontId="0" fillId="0" borderId="0" xfId="0" applyNumberFormat="1" applyFont="1"/>
    <xf numFmtId="173" fontId="6" fillId="0" borderId="0" xfId="0" applyNumberFormat="1" applyFont="1"/>
    <xf numFmtId="173" fontId="6" fillId="0" borderId="0" xfId="2" applyNumberFormat="1" applyFont="1"/>
    <xf numFmtId="173" fontId="3" fillId="0" borderId="0" xfId="2" applyNumberFormat="1" applyFont="1"/>
    <xf numFmtId="3" fontId="5" fillId="0" borderId="0" xfId="0" quotePrefix="1" applyNumberFormat="1" applyFont="1" applyAlignment="1">
      <alignment horizontal="right" wrapText="1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5" fillId="0" borderId="0" xfId="0" quotePrefix="1" applyNumberFormat="1" applyFont="1" applyAlignment="1">
      <alignment horizontal="right"/>
    </xf>
    <xf numFmtId="3" fontId="6" fillId="0" borderId="0" xfId="0" applyNumberFormat="1" applyFont="1"/>
    <xf numFmtId="3" fontId="6" fillId="0" borderId="0" xfId="0" applyNumberFormat="1" applyFont="1" applyBorder="1"/>
    <xf numFmtId="3" fontId="6" fillId="0" borderId="0" xfId="0" quotePrefix="1" applyNumberFormat="1" applyFont="1"/>
    <xf numFmtId="173" fontId="6" fillId="0" borderId="3" xfId="0" applyNumberFormat="1" applyFont="1" applyBorder="1"/>
    <xf numFmtId="3" fontId="3" fillId="0" borderId="0" xfId="0" applyNumberFormat="1" applyFont="1"/>
    <xf numFmtId="3" fontId="6" fillId="0" borderId="4" xfId="0" applyNumberFormat="1" applyFont="1" applyBorder="1"/>
    <xf numFmtId="3" fontId="3" fillId="0" borderId="4" xfId="0" applyNumberFormat="1" applyFont="1" applyBorder="1"/>
    <xf numFmtId="173" fontId="3" fillId="0" borderId="0" xfId="0" applyNumberFormat="1" applyFont="1"/>
    <xf numFmtId="165" fontId="0" fillId="0" borderId="0" xfId="0" applyNumberFormat="1" applyFont="1"/>
    <xf numFmtId="3" fontId="0" fillId="0" borderId="0" xfId="0" applyNumberFormat="1" applyFont="1"/>
    <xf numFmtId="38" fontId="6" fillId="0" borderId="0" xfId="0" applyNumberFormat="1" applyFont="1"/>
    <xf numFmtId="38" fontId="6" fillId="0" borderId="0" xfId="2" applyNumberFormat="1" applyFont="1"/>
    <xf numFmtId="165" fontId="3" fillId="0" borderId="3" xfId="1" applyNumberFormat="1" applyFont="1" applyFill="1" applyBorder="1"/>
    <xf numFmtId="3" fontId="9" fillId="0" borderId="0" xfId="0" applyNumberFormat="1" applyFont="1"/>
    <xf numFmtId="3" fontId="9" fillId="0" borderId="0" xfId="2" applyNumberFormat="1" applyFont="1"/>
    <xf numFmtId="3" fontId="9" fillId="0" borderId="0" xfId="0" applyNumberFormat="1" applyFont="1" applyAlignment="1">
      <alignment horizontal="left" wrapText="1"/>
    </xf>
    <xf numFmtId="3" fontId="14" fillId="0" borderId="0" xfId="0" applyNumberFormat="1" applyFont="1"/>
    <xf numFmtId="3" fontId="9" fillId="0" borderId="4" xfId="0" applyNumberFormat="1" applyFont="1" applyBorder="1"/>
    <xf numFmtId="3" fontId="9" fillId="0" borderId="4" xfId="2" applyNumberFormat="1" applyFont="1" applyBorder="1"/>
    <xf numFmtId="173" fontId="9" fillId="0" borderId="0" xfId="0" applyNumberFormat="1" applyFont="1"/>
    <xf numFmtId="173" fontId="9" fillId="0" borderId="0" xfId="2" applyNumberFormat="1" applyFont="1"/>
    <xf numFmtId="3" fontId="9" fillId="0" borderId="0" xfId="0" applyNumberFormat="1" applyFont="1" applyBorder="1"/>
    <xf numFmtId="3" fontId="9" fillId="0" borderId="0" xfId="2" applyNumberFormat="1" applyFont="1" applyBorder="1"/>
    <xf numFmtId="173" fontId="0" fillId="0" borderId="0" xfId="0" applyNumberFormat="1" applyFont="1"/>
    <xf numFmtId="173" fontId="0" fillId="0" borderId="0" xfId="2" applyNumberFormat="1" applyFont="1"/>
    <xf numFmtId="38" fontId="6" fillId="0" borderId="4" xfId="2" applyNumberFormat="1" applyFont="1" applyBorder="1"/>
    <xf numFmtId="38" fontId="6" fillId="0" borderId="4" xfId="1" applyNumberFormat="1" applyFont="1" applyBorder="1"/>
    <xf numFmtId="38" fontId="3" fillId="0" borderId="4" xfId="1" applyNumberFormat="1" applyFont="1" applyBorder="1"/>
    <xf numFmtId="38" fontId="6" fillId="0" borderId="0" xfId="1" applyNumberFormat="1" applyFont="1"/>
    <xf numFmtId="38" fontId="3" fillId="0" borderId="0" xfId="0" applyNumberFormat="1" applyFont="1"/>
    <xf numFmtId="38" fontId="3" fillId="0" borderId="0" xfId="1" applyNumberFormat="1" applyFont="1" applyBorder="1"/>
    <xf numFmtId="38" fontId="6" fillId="0" borderId="4" xfId="0" applyNumberFormat="1" applyFont="1" applyBorder="1"/>
    <xf numFmtId="165" fontId="9" fillId="0" borderId="7" xfId="1" applyNumberFormat="1" applyFont="1" applyBorder="1"/>
    <xf numFmtId="37" fontId="0" fillId="0" borderId="0" xfId="0" applyNumberFormat="1" applyFont="1" applyBorder="1"/>
    <xf numFmtId="165" fontId="0" fillId="0" borderId="0" xfId="0" applyNumberFormat="1" applyFont="1" applyAlignment="1">
      <alignment wrapText="1"/>
    </xf>
    <xf numFmtId="165" fontId="0" fillId="0" borderId="3" xfId="2" applyNumberFormat="1" applyFont="1" applyBorder="1"/>
    <xf numFmtId="173" fontId="3" fillId="0" borderId="3" xfId="0" applyNumberFormat="1" applyFont="1" applyBorder="1"/>
    <xf numFmtId="38" fontId="0" fillId="0" borderId="0" xfId="0" applyNumberFormat="1" applyFont="1"/>
    <xf numFmtId="38" fontId="0" fillId="0" borderId="0" xfId="0" applyNumberFormat="1" applyFont="1" applyFill="1" applyBorder="1"/>
    <xf numFmtId="38" fontId="0" fillId="0" borderId="0" xfId="1" applyNumberFormat="1" applyFont="1"/>
    <xf numFmtId="38" fontId="0" fillId="0" borderId="0" xfId="0" applyNumberFormat="1" applyFont="1" applyAlignment="1">
      <alignment horizontal="right"/>
    </xf>
    <xf numFmtId="38" fontId="0" fillId="0" borderId="0" xfId="0" applyNumberFormat="1" applyFont="1" applyBorder="1"/>
    <xf numFmtId="38" fontId="0" fillId="0" borderId="4" xfId="0" applyNumberFormat="1" applyFont="1" applyBorder="1"/>
    <xf numFmtId="38" fontId="0" fillId="0" borderId="0" xfId="3" applyNumberFormat="1" applyFont="1"/>
    <xf numFmtId="38" fontId="6" fillId="0" borderId="3" xfId="1" applyNumberFormat="1" applyFont="1" applyBorder="1"/>
    <xf numFmtId="38" fontId="6" fillId="0" borderId="3" xfId="0" applyNumberFormat="1" applyFont="1" applyBorder="1"/>
    <xf numFmtId="38" fontId="6" fillId="0" borderId="0" xfId="0" applyNumberFormat="1" applyFont="1" applyBorder="1"/>
    <xf numFmtId="165" fontId="3" fillId="0" borderId="0" xfId="0" applyNumberFormat="1" applyFont="1" applyFill="1" applyBorder="1"/>
    <xf numFmtId="173" fontId="0" fillId="0" borderId="3" xfId="0" applyNumberFormat="1" applyFont="1" applyBorder="1"/>
    <xf numFmtId="173" fontId="0" fillId="0" borderId="0" xfId="1" applyNumberFormat="1" applyFont="1"/>
    <xf numFmtId="165" fontId="0" fillId="0" borderId="0" xfId="1" applyNumberFormat="1" applyFont="1"/>
    <xf numFmtId="165" fontId="4" fillId="0" borderId="0" xfId="0" applyNumberFormat="1" applyFont="1"/>
    <xf numFmtId="165" fontId="6" fillId="0" borderId="5" xfId="0" applyNumberFormat="1" applyFont="1" applyBorder="1"/>
    <xf numFmtId="165" fontId="1" fillId="0" borderId="0" xfId="0" applyNumberFormat="1" applyFont="1"/>
    <xf numFmtId="165" fontId="19" fillId="0" borderId="0" xfId="0" applyNumberFormat="1" applyFont="1" applyAlignment="1">
      <alignment horizontal="left"/>
    </xf>
    <xf numFmtId="165" fontId="10" fillId="0" borderId="0" xfId="0" quotePrefix="1" applyNumberFormat="1" applyFont="1" applyAlignment="1">
      <alignment horizontal="right"/>
    </xf>
    <xf numFmtId="165" fontId="0" fillId="0" borderId="0" xfId="1" applyNumberFormat="1" applyFont="1" applyBorder="1"/>
    <xf numFmtId="38" fontId="3" fillId="0" borderId="4" xfId="0" applyNumberFormat="1" applyFont="1" applyBorder="1"/>
    <xf numFmtId="38" fontId="3" fillId="0" borderId="0" xfId="0" applyNumberFormat="1" applyFont="1" applyBorder="1"/>
    <xf numFmtId="38" fontId="3" fillId="0" borderId="0" xfId="2" applyNumberFormat="1" applyFont="1"/>
    <xf numFmtId="38" fontId="6" fillId="0" borderId="3" xfId="2" applyNumberFormat="1" applyFont="1" applyBorder="1"/>
    <xf numFmtId="38" fontId="4" fillId="0" borderId="0" xfId="0" applyNumberFormat="1" applyFont="1"/>
    <xf numFmtId="38" fontId="6" fillId="0" borderId="0" xfId="3" applyNumberFormat="1" applyFont="1"/>
    <xf numFmtId="38" fontId="6" fillId="0" borderId="0" xfId="2" applyNumberFormat="1" applyFont="1" applyBorder="1"/>
    <xf numFmtId="38" fontId="6" fillId="0" borderId="0" xfId="3" applyNumberFormat="1" applyFont="1" applyBorder="1"/>
    <xf numFmtId="38" fontId="6" fillId="0" borderId="0" xfId="0" applyNumberFormat="1" applyFont="1" applyFill="1" applyBorder="1"/>
    <xf numFmtId="38" fontId="6" fillId="0" borderId="0" xfId="0" applyNumberFormat="1" applyFont="1" applyFill="1" applyBorder="1" applyAlignment="1">
      <alignment horizontal="left" indent="1"/>
    </xf>
    <xf numFmtId="38" fontId="6" fillId="0" borderId="0" xfId="0" quotePrefix="1" applyNumberFormat="1" applyFont="1" applyAlignment="1">
      <alignment horizontal="left" wrapText="1"/>
    </xf>
    <xf numFmtId="38" fontId="11" fillId="0" borderId="3" xfId="0" applyNumberFormat="1" applyFont="1" applyBorder="1"/>
    <xf numFmtId="165" fontId="3" fillId="0" borderId="0" xfId="2" applyNumberFormat="1" applyFont="1"/>
    <xf numFmtId="38" fontId="3" fillId="0" borderId="4" xfId="2" applyNumberFormat="1" applyFont="1" applyBorder="1"/>
    <xf numFmtId="3" fontId="6" fillId="0" borderId="3" xfId="0" applyNumberFormat="1" applyFont="1" applyBorder="1"/>
    <xf numFmtId="3" fontId="2" fillId="0" borderId="0" xfId="0" applyNumberFormat="1" applyFont="1"/>
    <xf numFmtId="3" fontId="8" fillId="0" borderId="0" xfId="0" applyNumberFormat="1" applyFont="1" applyAlignment="1">
      <alignment wrapText="1"/>
    </xf>
    <xf numFmtId="3" fontId="1" fillId="0" borderId="0" xfId="0" applyNumberFormat="1" applyFont="1"/>
    <xf numFmtId="3" fontId="6" fillId="0" borderId="2" xfId="0" applyNumberFormat="1" applyFont="1" applyBorder="1"/>
    <xf numFmtId="38" fontId="0" fillId="0" borderId="0" xfId="0" applyNumberFormat="1"/>
    <xf numFmtId="3" fontId="0" fillId="0" borderId="0" xfId="0" applyNumberFormat="1"/>
    <xf numFmtId="38" fontId="3" fillId="0" borderId="0" xfId="2" applyNumberFormat="1" applyFont="1" applyBorder="1"/>
    <xf numFmtId="165" fontId="3" fillId="0" borderId="3" xfId="0" applyNumberFormat="1" applyFont="1" applyBorder="1"/>
    <xf numFmtId="165" fontId="0" fillId="0" borderId="0" xfId="2" applyNumberFormat="1" applyFont="1"/>
    <xf numFmtId="165" fontId="0" fillId="0" borderId="4" xfId="1" applyNumberFormat="1" applyFont="1" applyBorder="1"/>
    <xf numFmtId="165" fontId="0" fillId="0" borderId="4" xfId="0" applyNumberFormat="1" applyFont="1" applyBorder="1"/>
    <xf numFmtId="165" fontId="0" fillId="0" borderId="0" xfId="2" applyNumberFormat="1" applyFont="1" applyBorder="1"/>
    <xf numFmtId="38" fontId="0" fillId="0" borderId="3" xfId="1" applyNumberFormat="1" applyFont="1" applyBorder="1"/>
    <xf numFmtId="165" fontId="0" fillId="0" borderId="3" xfId="0" applyNumberFormat="1" applyFont="1" applyBorder="1"/>
    <xf numFmtId="165" fontId="0" fillId="0" borderId="5" xfId="0" applyNumberFormat="1" applyFont="1" applyBorder="1"/>
    <xf numFmtId="165" fontId="0" fillId="0" borderId="2" xfId="0" applyNumberFormat="1" applyFont="1" applyBorder="1"/>
    <xf numFmtId="168" fontId="0" fillId="0" borderId="0" xfId="1" applyFont="1"/>
    <xf numFmtId="38" fontId="0" fillId="0" borderId="0" xfId="2" applyNumberFormat="1" applyFont="1"/>
    <xf numFmtId="165" fontId="0" fillId="0" borderId="7" xfId="2" applyNumberFormat="1" applyFont="1" applyBorder="1"/>
    <xf numFmtId="10" fontId="0" fillId="0" borderId="0" xfId="3" applyNumberFormat="1" applyFont="1"/>
    <xf numFmtId="38" fontId="0" fillId="0" borderId="0" xfId="0" applyNumberFormat="1" applyFont="1" applyFill="1"/>
    <xf numFmtId="38" fontId="6" fillId="0" borderId="0" xfId="2" applyNumberFormat="1" applyFont="1" applyFill="1"/>
    <xf numFmtId="38" fontId="0" fillId="0" borderId="4" xfId="1" applyNumberFormat="1" applyFont="1" applyBorder="1"/>
    <xf numFmtId="9" fontId="9" fillId="0" borderId="0" xfId="3" applyFont="1"/>
    <xf numFmtId="3" fontId="0" fillId="0" borderId="0" xfId="0" applyNumberFormat="1" applyFont="1" applyBorder="1"/>
    <xf numFmtId="4" fontId="0" fillId="0" borderId="0" xfId="0" applyNumberFormat="1" applyFont="1"/>
    <xf numFmtId="165" fontId="9" fillId="0" borderId="0" xfId="0" applyNumberFormat="1" applyFont="1" applyFill="1" applyBorder="1"/>
    <xf numFmtId="0" fontId="0" fillId="2" borderId="0" xfId="0" applyFont="1" applyFill="1"/>
    <xf numFmtId="0" fontId="6" fillId="2" borderId="0" xfId="0" applyFont="1" applyFill="1"/>
    <xf numFmtId="165" fontId="6" fillId="2" borderId="0" xfId="0" applyNumberFormat="1" applyFont="1" applyFill="1"/>
    <xf numFmtId="166" fontId="0" fillId="2" borderId="0" xfId="0" applyNumberFormat="1" applyFont="1" applyFill="1"/>
    <xf numFmtId="0" fontId="20" fillId="2" borderId="0" xfId="0" applyFont="1" applyFill="1" applyAlignment="1">
      <alignment horizontal="left"/>
    </xf>
    <xf numFmtId="10" fontId="6" fillId="2" borderId="0" xfId="0" applyNumberFormat="1" applyFont="1" applyFill="1"/>
    <xf numFmtId="38" fontId="1" fillId="0" borderId="0" xfId="0" applyNumberFormat="1" applyFont="1" applyBorder="1"/>
    <xf numFmtId="3" fontId="0" fillId="0" borderId="0" xfId="0" applyNumberFormat="1" applyAlignment="1"/>
    <xf numFmtId="3" fontId="0" fillId="0" borderId="1" xfId="0" applyNumberFormat="1" applyBorder="1" applyAlignment="1"/>
    <xf numFmtId="173" fontId="0" fillId="0" borderId="0" xfId="0" applyNumberFormat="1" applyAlignment="1"/>
    <xf numFmtId="3" fontId="0" fillId="0" borderId="0" xfId="0" applyNumberFormat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165" fontId="6" fillId="0" borderId="0" xfId="2" applyNumberFormat="1" applyFont="1" applyFill="1"/>
    <xf numFmtId="165" fontId="0" fillId="0" borderId="0" xfId="0" applyNumberFormat="1" applyFont="1" applyFill="1"/>
    <xf numFmtId="0" fontId="1" fillId="2" borderId="0" xfId="0" applyFont="1" applyFill="1"/>
    <xf numFmtId="3" fontId="0" fillId="0" borderId="0" xfId="0" applyNumberFormat="1" applyFont="1" applyFill="1"/>
    <xf numFmtId="3" fontId="0" fillId="0" borderId="0" xfId="1" applyNumberFormat="1" applyFont="1" applyFill="1"/>
    <xf numFmtId="3" fontId="0" fillId="0" borderId="0" xfId="0" applyNumberFormat="1" applyFont="1" applyFill="1" applyBorder="1"/>
    <xf numFmtId="3" fontId="0" fillId="0" borderId="4" xfId="0" applyNumberFormat="1" applyFont="1" applyBorder="1"/>
    <xf numFmtId="3" fontId="6" fillId="0" borderId="0" xfId="2" applyNumberFormat="1" applyFont="1"/>
    <xf numFmtId="3" fontId="6" fillId="0" borderId="0" xfId="2" applyNumberFormat="1" applyFont="1" applyFill="1"/>
    <xf numFmtId="3" fontId="6" fillId="0" borderId="0" xfId="2" applyNumberFormat="1" applyFont="1" applyBorder="1"/>
    <xf numFmtId="3" fontId="6" fillId="0" borderId="0" xfId="2" applyNumberFormat="1" applyFont="1" applyFill="1" applyBorder="1"/>
    <xf numFmtId="3" fontId="0" fillId="0" borderId="0" xfId="2" applyNumberFormat="1" applyFont="1" applyBorder="1"/>
    <xf numFmtId="3" fontId="6" fillId="0" borderId="4" xfId="2" applyNumberFormat="1" applyFont="1" applyBorder="1"/>
    <xf numFmtId="3" fontId="0" fillId="0" borderId="3" xfId="2" applyNumberFormat="1" applyFont="1" applyBorder="1"/>
    <xf numFmtId="3" fontId="6" fillId="0" borderId="3" xfId="2" applyNumberFormat="1" applyFont="1" applyBorder="1"/>
    <xf numFmtId="3" fontId="12" fillId="0" borderId="0" xfId="2" applyNumberFormat="1" applyFont="1"/>
    <xf numFmtId="173" fontId="6" fillId="0" borderId="3" xfId="2" applyNumberFormat="1" applyFont="1" applyBorder="1"/>
    <xf numFmtId="173" fontId="6" fillId="0" borderId="0" xfId="2" applyNumberFormat="1" applyFont="1" applyBorder="1"/>
    <xf numFmtId="165" fontId="0" fillId="0" borderId="0" xfId="0" applyNumberFormat="1" applyBorder="1"/>
    <xf numFmtId="0" fontId="0" fillId="2" borderId="0" xfId="0" applyFill="1"/>
    <xf numFmtId="10" fontId="0" fillId="2" borderId="0" xfId="0" applyNumberFormat="1" applyFill="1"/>
    <xf numFmtId="171" fontId="0" fillId="2" borderId="0" xfId="3" applyNumberFormat="1" applyFont="1" applyFill="1"/>
    <xf numFmtId="0" fontId="0" fillId="2" borderId="0" xfId="1" applyNumberFormat="1" applyFont="1" applyFill="1" applyAlignment="1"/>
    <xf numFmtId="174" fontId="6" fillId="0" borderId="0" xfId="0" applyNumberFormat="1" applyFont="1"/>
    <xf numFmtId="174" fontId="3" fillId="0" borderId="0" xfId="1" applyNumberFormat="1" applyFont="1" applyBorder="1"/>
    <xf numFmtId="174" fontId="6" fillId="0" borderId="0" xfId="1" applyNumberFormat="1" applyFont="1" applyBorder="1"/>
    <xf numFmtId="174" fontId="3" fillId="0" borderId="4" xfId="1" applyNumberFormat="1" applyFont="1" applyBorder="1"/>
    <xf numFmtId="175" fontId="6" fillId="0" borderId="0" xfId="0" applyNumberFormat="1" applyFont="1"/>
    <xf numFmtId="175" fontId="0" fillId="0" borderId="0" xfId="0" applyNumberFormat="1" applyFont="1"/>
    <xf numFmtId="175" fontId="6" fillId="0" borderId="4" xfId="0" applyNumberFormat="1" applyFont="1" applyBorder="1"/>
    <xf numFmtId="38" fontId="0" fillId="0" borderId="0" xfId="1" applyNumberFormat="1" applyFont="1" applyFill="1"/>
  </cellXfs>
  <cellStyles count="532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E3EEA"/>
      <color rgb="FFFF6FCF"/>
      <color rgb="FF8000FF"/>
      <color rgb="FF66CCFF"/>
      <color rgb="FF000080"/>
      <color rgb="FF400080"/>
      <color rgb="FF01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5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12" Type="http://schemas.openxmlformats.org/officeDocument/2006/relationships/worksheet" Target="worksheets/sheet7.xml"/><Relationship Id="rId13" Type="http://schemas.openxmlformats.org/officeDocument/2006/relationships/worksheet" Target="worksheets/sheet8.xml"/><Relationship Id="rId14" Type="http://schemas.openxmlformats.org/officeDocument/2006/relationships/worksheet" Target="worksheets/sheet9.xml"/><Relationship Id="rId15" Type="http://schemas.openxmlformats.org/officeDocument/2006/relationships/worksheet" Target="worksheets/sheet10.xml"/><Relationship Id="rId16" Type="http://schemas.openxmlformats.org/officeDocument/2006/relationships/worksheet" Target="worksheets/sheet11.xml"/><Relationship Id="rId17" Type="http://schemas.openxmlformats.org/officeDocument/2006/relationships/chartsheet" Target="chartsheets/sheet6.xml"/><Relationship Id="rId18" Type="http://schemas.openxmlformats.org/officeDocument/2006/relationships/worksheet" Target="worksheets/sheet12.xml"/><Relationship Id="rId19" Type="http://schemas.openxmlformats.org/officeDocument/2006/relationships/chartsheet" Target="chartsheets/sheet7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Operating Funds 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 Combined Fund Balance</a:t>
            </a:r>
          </a:p>
        </c:rich>
      </c:tx>
      <c:layout>
        <c:manualLayout>
          <c:xMode val="edge"/>
          <c:yMode val="edge"/>
          <c:x val="0.368148488975423"/>
          <c:y val="0.052480337764499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32195657984"/>
          <c:y val="0.253163413817158"/>
          <c:w val="0.851322867629607"/>
          <c:h val="0.6891312070101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'Operating Funds Total'!$A$40</c:f>
              <c:strCache>
                <c:ptCount val="1"/>
                <c:pt idx="0">
                  <c:v>Fund Balance as a Percentage of Expenditures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0.00148337591128337"/>
                  <c:y val="-0.01526315726219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'Operating Funds Total'!$G$3:$O$3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'Operating Funds Total'!$G$40:$O$40</c:f>
              <c:numCache>
                <c:formatCode>0.0%</c:formatCode>
                <c:ptCount val="8"/>
                <c:pt idx="0">
                  <c:v>0.537353026940709</c:v>
                </c:pt>
                <c:pt idx="1">
                  <c:v>0.557812069680423</c:v>
                </c:pt>
                <c:pt idx="2">
                  <c:v>0.487283785917094</c:v>
                </c:pt>
                <c:pt idx="3">
                  <c:v>0.455992504418726</c:v>
                </c:pt>
                <c:pt idx="4">
                  <c:v>0.396341385608285</c:v>
                </c:pt>
                <c:pt idx="5">
                  <c:v>0.343691682583049</c:v>
                </c:pt>
                <c:pt idx="6">
                  <c:v>0.27372157121063</c:v>
                </c:pt>
                <c:pt idx="7">
                  <c:v>0.19635165195796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4729144"/>
        <c:axId val="2124732264"/>
      </c:barChart>
      <c:catAx>
        <c:axId val="212472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  <a:cs typeface="Arial"/>
              </a:defRPr>
            </a:pPr>
            <a:endParaRPr lang="en-US"/>
          </a:p>
        </c:txPr>
        <c:crossAx val="2124732264"/>
        <c:crosses val="autoZero"/>
        <c:auto val="1"/>
        <c:lblAlgn val="ctr"/>
        <c:lblOffset val="100"/>
        <c:noMultiLvlLbl val="0"/>
      </c:catAx>
      <c:valAx>
        <c:axId val="2124732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Total Expenditures</a:t>
                </a:r>
              </a:p>
            </c:rich>
          </c:tx>
          <c:layout>
            <c:manualLayout>
              <c:xMode val="edge"/>
              <c:yMode val="edge"/>
              <c:x val="0.00671714476130476"/>
              <c:y val="0.43662405262759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2124729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Fund Balance as a Percentage of Educational Expenditures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Chart 2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843757363662875"/>
          <c:y val="0.133224478378105"/>
          <c:w val="0.915624263633712"/>
          <c:h val="0.7913687253634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Education!$A$55</c:f>
              <c:strCache>
                <c:ptCount val="1"/>
                <c:pt idx="0">
                  <c:v>Days of Fund Balance in Reserve </c:v>
                </c:pt>
              </c:strCache>
            </c:strRef>
          </c:tx>
          <c:invertIfNegative val="0"/>
          <c:cat>
            <c:strRef>
              <c:f>Education!$T$128:$AC$128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Education!$B$55:$V$55</c:f>
            </c:numRef>
          </c:val>
        </c:ser>
        <c:ser>
          <c:idx val="1"/>
          <c:order val="1"/>
          <c:tx>
            <c:strRef>
              <c:f>Education!$A$56</c:f>
              <c:strCache>
                <c:ptCount val="1"/>
                <c:pt idx="0">
                  <c:v>Fund Balance as a Percentage of Educational Expenditures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0148148148148148"/>
                  <c:y val="-0.02394557617907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77777777777778"/>
                  <c:y val="-0.02176870561733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340740740740742"/>
                  <c:y val="-0.0261224467408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48148148148148"/>
                  <c:y val="-0.02612244674080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92592592592594"/>
                  <c:y val="-0.03700679954947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Education!$T$128:$AC$128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Education!$T$56:$AC$56</c:f>
              <c:numCache>
                <c:formatCode>0.0%</c:formatCode>
                <c:ptCount val="8"/>
                <c:pt idx="0">
                  <c:v>0.522062381685816</c:v>
                </c:pt>
                <c:pt idx="1">
                  <c:v>0.542108874654354</c:v>
                </c:pt>
                <c:pt idx="2">
                  <c:v>0.505402764898816</c:v>
                </c:pt>
                <c:pt idx="3">
                  <c:v>0.475612806288254</c:v>
                </c:pt>
                <c:pt idx="4">
                  <c:v>0.437855476369239</c:v>
                </c:pt>
                <c:pt idx="5">
                  <c:v>0.367187083118269</c:v>
                </c:pt>
                <c:pt idx="6">
                  <c:v>0.275439542489566</c:v>
                </c:pt>
                <c:pt idx="7">
                  <c:v>0.188223211491035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150"/>
        <c:shape val="box"/>
        <c:axId val="-2112490552"/>
        <c:axId val="-2112487704"/>
        <c:axId val="0"/>
      </c:bar3DChart>
      <c:catAx>
        <c:axId val="-2112490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"/>
                <a:cs typeface="Arial"/>
              </a:defRPr>
            </a:pPr>
            <a:endParaRPr lang="en-US"/>
          </a:p>
        </c:txPr>
        <c:crossAx val="-2112487704"/>
        <c:crosses val="autoZero"/>
        <c:auto val="1"/>
        <c:lblAlgn val="ctr"/>
        <c:lblOffset val="100"/>
        <c:noMultiLvlLbl val="0"/>
      </c:catAx>
      <c:valAx>
        <c:axId val="-21124877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12490552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Fund Balance as a Percentage of Operations and Maintenance Expenditures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Chart 3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'O_&amp;_M'!$A$50</c:f>
              <c:strCache>
                <c:ptCount val="1"/>
                <c:pt idx="0">
                  <c:v>Fund Balance as a Percentage of Operations and Maintenance Expenditures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178005109354005"/>
                  <c:y val="-0.0370676676367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78005109354005"/>
                  <c:y val="-0.05233082489896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48336423115809"/>
                  <c:y val="-0.01744360829965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78005109354005"/>
                  <c:y val="-0.02834586348693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3171350241171"/>
                  <c:y val="-0.01744257816530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118668904890141"/>
                  <c:y val="-0.0130815044013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'O_&amp;_M'!$T$51:$AC$51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Budget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'O_&amp;_M'!$T$50:$AC$50</c:f>
              <c:numCache>
                <c:formatCode>0.0%</c:formatCode>
                <c:ptCount val="8"/>
                <c:pt idx="0">
                  <c:v>0.526293702860975</c:v>
                </c:pt>
                <c:pt idx="1">
                  <c:v>0.453600963636892</c:v>
                </c:pt>
                <c:pt idx="2">
                  <c:v>0.00591694729616669</c:v>
                </c:pt>
                <c:pt idx="3">
                  <c:v>-0.0161634636285975</c:v>
                </c:pt>
                <c:pt idx="4">
                  <c:v>-0.306770689836405</c:v>
                </c:pt>
                <c:pt idx="5">
                  <c:v>-0.116376894188106</c:v>
                </c:pt>
                <c:pt idx="6">
                  <c:v>0.0601445380704319</c:v>
                </c:pt>
                <c:pt idx="7">
                  <c:v>0.0996922830152573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2432728"/>
        <c:axId val="-2112429880"/>
        <c:axId val="0"/>
      </c:bar3DChart>
      <c:catAx>
        <c:axId val="-2112432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"/>
                <a:cs typeface="Arial"/>
              </a:defRPr>
            </a:pPr>
            <a:endParaRPr lang="en-US"/>
          </a:p>
        </c:txPr>
        <c:crossAx val="-2112429880"/>
        <c:crosses val="autoZero"/>
        <c:auto val="1"/>
        <c:lblAlgn val="ctr"/>
        <c:lblOffset val="100"/>
        <c:noMultiLvlLbl val="0"/>
      </c:catAx>
      <c:valAx>
        <c:axId val="-21124298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12432728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Fund Balance as a Percentage of Transportation Expenditures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Chart 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Transportation!$A$42</c:f>
              <c:strCache>
                <c:ptCount val="1"/>
                <c:pt idx="0">
                  <c:v>Fund Balance as a Percentage of Transportation Expenditures</c:v>
                </c:pt>
              </c:strCache>
            </c:strRef>
          </c:tx>
          <c:spPr>
            <a:gradFill flip="none" rotWithShape="1">
              <a:gsLst>
                <a:gs pos="0">
                  <a:srgbClr val="000090"/>
                </a:gs>
                <a:gs pos="100000">
                  <a:srgbClr val="FFFFFF"/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dLbl>
              <c:idx val="0"/>
              <c:layout>
                <c:manualLayout>
                  <c:x val="0.0162962962962963"/>
                  <c:y val="-0.04140597745819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33333333333333"/>
                  <c:y val="-0.0392268870821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77777777777778"/>
                  <c:y val="-0.03486819154374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62962962962963"/>
                  <c:y val="-0.0283305772247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48148148148148"/>
                  <c:y val="-0.01961335774335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118518518518518"/>
                  <c:y val="-0.0239718816863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Transportation!$T$131:$AC$131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Budget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Transportation!$T$42:$AC$42</c:f>
              <c:numCache>
                <c:formatCode>0.0%</c:formatCode>
                <c:ptCount val="8"/>
                <c:pt idx="0">
                  <c:v>0.385754001185949</c:v>
                </c:pt>
                <c:pt idx="1">
                  <c:v>0.607815946785111</c:v>
                </c:pt>
                <c:pt idx="2">
                  <c:v>0.464008381603994</c:v>
                </c:pt>
                <c:pt idx="3">
                  <c:v>0.451072399214226</c:v>
                </c:pt>
                <c:pt idx="4">
                  <c:v>0.417348379787611</c:v>
                </c:pt>
                <c:pt idx="5">
                  <c:v>0.366445844639711</c:v>
                </c:pt>
                <c:pt idx="6">
                  <c:v>0.300323112366415</c:v>
                </c:pt>
                <c:pt idx="7">
                  <c:v>0.219802948511939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0241512"/>
        <c:axId val="2130244360"/>
        <c:axId val="0"/>
      </c:bar3DChart>
      <c:catAx>
        <c:axId val="2130241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2130244360"/>
        <c:crosses val="autoZero"/>
        <c:auto val="1"/>
        <c:lblAlgn val="ctr"/>
        <c:lblOffset val="100"/>
        <c:noMultiLvlLbl val="0"/>
      </c:catAx>
      <c:valAx>
        <c:axId val="21302443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30241512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Working Cash 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End of Year-(Projected)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Fund Balances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Chart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Working_Cash!$A$40</c:f>
              <c:strCache>
                <c:ptCount val="1"/>
                <c:pt idx="0">
                  <c:v>End of Year-(Projected)</c:v>
                </c:pt>
              </c:strCache>
            </c:strRef>
          </c:tx>
          <c:spPr>
            <a:gradFill flip="none" rotWithShape="1">
              <a:gsLst>
                <a:gs pos="0">
                  <a:srgbClr val="008000"/>
                </a:gs>
                <a:gs pos="100000">
                  <a:srgbClr val="FFFFFF"/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dLbl>
              <c:idx val="0"/>
              <c:layout>
                <c:manualLayout>
                  <c:x val="0.00888877223680373"/>
                  <c:y val="-0.04358523942967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33333333333333"/>
                  <c:y val="-0.0305096676007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18517351997667"/>
                  <c:y val="-0.04140614905362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592592592592582"/>
                  <c:y val="-0.04140632064905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592592592592582"/>
                  <c:y val="-0.04140597745819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0888877223680373"/>
                  <c:y val="-0.04140614905362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Working_Cash!$T$78:$AC$78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Budget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Working_Cash!$T$40:$AC$40</c:f>
              <c:numCache>
                <c:formatCode>"$"#,##0_);[Red]\("$"#,##0\)</c:formatCode>
                <c:ptCount val="8"/>
                <c:pt idx="0">
                  <c:v>604661.6799999999</c:v>
                </c:pt>
                <c:pt idx="1">
                  <c:v>702907.6799999999</c:v>
                </c:pt>
                <c:pt idx="2">
                  <c:v>804191.6799999999</c:v>
                </c:pt>
                <c:pt idx="3">
                  <c:v>907896.72752</c:v>
                </c:pt>
                <c:pt idx="4">
                  <c:v>1.01267982145128E6</c:v>
                </c:pt>
                <c:pt idx="5">
                  <c:v>1.1177235112723E6</c:v>
                </c:pt>
                <c:pt idx="6">
                  <c:v>1.22571993272044E6</c:v>
                </c:pt>
                <c:pt idx="7">
                  <c:v>1.33674898437766E6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2395848"/>
        <c:axId val="-2112393000"/>
      </c:barChart>
      <c:catAx>
        <c:axId val="-2112395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112393000"/>
        <c:crosses val="autoZero"/>
        <c:auto val="1"/>
        <c:lblAlgn val="ctr"/>
        <c:lblOffset val="100"/>
        <c:noMultiLvlLbl val="0"/>
      </c:catAx>
      <c:valAx>
        <c:axId val="-21123930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12395848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Fire Prevention and Life Safety Fund Balances 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End of Year-(Projected)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Chart 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Fire_Prev!$A$43</c:f>
              <c:strCache>
                <c:ptCount val="1"/>
                <c:pt idx="0">
                  <c:v>End of Year-(Projected)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100000">
                  <a:srgbClr val="FFFFFF"/>
                </a:gs>
                <a:gs pos="50000">
                  <a:srgbClr val="FF0000"/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dLbl>
              <c:idx val="0"/>
              <c:layout>
                <c:manualLayout>
                  <c:x val="0.0177777777777778"/>
                  <c:y val="-0.02833023403386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33333333333333"/>
                  <c:y val="-0.0152548338003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48148148148149"/>
                  <c:y val="-0.01961335774335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48148148148148"/>
                  <c:y val="-0.01961335774335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22222222222222"/>
                  <c:y val="-0.039226372295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0148159813356664"/>
                  <c:y val="-0.04890761490759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Fire_Prev!$P$126:$W$126</c:f>
              <c:strCache>
                <c:ptCount val="2"/>
                <c:pt idx="0">
                  <c:v>2012-13</c:v>
                </c:pt>
                <c:pt idx="1">
                  <c:v>2013-14</c:v>
                </c:pt>
              </c:strCache>
            </c:strRef>
          </c:cat>
          <c:val>
            <c:numRef>
              <c:f>Fire_Prev!$B$43:$W$43</c:f>
              <c:numCache>
                <c:formatCode>"$"#,##0_);[Red]\("$"#,##0\)</c:formatCode>
                <c:ptCount val="2"/>
                <c:pt idx="0">
                  <c:v>180611.0</c:v>
                </c:pt>
                <c:pt idx="1">
                  <c:v>19600.0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0173320"/>
        <c:axId val="2130519000"/>
        <c:axId val="0"/>
      </c:bar3DChart>
      <c:catAx>
        <c:axId val="2130173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"/>
                <a:cs typeface="Arial"/>
              </a:defRPr>
            </a:pPr>
            <a:endParaRPr lang="en-US"/>
          </a:p>
        </c:txPr>
        <c:crossAx val="2130519000"/>
        <c:crosses val="autoZero"/>
        <c:auto val="1"/>
        <c:lblAlgn val="ctr"/>
        <c:lblOffset val="100"/>
        <c:noMultiLvlLbl val="0"/>
      </c:catAx>
      <c:valAx>
        <c:axId val="21305190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30173320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All Funds 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Combined Fund Balance</a:t>
            </a:r>
          </a:p>
          <a:p>
            <a:pPr>
              <a:defRPr>
                <a:latin typeface="Arial"/>
                <a:cs typeface="Arial"/>
              </a:defRPr>
            </a:pPr>
            <a:endParaRPr lang="en-US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67551682984461"/>
          <c:y val="0.04569600046055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2219179621"/>
          <c:y val="0.233004711639733"/>
          <c:w val="0.822222222222222"/>
          <c:h val="0.659448286331447"/>
        </c:manualLayout>
      </c:layout>
      <c:barChart>
        <c:barDir val="col"/>
        <c:grouping val="stacked"/>
        <c:varyColors val="0"/>
        <c:ser>
          <c:idx val="0"/>
          <c:order val="0"/>
          <c:tx>
            <c:v>All Funds Fund Balance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0.0"/>
                  <c:y val="-0.0174080001754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'All Funds'!$F$2:$M$3</c:f>
              <c:multiLvlStrCache>
                <c:ptCount val="6"/>
                <c:lvl>
                  <c:pt idx="0">
                    <c:v>Actual</c:v>
                  </c:pt>
                  <c:pt idx="1">
                    <c:v>Actual</c:v>
                  </c:pt>
                  <c:pt idx="2">
                    <c:v>Budget</c:v>
                  </c:pt>
                  <c:pt idx="3">
                    <c:v>Projection</c:v>
                  </c:pt>
                  <c:pt idx="4">
                    <c:v>Projection</c:v>
                  </c:pt>
                  <c:pt idx="5">
                    <c:v>Projection</c:v>
                  </c:pt>
                </c:lvl>
                <c:lvl>
                  <c:pt idx="0">
                    <c:v>2013-14</c:v>
                  </c:pt>
                  <c:pt idx="1">
                    <c:v>2014-15</c:v>
                  </c:pt>
                  <c:pt idx="2">
                    <c:v>2015-16</c:v>
                  </c:pt>
                  <c:pt idx="3">
                    <c:v>2016-17</c:v>
                  </c:pt>
                  <c:pt idx="4">
                    <c:v>2017-18</c:v>
                  </c:pt>
                  <c:pt idx="5">
                    <c:v>2018-19</c:v>
                  </c:pt>
                </c:lvl>
              </c:multiLvlStrCache>
            </c:multiLvlStrRef>
          </c:cat>
          <c:val>
            <c:numRef>
              <c:f>'All Funds'!$F$31:$M$31</c:f>
              <c:numCache>
                <c:formatCode>0.0%</c:formatCode>
                <c:ptCount val="6"/>
                <c:pt idx="0">
                  <c:v>0.542956747918521</c:v>
                </c:pt>
                <c:pt idx="1">
                  <c:v>0.554610975720065</c:v>
                </c:pt>
                <c:pt idx="2">
                  <c:v>0.497465478930316</c:v>
                </c:pt>
                <c:pt idx="3">
                  <c:v>0.470207863704565</c:v>
                </c:pt>
                <c:pt idx="4">
                  <c:v>0.41702635156819</c:v>
                </c:pt>
                <c:pt idx="5">
                  <c:v>0.376035835604802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3021672"/>
        <c:axId val="2112971128"/>
      </c:barChart>
      <c:catAx>
        <c:axId val="211302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808080"/>
            </a:solidFill>
            <a:prstDash val="solid"/>
          </a:ln>
          <a:effectLst>
            <a:outerShdw blurRad="673100" dist="38100" dir="2700000">
              <a:srgbClr val="000000">
                <a:alpha val="46000"/>
              </a:srgbClr>
            </a:outerShdw>
          </a:effectLst>
        </c:spPr>
        <c:txPr>
          <a:bodyPr/>
          <a:lstStyle/>
          <a:p>
            <a:pPr>
              <a:defRPr b="1">
                <a:latin typeface="Arial"/>
              </a:defRPr>
            </a:pPr>
            <a:endParaRPr lang="en-US"/>
          </a:p>
        </c:txPr>
        <c:crossAx val="2112971128"/>
        <c:crosses val="autoZero"/>
        <c:auto val="1"/>
        <c:lblAlgn val="ctr"/>
        <c:lblOffset val="100"/>
        <c:noMultiLvlLbl val="0"/>
      </c:catAx>
      <c:valAx>
        <c:axId val="21129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130216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0.16931</cdr:x>
      <cdr:y>0.7118</cdr:y>
    </cdr:from>
    <cdr:to>
      <cdr:x>0.96681</cdr:x>
      <cdr:y>0.71463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1451428" y="4148116"/>
          <a:ext cx="6836559" cy="1649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0.12121</cdr:x>
      <cdr:y>0.71321</cdr:y>
    </cdr:from>
    <cdr:to>
      <cdr:x>0.17124</cdr:x>
      <cdr:y>0.76699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1039091" y="4156364"/>
          <a:ext cx="428831" cy="3133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-1778000" y="-63754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-1778000" y="-63754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0.12933</cdr:x>
      <cdr:y>0.56274</cdr:y>
    </cdr:from>
    <cdr:to>
      <cdr:x>0.95094</cdr:x>
      <cdr:y>0.56415</cdr:y>
    </cdr:to>
    <cdr:sp macro="" textlink="">
      <cdr:nvSpPr>
        <cdr:cNvPr id="9" name="Straight Connector 8"/>
        <cdr:cNvSpPr/>
      </cdr:nvSpPr>
      <cdr:spPr>
        <a:xfrm xmlns:a="http://schemas.openxmlformats.org/drawingml/2006/main" flipV="1">
          <a:off x="1108022" y="3282001"/>
          <a:ext cx="7039238" cy="82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0.05325</cdr:x>
      <cdr:y>0.31375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456486" cy="1828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91440" tIns="91440" rIns="91440" bIns="9144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0.05325</cdr:x>
      <cdr:y>0.31375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456486" cy="1828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91440" tIns="91440" rIns="91440" bIns="9144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0.05325</cdr:x>
      <cdr:y>0.31375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456486" cy="1828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91440" tIns="91440" rIns="91440" bIns="9144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0.05325</cdr:x>
      <cdr:y>0.31375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456486" cy="1828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91440" tIns="91440" rIns="91440" bIns="9144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0.01441</cdr:x>
      <cdr:y>0.36738</cdr:y>
    </cdr:from>
    <cdr:to>
      <cdr:x>0.06766</cdr:x>
      <cdr:y>0.68113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01" y="2144156"/>
          <a:ext cx="456983" cy="18311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91440" tIns="91440" rIns="91440" bIns="9144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Cambria"/>
              <a:ea typeface="Cambria"/>
              <a:cs typeface="Cambria"/>
            </a:rPr>
            <a:t>Percentage of Operating Expenses</a:t>
          </a: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0.0755</cdr:x>
      <cdr:y>0.60106</cdr:y>
    </cdr:from>
    <cdr:to>
      <cdr:x>0.93382</cdr:x>
      <cdr:y>0.60162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47246" y="3506631"/>
          <a:ext cx="7357948" cy="326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4887" cy="58343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8" name="Straight Connector 7"/>
        <cdr:cNvSpPr/>
      </cdr:nvSpPr>
      <cdr:spPr>
        <a:xfrm xmlns:a="http://schemas.openxmlformats.org/drawingml/2006/main" flipV="1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4887" cy="58343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0.07888</cdr:x>
      <cdr:y>0.45235</cdr:y>
    </cdr:from>
    <cdr:to>
      <cdr:x>0.13579</cdr:x>
      <cdr:y>0.51368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76235" y="2636141"/>
          <a:ext cx="487860" cy="35743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0.13507</cdr:x>
      <cdr:y>0.45283</cdr:y>
    </cdr:from>
    <cdr:to>
      <cdr:x>0.98028</cdr:x>
      <cdr:y>0.45377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1157871" y="2638939"/>
          <a:ext cx="7245563" cy="54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9"/>
  <sheetViews>
    <sheetView view="pageLayout" topLeftCell="A13" zoomScale="150" zoomScaleNormal="150" zoomScalePageLayoutView="150" workbookViewId="0">
      <selection activeCell="O39" sqref="O39"/>
    </sheetView>
  </sheetViews>
  <sheetFormatPr baseColWidth="10" defaultColWidth="11.5" defaultRowHeight="12" x14ac:dyDescent="0"/>
  <cols>
    <col min="1" max="1" width="36.83203125" customWidth="1"/>
    <col min="2" max="3" width="13.83203125" hidden="1" customWidth="1"/>
    <col min="4" max="5" width="12.5" hidden="1" customWidth="1"/>
    <col min="6" max="6" width="13.5" hidden="1" customWidth="1"/>
    <col min="7" max="7" width="12.5" hidden="1" customWidth="1"/>
    <col min="8" max="11" width="12.5" customWidth="1"/>
    <col min="12" max="12" width="12.33203125" customWidth="1"/>
    <col min="14" max="14" width="11.5" style="141"/>
  </cols>
  <sheetData>
    <row r="1" spans="1:15" ht="18">
      <c r="A1" s="105" t="s">
        <v>145</v>
      </c>
    </row>
    <row r="2" spans="1:15">
      <c r="A2" t="s">
        <v>12</v>
      </c>
      <c r="B2" s="5" t="s">
        <v>2</v>
      </c>
      <c r="C2" s="5" t="s">
        <v>67</v>
      </c>
      <c r="D2" s="3" t="s">
        <v>33</v>
      </c>
      <c r="E2" s="3" t="s">
        <v>126</v>
      </c>
      <c r="F2" s="3" t="s">
        <v>111</v>
      </c>
      <c r="G2" s="153" t="s">
        <v>129</v>
      </c>
      <c r="H2" s="153" t="s">
        <v>130</v>
      </c>
      <c r="I2" s="2" t="s">
        <v>131</v>
      </c>
      <c r="J2" s="2" t="s">
        <v>132</v>
      </c>
      <c r="K2" s="2" t="s">
        <v>135</v>
      </c>
      <c r="L2" s="2" t="s">
        <v>136</v>
      </c>
      <c r="M2" s="2" t="s">
        <v>150</v>
      </c>
      <c r="N2" s="156" t="s">
        <v>159</v>
      </c>
      <c r="O2" s="156" t="s">
        <v>167</v>
      </c>
    </row>
    <row r="3" spans="1:15">
      <c r="B3" s="6" t="s">
        <v>90</v>
      </c>
      <c r="C3" s="6" t="s">
        <v>71</v>
      </c>
      <c r="D3" s="153" t="s">
        <v>142</v>
      </c>
      <c r="E3" s="153" t="s">
        <v>143</v>
      </c>
      <c r="F3" s="153" t="s">
        <v>144</v>
      </c>
      <c r="G3" s="153" t="s">
        <v>148</v>
      </c>
      <c r="H3" s="153" t="s">
        <v>160</v>
      </c>
      <c r="I3" s="166" t="s">
        <v>169</v>
      </c>
      <c r="J3" s="166" t="s">
        <v>170</v>
      </c>
      <c r="K3" s="166" t="s">
        <v>140</v>
      </c>
      <c r="L3" s="166" t="s">
        <v>141</v>
      </c>
      <c r="M3" s="166" t="s">
        <v>149</v>
      </c>
      <c r="N3" s="166" t="s">
        <v>163</v>
      </c>
      <c r="O3" s="166" t="s">
        <v>166</v>
      </c>
    </row>
    <row r="4" spans="1:15">
      <c r="A4" s="59" t="s">
        <v>92</v>
      </c>
    </row>
    <row r="5" spans="1:15">
      <c r="M5" t="s">
        <v>12</v>
      </c>
    </row>
    <row r="6" spans="1:15" ht="13" customHeight="1">
      <c r="A6" s="83" t="s">
        <v>32</v>
      </c>
      <c r="B6" s="78">
        <f>Education!P14-Tort!P12</f>
        <v>35951135</v>
      </c>
      <c r="C6" s="78">
        <f>+Education!Q14-C7</f>
        <v>38247846</v>
      </c>
      <c r="D6" s="78">
        <f>+Education!R14</f>
        <v>45466643.629999995</v>
      </c>
      <c r="E6" s="78">
        <f>+Education!S14</f>
        <v>43131618</v>
      </c>
      <c r="F6" s="78">
        <f>+Education!T14</f>
        <v>54340878</v>
      </c>
      <c r="G6" s="277">
        <f>+Education!U14</f>
        <v>52972031</v>
      </c>
      <c r="H6" s="277">
        <f>+Education!V14</f>
        <v>55751217</v>
      </c>
      <c r="I6" s="277">
        <f>+Education!W14</f>
        <v>55424101</v>
      </c>
      <c r="J6" s="277">
        <f>+Education!X14</f>
        <v>56674404</v>
      </c>
      <c r="K6" s="277">
        <f>+Education!Y14</f>
        <v>56971892.529275</v>
      </c>
      <c r="L6" s="277">
        <f>+Education!Z14</f>
        <v>56731821.675234921</v>
      </c>
      <c r="M6" s="277">
        <f>+Education!AA14</f>
        <v>56484863.361650035</v>
      </c>
      <c r="N6" s="277">
        <f>+Education!AB14</f>
        <v>56713873.239229843</v>
      </c>
      <c r="O6" s="277">
        <f>+Education!AC14</f>
        <v>58495216.860082053</v>
      </c>
    </row>
    <row r="7" spans="1:15" ht="12" customHeight="1">
      <c r="A7" s="83" t="s">
        <v>98</v>
      </c>
      <c r="B7" s="101">
        <f>+Tort!P12</f>
        <v>0</v>
      </c>
      <c r="C7" s="101">
        <f>+Tort!Q12</f>
        <v>0</v>
      </c>
      <c r="D7" s="245">
        <f>+Tort!R12</f>
        <v>761365.52</v>
      </c>
      <c r="E7" s="245">
        <f>+Tort!S12</f>
        <v>668138</v>
      </c>
      <c r="F7" s="245">
        <f>+Tort!T12</f>
        <v>905280</v>
      </c>
      <c r="G7" s="246">
        <f>+Tort!U12</f>
        <v>1057491</v>
      </c>
      <c r="H7" s="246">
        <f>+Tort!V12</f>
        <v>996036</v>
      </c>
      <c r="I7" s="246">
        <f>+Tort!W12</f>
        <v>769856</v>
      </c>
      <c r="J7" s="246">
        <f>+Tort!X12</f>
        <v>590470</v>
      </c>
      <c r="K7" s="246">
        <f>+Tort!Y12</f>
        <v>492022.62505999993</v>
      </c>
      <c r="L7" s="246">
        <f>+Tort!Z12</f>
        <v>499174.50854758988</v>
      </c>
      <c r="M7" s="246">
        <f>+Tort!AA12</f>
        <v>503943.67347491131</v>
      </c>
      <c r="N7" s="278">
        <f>+Tort!AB12</f>
        <v>517548.11038971745</v>
      </c>
      <c r="O7" s="278">
        <f>+Tort!AC12</f>
        <v>531528.17827736703</v>
      </c>
    </row>
    <row r="8" spans="1:15">
      <c r="A8" s="83" t="s">
        <v>125</v>
      </c>
      <c r="B8" s="78">
        <f>+'O_&amp;_M'!P12</f>
        <v>4053830</v>
      </c>
      <c r="C8" s="78">
        <f>+'O_&amp;_M'!Q12</f>
        <v>4134375</v>
      </c>
      <c r="D8" s="245">
        <f>+'O_&amp;_M'!R12</f>
        <v>4127403.21</v>
      </c>
      <c r="E8" s="245">
        <f>+'O_&amp;_M'!S12</f>
        <v>3918986</v>
      </c>
      <c r="F8" s="245">
        <f>+'O_&amp;_M'!T12</f>
        <v>4356111</v>
      </c>
      <c r="G8" s="246">
        <f>+'O_&amp;_M'!U12</f>
        <v>4643301</v>
      </c>
      <c r="H8" s="246">
        <f>+'O_&amp;_M'!V12</f>
        <v>5257058</v>
      </c>
      <c r="I8" s="246">
        <f>+'O_&amp;_M'!W12</f>
        <v>6614067</v>
      </c>
      <c r="J8" s="246">
        <f>+'O_&amp;_M'!X12</f>
        <v>7006628</v>
      </c>
      <c r="K8" s="246">
        <f>+'O_&amp;_M'!Y12</f>
        <v>7260717.7359999996</v>
      </c>
      <c r="L8" s="246">
        <f>+'O_&amp;_M'!Z12</f>
        <v>7289260.206944</v>
      </c>
      <c r="M8" s="246">
        <f>+'O_&amp;_M'!AA12</f>
        <v>7425856.1508759353</v>
      </c>
      <c r="N8" s="278">
        <f>+'O_&amp;_M'!AB12</f>
        <v>7623654.2669495847</v>
      </c>
      <c r="O8" s="278">
        <f>+'O_&amp;_M'!AC12</f>
        <v>7026792.9321572231</v>
      </c>
    </row>
    <row r="9" spans="1:15">
      <c r="A9" s="83" t="s">
        <v>114</v>
      </c>
      <c r="B9" s="78">
        <f>+Transportation!P12</f>
        <v>974310</v>
      </c>
      <c r="C9" s="78">
        <f>+Transportation!Q12</f>
        <v>962992</v>
      </c>
      <c r="D9" s="245">
        <f>+Transportation!R12</f>
        <v>836268.51</v>
      </c>
      <c r="E9" s="245">
        <f>+Transportation!S12</f>
        <v>820049</v>
      </c>
      <c r="F9" s="245">
        <f>+Transportation!T12</f>
        <v>973813</v>
      </c>
      <c r="G9" s="246">
        <f>+Transportation!U12</f>
        <v>1181843</v>
      </c>
      <c r="H9" s="246">
        <f>+Transportation!V12</f>
        <v>1610711</v>
      </c>
      <c r="I9" s="246">
        <f>+Transportation!W12</f>
        <v>1865174</v>
      </c>
      <c r="J9" s="246">
        <f>+Transportation!X12</f>
        <v>1588268</v>
      </c>
      <c r="K9" s="246">
        <f>+Transportation!Y12</f>
        <v>1762253.3805199999</v>
      </c>
      <c r="L9" s="246">
        <f>+Transportation!Z12</f>
        <v>1777159.9989395596</v>
      </c>
      <c r="M9" s="246">
        <f>+Transportation!AA12</f>
        <v>1797030.4162737783</v>
      </c>
      <c r="N9" s="278">
        <f>+Transportation!AB12</f>
        <v>1819343.3558637158</v>
      </c>
      <c r="O9" s="278">
        <f>+Transportation!AC12</f>
        <v>1842172.7929067411</v>
      </c>
    </row>
    <row r="10" spans="1:15">
      <c r="A10" s="83" t="s">
        <v>115</v>
      </c>
      <c r="B10" s="78">
        <f>+MUIF!P11</f>
        <v>1032078</v>
      </c>
      <c r="C10" s="78">
        <f>+MUIF!Q11</f>
        <v>1055733</v>
      </c>
      <c r="D10" s="245">
        <f>+MUIF!R11</f>
        <v>1608689.72</v>
      </c>
      <c r="E10" s="245">
        <f>+MUIF!S11</f>
        <v>1480012</v>
      </c>
      <c r="F10" s="245">
        <f>+MUIF!T11</f>
        <v>1776869</v>
      </c>
      <c r="G10" s="246">
        <f>+MUIF!U11</f>
        <v>1802562</v>
      </c>
      <c r="H10" s="246">
        <f>+MUIF!V11</f>
        <v>1751411</v>
      </c>
      <c r="I10" s="246">
        <f>+MUIF!W11</f>
        <v>1627044</v>
      </c>
      <c r="J10" s="246">
        <f>+MUIF!X11</f>
        <v>1496379</v>
      </c>
      <c r="K10" s="246">
        <f>+MUIF!Y11</f>
        <v>1540337.7227799997</v>
      </c>
      <c r="L10" s="246">
        <f>+MUIF!Z11</f>
        <v>1553583.6651333396</v>
      </c>
      <c r="M10" s="246">
        <f>+MUIF!AA11</f>
        <v>1554700.7967954846</v>
      </c>
      <c r="N10" s="278">
        <f>+MUIF!AB11</f>
        <v>1595643.3883462974</v>
      </c>
      <c r="O10" s="278">
        <f>+MUIF!AC11</f>
        <v>1637714.2223931209</v>
      </c>
    </row>
    <row r="11" spans="1:15">
      <c r="A11" s="83" t="s">
        <v>51</v>
      </c>
      <c r="B11" s="78">
        <f>+Working_Cash!P11</f>
        <v>379392</v>
      </c>
      <c r="C11" s="78">
        <f>+Working_Cash!Q11</f>
        <v>388851</v>
      </c>
      <c r="D11" s="245">
        <f>+Working_Cash!R11</f>
        <v>293005.68</v>
      </c>
      <c r="E11" s="245">
        <f>+Working_Cash!S11</f>
        <v>186873</v>
      </c>
      <c r="F11" s="245">
        <f>+Working_Cash!T11</f>
        <v>99965</v>
      </c>
      <c r="G11" s="246">
        <f>+Working_Cash!U11</f>
        <v>99680</v>
      </c>
      <c r="H11" s="246">
        <f>+Working_Cash!V11</f>
        <v>99090</v>
      </c>
      <c r="I11" s="246">
        <f>+Working_Cash!W11</f>
        <v>98246</v>
      </c>
      <c r="J11" s="246">
        <f>+Working_Cash!X11</f>
        <v>101284</v>
      </c>
      <c r="K11" s="246">
        <f>+Working_Cash!Y11</f>
        <v>103705.04751999999</v>
      </c>
      <c r="L11" s="246">
        <f>+Working_Cash!Z11</f>
        <v>104783.09393127999</v>
      </c>
      <c r="M11" s="246">
        <f>+Working_Cash!AA11</f>
        <v>105043.6898210169</v>
      </c>
      <c r="N11" s="278">
        <f>+Working_Cash!AB11</f>
        <v>107996.42144814708</v>
      </c>
      <c r="O11" s="278">
        <f>+Working_Cash!AC11</f>
        <v>111029.05165721274</v>
      </c>
    </row>
    <row r="12" spans="1:15" ht="13" thickBot="1">
      <c r="A12" s="83" t="s">
        <v>52</v>
      </c>
      <c r="B12" s="100">
        <f t="shared" ref="B12:H12" si="0">SUM(B6:B11)</f>
        <v>42390745</v>
      </c>
      <c r="C12" s="100">
        <f t="shared" si="0"/>
        <v>44789797</v>
      </c>
      <c r="D12" s="100">
        <f t="shared" si="0"/>
        <v>53093376.269999996</v>
      </c>
      <c r="E12" s="100">
        <f t="shared" si="0"/>
        <v>50205676</v>
      </c>
      <c r="F12" s="100">
        <f t="shared" si="0"/>
        <v>62452916</v>
      </c>
      <c r="G12" s="279">
        <f t="shared" si="0"/>
        <v>61756908</v>
      </c>
      <c r="H12" s="279">
        <f t="shared" si="0"/>
        <v>65465523</v>
      </c>
      <c r="I12" s="279">
        <f t="shared" ref="I12:N12" si="1">SUM(I6:I11)</f>
        <v>66398488</v>
      </c>
      <c r="J12" s="279">
        <f t="shared" si="1"/>
        <v>67457433</v>
      </c>
      <c r="K12" s="279">
        <f t="shared" si="1"/>
        <v>68130929.041154996</v>
      </c>
      <c r="L12" s="279">
        <f t="shared" si="1"/>
        <v>67955783.14873068</v>
      </c>
      <c r="M12" s="279">
        <f t="shared" si="1"/>
        <v>67871438.088891163</v>
      </c>
      <c r="N12" s="280">
        <f t="shared" si="1"/>
        <v>68378058.782227293</v>
      </c>
      <c r="O12" s="280">
        <f>SUM(O6:O11)</f>
        <v>69644454.037473723</v>
      </c>
    </row>
    <row r="13" spans="1:15">
      <c r="A13" s="84"/>
      <c r="E13" s="132"/>
      <c r="F13" s="132"/>
      <c r="G13" s="132"/>
      <c r="H13" s="132"/>
      <c r="I13" s="132"/>
      <c r="J13" s="141"/>
      <c r="K13" s="141"/>
      <c r="L13" s="141"/>
    </row>
    <row r="14" spans="1:15">
      <c r="A14" s="84" t="s">
        <v>12</v>
      </c>
      <c r="F14" s="141"/>
      <c r="G14" s="141"/>
      <c r="H14" s="141"/>
      <c r="I14" s="141"/>
      <c r="J14" s="141"/>
      <c r="K14" s="141"/>
      <c r="L14" s="141"/>
    </row>
    <row r="15" spans="1:15">
      <c r="A15" s="59" t="s">
        <v>102</v>
      </c>
      <c r="G15" s="139"/>
    </row>
    <row r="16" spans="1:15">
      <c r="A16" s="85"/>
    </row>
    <row r="17" spans="1:15">
      <c r="A17" s="83" t="s">
        <v>32</v>
      </c>
      <c r="B17" s="78">
        <f>+Education!P29-B18</f>
        <v>35811623</v>
      </c>
      <c r="C17" s="78">
        <f>+Education!Q29</f>
        <v>39363134</v>
      </c>
      <c r="D17" s="78">
        <f>+Education!R29</f>
        <v>45760700.979999997</v>
      </c>
      <c r="E17" s="78">
        <f>+Education!S29</f>
        <v>45098181</v>
      </c>
      <c r="F17" s="78">
        <f>+Education!T29</f>
        <v>46118311</v>
      </c>
      <c r="G17" s="277">
        <f>+Education!U29</f>
        <v>49186350</v>
      </c>
      <c r="H17" s="277">
        <f>+Education!V29</f>
        <v>52560266</v>
      </c>
      <c r="I17" s="277">
        <f>+Education!W29</f>
        <v>53734104</v>
      </c>
      <c r="J17" s="277">
        <f>+Education!X29</f>
        <v>57250992</v>
      </c>
      <c r="K17" s="277">
        <f>+Education!Y29</f>
        <v>58085015.129999995</v>
      </c>
      <c r="L17" s="277">
        <f>+Education!Z29</f>
        <v>58533065.462899998</v>
      </c>
      <c r="M17" s="277">
        <f>+Education!AA29</f>
        <v>60060461.100887001</v>
      </c>
      <c r="N17" s="277">
        <f>+Education!AB29</f>
        <v>61756983.484967619</v>
      </c>
      <c r="O17" s="277">
        <f>+Education!AC29</f>
        <v>63544905.878390923</v>
      </c>
    </row>
    <row r="18" spans="1:15">
      <c r="A18" s="83" t="s">
        <v>98</v>
      </c>
      <c r="B18" s="101">
        <f>+Tort!P24</f>
        <v>0</v>
      </c>
      <c r="C18" s="101">
        <f>+Tort!Q24</f>
        <v>0</v>
      </c>
      <c r="D18" s="246">
        <f>+Tort!R24</f>
        <v>662527.48</v>
      </c>
      <c r="E18" s="246">
        <f>+Tort!S24</f>
        <v>825761</v>
      </c>
      <c r="F18" s="246">
        <f>+Tort!T24</f>
        <v>833120</v>
      </c>
      <c r="G18" s="275">
        <f>+Tort!U24</f>
        <v>652446</v>
      </c>
      <c r="H18" s="275">
        <f>+Tort!V24</f>
        <v>678735</v>
      </c>
      <c r="I18" s="275">
        <f>+Tort!W24</f>
        <v>565626</v>
      </c>
      <c r="J18" s="275">
        <f>+Tort!X24</f>
        <v>620362</v>
      </c>
      <c r="K18" s="275">
        <f>+Tort!Y24</f>
        <v>630701</v>
      </c>
      <c r="L18" s="275">
        <f>+Tort!Z24</f>
        <v>639864.36400000006</v>
      </c>
      <c r="M18" s="275">
        <f>+Tort!AA24</f>
        <v>655988.86088000005</v>
      </c>
      <c r="N18" s="275">
        <f>+Tort!AB24</f>
        <v>672768.56865760009</v>
      </c>
      <c r="O18" s="275">
        <f>+Tort!AC24</f>
        <v>691095.35687527037</v>
      </c>
    </row>
    <row r="19" spans="1:15">
      <c r="A19" s="83" t="s">
        <v>125</v>
      </c>
      <c r="B19" s="4">
        <f>+'O_&amp;_M'!P30</f>
        <v>4053656</v>
      </c>
      <c r="C19" s="4">
        <f>+'O_&amp;_M'!Q30</f>
        <v>4466151</v>
      </c>
      <c r="D19" s="246">
        <f>+'O_&amp;_M'!R30</f>
        <v>3976750.76</v>
      </c>
      <c r="E19" s="246">
        <f>+'O_&amp;_M'!S30</f>
        <v>3667571</v>
      </c>
      <c r="F19" s="246">
        <f>+'O_&amp;_M'!T30</f>
        <v>4110205.0623100828</v>
      </c>
      <c r="G19" s="275">
        <f>+'O_&amp;_M'!U30</f>
        <v>6905682</v>
      </c>
      <c r="H19" s="275">
        <f>+'O_&amp;_M'!V30</f>
        <v>7314085</v>
      </c>
      <c r="I19" s="275">
        <f>+'O_&amp;_M'!W30</f>
        <v>6592618</v>
      </c>
      <c r="J19" s="275">
        <f>+'O_&amp;_M'!X30</f>
        <v>5031628</v>
      </c>
      <c r="K19" s="275">
        <f>+'O_&amp;_M'!Y30</f>
        <v>5159347.54</v>
      </c>
      <c r="L19" s="275">
        <f>+'O_&amp;_M'!Z30</f>
        <v>5305174.2428000001</v>
      </c>
      <c r="M19" s="275">
        <f>+'O_&amp;_M'!AA30</f>
        <v>5657209.6811760003</v>
      </c>
      <c r="N19" s="275">
        <f>+'O_&amp;_M'!AB30</f>
        <v>5815851.0967811206</v>
      </c>
      <c r="O19" s="275">
        <f>+'O_&amp;_M'!AC30</f>
        <v>5981529.298199391</v>
      </c>
    </row>
    <row r="20" spans="1:15">
      <c r="A20" s="83" t="s">
        <v>114</v>
      </c>
      <c r="B20" s="78">
        <f>+Transportation!P24</f>
        <v>958682</v>
      </c>
      <c r="C20" s="78">
        <f>+Transportation!Q24</f>
        <v>994821</v>
      </c>
      <c r="D20" s="246">
        <f>+Transportation!R24</f>
        <v>1017482.6699999999</v>
      </c>
      <c r="E20" s="246">
        <f>+Transportation!S24</f>
        <v>958557</v>
      </c>
      <c r="F20" s="246">
        <f>+Transportation!T24</f>
        <v>1062884</v>
      </c>
      <c r="G20" s="275">
        <f>+Transportation!U24</f>
        <v>1359974</v>
      </c>
      <c r="H20" s="275">
        <f>+Transportation!V24</f>
        <v>1435137</v>
      </c>
      <c r="I20" s="275">
        <f>+Transportation!W24</f>
        <v>1504391</v>
      </c>
      <c r="J20" s="275">
        <f>+Transportation!X24</f>
        <v>1709458</v>
      </c>
      <c r="K20" s="275">
        <f>+Transportation!Y24</f>
        <v>1761081.1300000001</v>
      </c>
      <c r="L20" s="275">
        <f>+Transportation!Z24</f>
        <v>1814328.1681000001</v>
      </c>
      <c r="M20" s="275">
        <f>+Transportation!AA24</f>
        <v>1869256.1784670001</v>
      </c>
      <c r="N20" s="275">
        <f>+Transportation!AB24</f>
        <v>1925924.78839549</v>
      </c>
      <c r="O20" s="275">
        <f>+Transportation!AC24</f>
        <v>1984396.3506517245</v>
      </c>
    </row>
    <row r="21" spans="1:15">
      <c r="A21" s="83" t="s">
        <v>115</v>
      </c>
      <c r="B21" s="78">
        <f>+MUIF!P24</f>
        <v>1270568</v>
      </c>
      <c r="C21" s="78">
        <f>+MUIF!Q24</f>
        <v>1266857</v>
      </c>
      <c r="D21" s="246">
        <f>+MUIF!R24</f>
        <v>1403586.46</v>
      </c>
      <c r="E21" s="246">
        <f>+MUIF!S24</f>
        <v>1497088</v>
      </c>
      <c r="F21" s="246">
        <f>+MUIF!T24</f>
        <v>1516453</v>
      </c>
      <c r="G21" s="275">
        <f>+MUIF!U24</f>
        <v>1513371</v>
      </c>
      <c r="H21" s="275">
        <f>+MUIF!V24</f>
        <v>1524283</v>
      </c>
      <c r="I21" s="275">
        <f>+MUIF!W24</f>
        <v>1569088</v>
      </c>
      <c r="J21" s="275">
        <f>+MUIF!X24</f>
        <v>1672395</v>
      </c>
      <c r="K21" s="275">
        <f>+MUIF!Y24</f>
        <v>1685774.16</v>
      </c>
      <c r="L21" s="275">
        <f>+MUIF!Z24</f>
        <v>1692517.25664</v>
      </c>
      <c r="M21" s="275">
        <f>+MUIF!AA24</f>
        <v>1726367.6017728001</v>
      </c>
      <c r="N21" s="275">
        <f>+MUIF!AB24</f>
        <v>1764347.6890118017</v>
      </c>
      <c r="O21" s="275">
        <f>+MUIF!AC24</f>
        <v>1803163.3381700614</v>
      </c>
    </row>
    <row r="22" spans="1:15">
      <c r="A22" s="83" t="s">
        <v>51</v>
      </c>
      <c r="B22" s="78">
        <f>+Working_Cash!P23</f>
        <v>0</v>
      </c>
      <c r="C22" s="78">
        <f>+Working_Cash!Q23</f>
        <v>0</v>
      </c>
      <c r="D22" s="246">
        <f>+Working_Cash!R23</f>
        <v>0</v>
      </c>
      <c r="E22" s="246">
        <f>+Working_Cash!S23</f>
        <v>0</v>
      </c>
      <c r="F22" s="246">
        <f>+Working_Cash!T23</f>
        <v>0</v>
      </c>
      <c r="G22" s="275">
        <f>+Working_Cash!U23</f>
        <v>0</v>
      </c>
      <c r="H22" s="275">
        <f>+Working_Cash!V23</f>
        <v>0</v>
      </c>
      <c r="I22" s="275">
        <f>+Working_Cash!W23</f>
        <v>0</v>
      </c>
      <c r="J22" s="275">
        <f>+Working_Cash!X23</f>
        <v>0</v>
      </c>
      <c r="K22" s="275">
        <f>+Working_Cash!Y23</f>
        <v>0</v>
      </c>
      <c r="L22" s="275">
        <f>+Working_Cash!Z23</f>
        <v>0</v>
      </c>
      <c r="M22" s="275">
        <f>+Working_Cash!AA23</f>
        <v>0</v>
      </c>
      <c r="N22" s="275">
        <f>+Working_Cash!AB23</f>
        <v>0</v>
      </c>
      <c r="O22" s="275">
        <f>+Working_Cash!AC23</f>
        <v>0</v>
      </c>
    </row>
    <row r="23" spans="1:15" ht="13" thickBot="1">
      <c r="A23" s="83" t="s">
        <v>53</v>
      </c>
      <c r="B23" s="100">
        <f t="shared" ref="B23:H23" si="2">SUM(B17:B22)</f>
        <v>42094529</v>
      </c>
      <c r="C23" s="100">
        <f t="shared" si="2"/>
        <v>46090963</v>
      </c>
      <c r="D23" s="100">
        <f t="shared" si="2"/>
        <v>52821048.349999994</v>
      </c>
      <c r="E23" s="100">
        <f>SUM(E17:E22)</f>
        <v>52047158</v>
      </c>
      <c r="F23" s="100">
        <f t="shared" si="2"/>
        <v>53640973.062310085</v>
      </c>
      <c r="G23" s="276">
        <f t="shared" si="2"/>
        <v>59617823</v>
      </c>
      <c r="H23" s="276">
        <f t="shared" si="2"/>
        <v>63512506</v>
      </c>
      <c r="I23" s="276">
        <f t="shared" ref="I23:N23" si="3">SUM(I17:I22)</f>
        <v>63965827</v>
      </c>
      <c r="J23" s="276">
        <f t="shared" si="3"/>
        <v>66284835</v>
      </c>
      <c r="K23" s="276">
        <f t="shared" si="3"/>
        <v>67321918.959999993</v>
      </c>
      <c r="L23" s="276">
        <f t="shared" si="3"/>
        <v>67984949.494439989</v>
      </c>
      <c r="M23" s="276">
        <f t="shared" si="3"/>
        <v>69969283.4231828</v>
      </c>
      <c r="N23" s="276">
        <f t="shared" si="3"/>
        <v>71935875.627813637</v>
      </c>
      <c r="O23" s="276">
        <f t="shared" ref="O23" si="4">SUM(O17:O22)</f>
        <v>74005090.222287372</v>
      </c>
    </row>
    <row r="24" spans="1:15">
      <c r="A24" s="84"/>
      <c r="E24" s="132"/>
      <c r="F24" s="132"/>
      <c r="G24" s="132"/>
      <c r="H24" s="132"/>
      <c r="I24" s="132"/>
      <c r="J24" s="141"/>
      <c r="K24" s="141"/>
      <c r="L24" s="141"/>
      <c r="M24" s="141"/>
    </row>
    <row r="25" spans="1:15">
      <c r="A25" s="83"/>
      <c r="F25" s="141"/>
      <c r="G25" s="141"/>
      <c r="H25" s="141"/>
      <c r="I25" s="141"/>
      <c r="J25" s="141"/>
      <c r="K25" s="141"/>
      <c r="L25" s="141"/>
      <c r="M25" s="141"/>
    </row>
    <row r="26" spans="1:15">
      <c r="A26" s="87" t="s">
        <v>75</v>
      </c>
      <c r="B26" s="78">
        <f t="shared" ref="B26:H26" si="5">+B12-B23</f>
        <v>296216</v>
      </c>
      <c r="C26" s="78">
        <f t="shared" si="5"/>
        <v>-1301166</v>
      </c>
      <c r="D26" s="78">
        <f t="shared" si="5"/>
        <v>272327.92000000179</v>
      </c>
      <c r="E26" s="78">
        <f>+E12-E23</f>
        <v>-1841482</v>
      </c>
      <c r="F26" s="78">
        <f t="shared" si="5"/>
        <v>8811942.9376899153</v>
      </c>
      <c r="G26" s="78">
        <f t="shared" si="5"/>
        <v>2139085</v>
      </c>
      <c r="H26" s="78">
        <f t="shared" si="5"/>
        <v>1953017</v>
      </c>
      <c r="I26" s="101">
        <f t="shared" ref="I26:O26" si="6">+I12-I23</f>
        <v>2432661</v>
      </c>
      <c r="J26" s="101">
        <f t="shared" si="6"/>
        <v>1172598</v>
      </c>
      <c r="K26" s="101">
        <f t="shared" si="6"/>
        <v>809010.08115500212</v>
      </c>
      <c r="L26" s="101">
        <f t="shared" si="6"/>
        <v>-29166.345709308982</v>
      </c>
      <c r="M26" s="101">
        <f t="shared" si="6"/>
        <v>-2097845.3342916369</v>
      </c>
      <c r="N26" s="101">
        <f t="shared" si="6"/>
        <v>-3557816.8455863446</v>
      </c>
      <c r="O26" s="101">
        <f t="shared" si="6"/>
        <v>-4360636.1848136485</v>
      </c>
    </row>
    <row r="27" spans="1:15">
      <c r="A27" s="83"/>
    </row>
    <row r="28" spans="1:15">
      <c r="A28" s="1" t="s">
        <v>0</v>
      </c>
    </row>
    <row r="29" spans="1:15">
      <c r="A29" s="83"/>
    </row>
    <row r="30" spans="1:15">
      <c r="A30" s="135" t="s">
        <v>82</v>
      </c>
      <c r="B30" s="101">
        <f>Education!P41+'O_&amp;_M'!P40+Working_Cash!P32</f>
        <v>216329</v>
      </c>
      <c r="C30" s="101">
        <f>Education!Q41+'O_&amp;_M'!Q40+Working_Cash!Q32</f>
        <v>4816</v>
      </c>
      <c r="D30" s="101">
        <f>Education!R41+'O_&amp;_M'!R40+Working_Cash!R32</f>
        <v>0</v>
      </c>
      <c r="E30" s="101">
        <f>Education!S41+'O_&amp;_M'!S40+Working_Cash!S32</f>
        <v>1300</v>
      </c>
      <c r="F30" s="101">
        <f>Education!T41+'O_&amp;_M'!T40+Working_Cash!T32</f>
        <v>7087500</v>
      </c>
      <c r="G30" s="101">
        <f>Education!U41+'O_&amp;_M'!U40+Working_Cash!U32+Transportation!U30</f>
        <v>-441500</v>
      </c>
      <c r="H30" s="101">
        <f>Education!V41+'O_&amp;_M'!V40+Working_Cash!V32</f>
        <v>-801100</v>
      </c>
      <c r="I30" s="101">
        <f>Education!W41+'O_&amp;_M'!W40+Working_Cash!W32</f>
        <v>-880388</v>
      </c>
      <c r="J30" s="101">
        <f>Education!X41+'O_&amp;_M'!X40+Working_Cash!X32</f>
        <v>-4553983</v>
      </c>
      <c r="K30" s="101">
        <f>Education!Y41+'O_&amp;_M'!Y40+Working_Cash!Y32</f>
        <v>-2410245</v>
      </c>
      <c r="L30" s="101">
        <f>Education!Z41+'O_&amp;_M'!Z40+Working_Cash!Z32</f>
        <v>-3723875</v>
      </c>
      <c r="M30" s="101">
        <f>Education!AA41+'O_&amp;_M'!AA40+Working_Cash!AA32</f>
        <v>-799543</v>
      </c>
      <c r="N30" s="101">
        <f>Education!AB41+'O_&amp;_M'!AB40+Working_Cash!AB32</f>
        <v>-799643</v>
      </c>
      <c r="O30" s="101">
        <f>Education!AC41+'O_&amp;_M'!AC40+Working_Cash!AC32</f>
        <v>-798743</v>
      </c>
    </row>
    <row r="31" spans="1:15">
      <c r="A31" s="83"/>
    </row>
    <row r="32" spans="1:15">
      <c r="A32" s="13" t="s">
        <v>89</v>
      </c>
      <c r="B32" s="101">
        <f>SUM(B26:B30)</f>
        <v>512545</v>
      </c>
      <c r="C32" s="101">
        <f t="shared" ref="C32:H32" si="7">SUM(C26:C30)</f>
        <v>-1296350</v>
      </c>
      <c r="D32" s="101">
        <f>SUM(D26:D30)</f>
        <v>272327.92000000179</v>
      </c>
      <c r="E32" s="101">
        <f>SUM(E26:E30)</f>
        <v>-1840182</v>
      </c>
      <c r="F32" s="101">
        <f t="shared" si="7"/>
        <v>15899442.937689915</v>
      </c>
      <c r="G32" s="101">
        <f t="shared" si="7"/>
        <v>1697585</v>
      </c>
      <c r="H32" s="101">
        <f t="shared" si="7"/>
        <v>1151917</v>
      </c>
      <c r="I32" s="101">
        <f t="shared" ref="I32:O32" si="8">SUM(I26:I30)</f>
        <v>1552273</v>
      </c>
      <c r="J32" s="101">
        <f t="shared" si="8"/>
        <v>-3381385</v>
      </c>
      <c r="K32" s="101">
        <f t="shared" si="8"/>
        <v>-1601234.9188449979</v>
      </c>
      <c r="L32" s="101">
        <f t="shared" si="8"/>
        <v>-3753041.345709309</v>
      </c>
      <c r="M32" s="101">
        <f t="shared" si="8"/>
        <v>-2897388.3342916369</v>
      </c>
      <c r="N32" s="101">
        <f t="shared" si="8"/>
        <v>-4357459.8455863446</v>
      </c>
      <c r="O32" s="101">
        <f t="shared" si="8"/>
        <v>-5159379.1848136485</v>
      </c>
    </row>
    <row r="33" spans="1:15">
      <c r="A33" s="83"/>
      <c r="N33"/>
    </row>
    <row r="34" spans="1:15">
      <c r="A34" s="84" t="s">
        <v>117</v>
      </c>
      <c r="N34"/>
    </row>
    <row r="35" spans="1:15">
      <c r="A35" s="83"/>
      <c r="N35"/>
    </row>
    <row r="36" spans="1:15">
      <c r="A36" s="83" t="s">
        <v>118</v>
      </c>
      <c r="B36" s="78">
        <f>+Education!P47+'O_&amp;_M'!P46+Transportation!P36+MUIF!P32+Working_Cash!P38+Tort!P32</f>
        <v>22187316</v>
      </c>
      <c r="C36" s="101">
        <f>+Education!Q47+'O_&amp;_M'!Q46+Transportation!Q36+MUIF!Q32+Working_Cash!Q38+Tort!Q32</f>
        <v>22699861</v>
      </c>
      <c r="D36" s="101">
        <f>+Education!R47+'O_&amp;_M'!R46+Transportation!R36+MUIF!R32+Working_Cash!R38+Tort!R32</f>
        <v>17460547.490000002</v>
      </c>
      <c r="E36" s="101">
        <f>+Education!S47+'O_&amp;_M'!S46+Transportation!S36+MUIF!S32+Working_Cash!S38+Tort!S32</f>
        <v>17182874.41</v>
      </c>
      <c r="F36" s="101">
        <f>+Education!T47+'O_&amp;_M'!T46+Transportation!T36+MUIF!T32+Working_Cash!T38+Tort!T32</f>
        <v>15342691.41</v>
      </c>
      <c r="G36" s="101">
        <f>+Education!U47+'O_&amp;_M'!U46+Transportation!U36+MUIF!U32+Working_Cash!U38+Tort!U32</f>
        <v>31242135.347689915</v>
      </c>
      <c r="H36" s="101">
        <f>+Education!V47+'O_&amp;_M'!V46+Transportation!V36+MUIF!V32+Working_Cash!V38+Tort!V32</f>
        <v>32939720.347689915</v>
      </c>
      <c r="I36" s="101">
        <f>+Education!W47+'O_&amp;_M'!W46+Transportation!W36+MUIF!W32+Working_Cash!W38+Tort!W32</f>
        <v>34128637.347689919</v>
      </c>
      <c r="J36" s="101">
        <f>+Education!X47+'O_&amp;_M'!X46+Transportation!X36+MUIF!X32+Working_Cash!X38+Tort!X32</f>
        <v>35680910.347689912</v>
      </c>
      <c r="K36" s="101">
        <f>+Education!Y47+'O_&amp;_M'!Y46+Transportation!Y36+MUIF!Y32+Working_Cash!Y38+Tort!Y32</f>
        <v>32299525.347689915</v>
      </c>
      <c r="L36" s="101">
        <f>+Education!Z47+'O_&amp;_M'!Z46+Transportation!Z36+MUIF!Z32+Working_Cash!Z38+Tort!Z32</f>
        <v>30698290.428844914</v>
      </c>
      <c r="M36" s="101">
        <f>+Education!AA47+'O_&amp;_M'!AA46+Transportation!AA36+MUIF!AA32+Working_Cash!AA38+Tort!AA32</f>
        <v>26945249.083135609</v>
      </c>
      <c r="N36" s="101">
        <f>+Education!AB47+'O_&amp;_M'!AB46+Transportation!AB36+MUIF!AB32+Working_Cash!AB38+Tort!AB32</f>
        <v>24047860.748843972</v>
      </c>
      <c r="O36" s="101">
        <f>+Education!AC47+'O_&amp;_M'!AC46+Transportation!AC36+MUIF!AC32+Working_Cash!AC38+Tort!AC32</f>
        <v>19690400.903257646</v>
      </c>
    </row>
    <row r="37" spans="1:15" ht="13" thickBot="1">
      <c r="A37" s="83" t="s">
        <v>45</v>
      </c>
      <c r="B37" s="99">
        <f>+Education!P51+'O_&amp;_M'!P48+Transportation!P40+MUIF!P34+Working_Cash!P40+Tort!P36</f>
        <v>22699861</v>
      </c>
      <c r="C37" s="103">
        <f>+Education!Q51+'O_&amp;_M'!Q48+Transportation!Q40+MUIF!Q34+Working_Cash!Q40+Tort!Q36</f>
        <v>21403511</v>
      </c>
      <c r="D37" s="103">
        <f>+Education!R51+'O_&amp;_M'!R48+Transportation!R40+MUIF!R34+Working_Cash!R40+Tort!R36</f>
        <v>17182874.41</v>
      </c>
      <c r="E37" s="103">
        <f>+Education!S51+'O_&amp;_M'!S48+Transportation!S40+MUIF!S34+Working_Cash!S40+Tort!S36</f>
        <v>15342691.41</v>
      </c>
      <c r="F37" s="103">
        <f>+Education!T51+'O_&amp;_M'!T48+Transportation!T40+MUIF!T34+Working_Cash!T40+Tort!T36</f>
        <v>31242134.347689915</v>
      </c>
      <c r="G37" s="103">
        <f>+Education!U51+'O_&amp;_M'!U48+Transportation!U40+MUIF!U34+Working_Cash!U40+Tort!U36</f>
        <v>32939720.347689915</v>
      </c>
      <c r="H37" s="103">
        <f>+Education!V51+'O_&amp;_M'!V48+Transportation!V40+MUIF!V34+Working_Cash!V40+Tort!V36</f>
        <v>34128637.347689919</v>
      </c>
      <c r="I37" s="103">
        <f>+Education!W51+'O_&amp;_M'!W48+Transportation!W40+MUIF!W34+Working_Cash!W40+Tort!W36</f>
        <v>35680910.347689912</v>
      </c>
      <c r="J37" s="103">
        <f>+Education!X51+'O_&amp;_M'!X48+Transportation!X40+MUIF!X34+Working_Cash!X40+Tort!X36</f>
        <v>32299525.347689915</v>
      </c>
      <c r="K37" s="103">
        <f>+Education!Y51+'O_&amp;_M'!Y48+Transportation!Y40+MUIF!Y34+Working_Cash!Y40+Tort!Y36</f>
        <v>30698290.428844914</v>
      </c>
      <c r="L37" s="103">
        <f>+Education!Z51+'O_&amp;_M'!Z48+Transportation!Z40+MUIF!Z34+Working_Cash!Z40+Tort!Z36</f>
        <v>26945249.083135609</v>
      </c>
      <c r="M37" s="103">
        <f>+Education!AA51+'O_&amp;_M'!AA48+Transportation!AA40+MUIF!AA34+Working_Cash!AA40+Tort!AA36</f>
        <v>24047860.748843972</v>
      </c>
      <c r="N37" s="103">
        <f>+Education!AB51+'O_&amp;_M'!AB48+Transportation!AB40+MUIF!AB34+Working_Cash!AB40+Tort!AB36</f>
        <v>19690400.903257646</v>
      </c>
      <c r="O37" s="103">
        <f>+Education!AC51+'O_&amp;_M'!AC48+Transportation!AC40+MUIF!AC34+Working_Cash!AC40+Tort!AC36</f>
        <v>14531021.718443993</v>
      </c>
    </row>
    <row r="38" spans="1:15" ht="13" thickTop="1">
      <c r="A38" s="83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</row>
    <row r="39" spans="1:15">
      <c r="A39" s="303" t="s">
        <v>176</v>
      </c>
      <c r="B39" s="300"/>
      <c r="C39" s="300"/>
      <c r="D39" s="300"/>
      <c r="E39" s="300"/>
      <c r="F39" s="300"/>
      <c r="G39" s="301"/>
      <c r="H39" s="302">
        <f>+H37/(H23-10075229)</f>
        <v>0.63866722377507967</v>
      </c>
      <c r="I39" s="302">
        <f>+I37/(I23-9738971)</f>
        <v>0.65799334462042036</v>
      </c>
      <c r="J39" s="302">
        <f t="shared" ref="J39:O39" si="9">+J37/(J23-10984127)</f>
        <v>0.58407073825691191</v>
      </c>
      <c r="K39" s="302">
        <f>+K37/(K23-10984127)</f>
        <v>0.54489693970684538</v>
      </c>
      <c r="L39" s="302">
        <f t="shared" si="9"/>
        <v>0.47271684695012811</v>
      </c>
      <c r="M39" s="302">
        <f t="shared" si="9"/>
        <v>0.4076934301286772</v>
      </c>
      <c r="N39" s="302">
        <f t="shared" si="9"/>
        <v>0.32304899115351182</v>
      </c>
      <c r="O39" s="302">
        <f t="shared" si="9"/>
        <v>0.23057441485288335</v>
      </c>
    </row>
    <row r="40" spans="1:15">
      <c r="A40" s="66" t="s">
        <v>38</v>
      </c>
      <c r="B40" s="94">
        <f>+B37/B12</f>
        <v>0.5354909662474675</v>
      </c>
      <c r="C40" s="94">
        <f>+C37/C12</f>
        <v>0.47786577376093042</v>
      </c>
      <c r="D40" s="94">
        <f>+D37/D12</f>
        <v>0.32363499210557928</v>
      </c>
      <c r="E40" s="94">
        <f t="shared" ref="E40:J40" si="10">+E37/E23</f>
        <v>0.29478442242706127</v>
      </c>
      <c r="F40" s="94">
        <f t="shared" si="10"/>
        <v>0.58243041772189008</v>
      </c>
      <c r="G40" s="104">
        <f>+G37/G23</f>
        <v>0.55251464562350616</v>
      </c>
      <c r="H40" s="104">
        <f t="shared" si="10"/>
        <v>0.53735302694070863</v>
      </c>
      <c r="I40" s="104">
        <f t="shared" si="10"/>
        <v>0.55781206968042341</v>
      </c>
      <c r="J40" s="104">
        <f t="shared" si="10"/>
        <v>0.48728378591709426</v>
      </c>
      <c r="K40" s="104">
        <f>+K37/K23</f>
        <v>0.45599250441872607</v>
      </c>
      <c r="L40" s="104">
        <f>+L37/L23</f>
        <v>0.3963413856082848</v>
      </c>
      <c r="M40" s="104">
        <f>+M37/M23</f>
        <v>0.3436916825830495</v>
      </c>
      <c r="N40" s="104">
        <f>+N37/N23</f>
        <v>0.27372157121063045</v>
      </c>
      <c r="O40" s="104">
        <f>+O37/O23</f>
        <v>0.19635165195795992</v>
      </c>
    </row>
    <row r="42" spans="1:15">
      <c r="C42" s="101"/>
    </row>
    <row r="43" spans="1:15">
      <c r="C43" s="101"/>
    </row>
    <row r="48" spans="1:15">
      <c r="D48" s="101"/>
    </row>
    <row r="49" spans="4:4">
      <c r="D49" s="101"/>
    </row>
  </sheetData>
  <phoneticPr fontId="16" type="noConversion"/>
  <pageMargins left="0.2" right="0.2" top="1.28" bottom="1" header="0.5" footer="0.5"/>
  <pageSetup scale="91" orientation="landscape" horizontalDpi="4294967292" verticalDpi="4294967292"/>
  <headerFooter>
    <oddHeader>&amp;L&amp;K000000_x000D_&amp;C&amp;K000000Wilmette Public School District 39_x000D_Statement of Revenues and Expenditures_x000D_FY2014 and FY 2015  Actuals&amp;"Arial,Bold",&amp;"Arial,Regular" and FY2016 through FY 2021 Projections_x000D_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25"/>
  <sheetViews>
    <sheetView view="pageLayout" zoomScale="150" workbookViewId="0">
      <selection activeCell="S39" sqref="S39"/>
    </sheetView>
  </sheetViews>
  <sheetFormatPr baseColWidth="10" defaultColWidth="9.1640625" defaultRowHeight="12" x14ac:dyDescent="0"/>
  <cols>
    <col min="1" max="1" width="27.6640625" style="9" customWidth="1"/>
    <col min="2" max="6" width="18.6640625" style="9" hidden="1" customWidth="1"/>
    <col min="7" max="10" width="17.5" style="9" hidden="1" customWidth="1"/>
    <col min="11" max="11" width="19.5" style="9" hidden="1" customWidth="1"/>
    <col min="12" max="16" width="17.5" style="9" hidden="1" customWidth="1"/>
    <col min="17" max="17" width="17.33203125" style="9" hidden="1" customWidth="1"/>
    <col min="18" max="18" width="12.5" style="9" hidden="1" customWidth="1"/>
    <col min="19" max="25" width="12.5" style="9" customWidth="1"/>
    <col min="26" max="26" width="12.33203125" style="9" customWidth="1"/>
    <col min="27" max="16384" width="9.1640625" style="9"/>
  </cols>
  <sheetData>
    <row r="1" spans="1:27" ht="36">
      <c r="A1" s="106" t="s">
        <v>122</v>
      </c>
      <c r="B1" s="53"/>
      <c r="C1" s="23" t="s">
        <v>9</v>
      </c>
      <c r="D1" s="23" t="s">
        <v>56</v>
      </c>
      <c r="E1" s="23" t="s">
        <v>57</v>
      </c>
      <c r="F1" s="2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153" t="s">
        <v>129</v>
      </c>
      <c r="S1" s="153" t="s">
        <v>130</v>
      </c>
      <c r="T1" s="2" t="s">
        <v>131</v>
      </c>
      <c r="U1" s="2" t="s">
        <v>132</v>
      </c>
      <c r="V1" s="2" t="s">
        <v>135</v>
      </c>
      <c r="W1" s="2" t="s">
        <v>136</v>
      </c>
      <c r="X1" s="2" t="s">
        <v>150</v>
      </c>
      <c r="Y1" s="2" t="s">
        <v>159</v>
      </c>
      <c r="Z1" s="2" t="s">
        <v>167</v>
      </c>
      <c r="AA1" s="2" t="s">
        <v>172</v>
      </c>
    </row>
    <row r="2" spans="1:27">
      <c r="R2" s="153" t="s">
        <v>2</v>
      </c>
      <c r="S2" s="153" t="s">
        <v>2</v>
      </c>
      <c r="T2" s="153" t="s">
        <v>2</v>
      </c>
      <c r="U2" s="153" t="s">
        <v>127</v>
      </c>
      <c r="V2" s="153" t="s">
        <v>128</v>
      </c>
      <c r="W2" s="153" t="s">
        <v>128</v>
      </c>
      <c r="X2" s="153" t="s">
        <v>128</v>
      </c>
      <c r="Y2" s="153" t="s">
        <v>128</v>
      </c>
      <c r="Z2" s="153" t="s">
        <v>128</v>
      </c>
    </row>
    <row r="3" spans="1:27">
      <c r="A3" s="1" t="s">
        <v>92</v>
      </c>
    </row>
    <row r="5" spans="1:27">
      <c r="A5" s="9" t="s">
        <v>93</v>
      </c>
      <c r="C5" s="22">
        <v>1244543</v>
      </c>
      <c r="D5" s="22">
        <v>1274461</v>
      </c>
      <c r="E5" s="22">
        <v>1300988</v>
      </c>
      <c r="F5" s="22">
        <v>1353052</v>
      </c>
      <c r="G5" s="22">
        <v>899366</v>
      </c>
      <c r="H5" s="22">
        <v>690310</v>
      </c>
      <c r="I5" s="22">
        <v>1169644</v>
      </c>
      <c r="J5" s="22">
        <v>345957</v>
      </c>
      <c r="K5" s="22">
        <v>1592152</v>
      </c>
      <c r="L5" s="22">
        <v>1768896</v>
      </c>
      <c r="M5" s="22">
        <v>858688</v>
      </c>
      <c r="N5" s="22">
        <v>686789</v>
      </c>
      <c r="O5" s="22">
        <v>1227551</v>
      </c>
      <c r="P5" s="124">
        <v>610464</v>
      </c>
      <c r="Q5" s="124">
        <v>771528</v>
      </c>
      <c r="R5" s="124">
        <v>0</v>
      </c>
      <c r="S5" s="124">
        <v>0</v>
      </c>
      <c r="T5" s="124">
        <v>0</v>
      </c>
      <c r="U5" s="124">
        <v>0</v>
      </c>
      <c r="V5" s="124">
        <v>0</v>
      </c>
      <c r="W5" s="124">
        <v>0</v>
      </c>
      <c r="X5" s="124">
        <v>0</v>
      </c>
      <c r="Y5" s="124">
        <v>0</v>
      </c>
      <c r="Z5" s="124">
        <v>0</v>
      </c>
    </row>
    <row r="6" spans="1:27">
      <c r="A6" s="9" t="s">
        <v>27</v>
      </c>
      <c r="C6" s="22"/>
      <c r="D6" s="22"/>
      <c r="E6" s="22"/>
      <c r="F6" s="22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7">
      <c r="A7" s="9" t="s">
        <v>28</v>
      </c>
      <c r="C7" s="22"/>
      <c r="D7" s="22"/>
      <c r="E7" s="22"/>
      <c r="F7" s="22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7">
      <c r="A8" s="9" t="s">
        <v>50</v>
      </c>
      <c r="C8" s="22"/>
      <c r="D8" s="22"/>
      <c r="E8" s="22"/>
      <c r="F8" s="22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7">
      <c r="A9" s="9" t="s">
        <v>112</v>
      </c>
      <c r="C9" s="54"/>
      <c r="D9" s="55">
        <v>208460</v>
      </c>
      <c r="E9" s="55">
        <v>297341</v>
      </c>
      <c r="F9" s="55">
        <v>394444</v>
      </c>
      <c r="G9" s="55">
        <v>488097</v>
      </c>
      <c r="H9" s="55">
        <v>159900</v>
      </c>
      <c r="I9" s="55">
        <v>189282</v>
      </c>
      <c r="J9" s="55">
        <v>194601</v>
      </c>
      <c r="K9" s="55">
        <v>84520</v>
      </c>
      <c r="L9" s="55">
        <v>52036</v>
      </c>
      <c r="M9" s="55">
        <v>34294</v>
      </c>
      <c r="N9" s="55">
        <v>36015</v>
      </c>
      <c r="O9" s="55">
        <v>71302</v>
      </c>
      <c r="P9" s="109">
        <v>0</v>
      </c>
      <c r="Q9" s="109">
        <v>149997</v>
      </c>
      <c r="R9" s="109">
        <v>0</v>
      </c>
      <c r="S9" s="109">
        <v>0</v>
      </c>
      <c r="T9" s="109">
        <f>+S42*0.01</f>
        <v>0</v>
      </c>
      <c r="U9" s="109">
        <f>+T42*0.01</f>
        <v>0</v>
      </c>
      <c r="V9" s="109">
        <f>+U42*0.01</f>
        <v>0</v>
      </c>
      <c r="W9" s="109">
        <v>0</v>
      </c>
      <c r="X9" s="109">
        <v>0</v>
      </c>
      <c r="Y9" s="109">
        <v>0</v>
      </c>
      <c r="Z9" s="109">
        <v>0</v>
      </c>
    </row>
    <row r="10" spans="1:27">
      <c r="C10" s="22"/>
      <c r="D10" s="22"/>
      <c r="E10" s="22"/>
      <c r="F10" s="22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7" ht="13" thickBot="1">
      <c r="A11" s="9" t="s">
        <v>22</v>
      </c>
      <c r="C11" s="56">
        <f>SUM(C5:C10)</f>
        <v>1244543</v>
      </c>
      <c r="D11" s="56">
        <f t="shared" ref="D11:U11" si="0">SUM(D5:D10)</f>
        <v>1482921</v>
      </c>
      <c r="E11" s="56">
        <f t="shared" si="0"/>
        <v>1598329</v>
      </c>
      <c r="F11" s="56">
        <f t="shared" si="0"/>
        <v>1747496</v>
      </c>
      <c r="G11" s="56">
        <f t="shared" si="0"/>
        <v>1387463</v>
      </c>
      <c r="H11" s="56">
        <f t="shared" si="0"/>
        <v>850210</v>
      </c>
      <c r="I11" s="56">
        <f t="shared" si="0"/>
        <v>1358926</v>
      </c>
      <c r="J11" s="56">
        <f t="shared" si="0"/>
        <v>540558</v>
      </c>
      <c r="K11" s="56">
        <f t="shared" si="0"/>
        <v>1676672</v>
      </c>
      <c r="L11" s="56">
        <f t="shared" si="0"/>
        <v>1820932</v>
      </c>
      <c r="M11" s="56">
        <f t="shared" si="0"/>
        <v>892982</v>
      </c>
      <c r="N11" s="56">
        <f t="shared" si="0"/>
        <v>722804</v>
      </c>
      <c r="O11" s="56">
        <f t="shared" si="0"/>
        <v>1298853</v>
      </c>
      <c r="P11" s="110">
        <f t="shared" si="0"/>
        <v>610464</v>
      </c>
      <c r="Q11" s="110">
        <f t="shared" si="0"/>
        <v>921525</v>
      </c>
      <c r="R11" s="110">
        <f t="shared" si="0"/>
        <v>0</v>
      </c>
      <c r="S11" s="110">
        <f t="shared" si="0"/>
        <v>0</v>
      </c>
      <c r="T11" s="110">
        <f t="shared" si="0"/>
        <v>0</v>
      </c>
      <c r="U11" s="110">
        <f t="shared" si="0"/>
        <v>0</v>
      </c>
      <c r="V11" s="110">
        <f>SUM(V5:V10)</f>
        <v>0</v>
      </c>
      <c r="W11" s="110">
        <f>SUM(W5:W10)</f>
        <v>0</v>
      </c>
      <c r="X11" s="110">
        <f t="shared" ref="X11:Z11" si="1">SUM(X5:X10)</f>
        <v>0</v>
      </c>
      <c r="Y11" s="110">
        <f t="shared" si="1"/>
        <v>0</v>
      </c>
      <c r="Z11" s="110">
        <f t="shared" si="1"/>
        <v>0</v>
      </c>
    </row>
    <row r="12" spans="1:27">
      <c r="C12" s="22"/>
      <c r="D12" s="22"/>
      <c r="E12" s="22"/>
      <c r="F12" s="22"/>
      <c r="P12" s="125"/>
      <c r="Q12" s="125"/>
      <c r="R12" s="125"/>
      <c r="S12" s="125"/>
      <c r="T12" s="125"/>
      <c r="U12" s="125"/>
      <c r="V12" s="125"/>
      <c r="W12" s="125"/>
    </row>
    <row r="13" spans="1:27">
      <c r="C13" s="22"/>
      <c r="D13" s="22"/>
      <c r="E13" s="22"/>
      <c r="F13" s="22"/>
      <c r="P13" s="125"/>
      <c r="Q13" s="125"/>
      <c r="R13" s="125"/>
      <c r="S13" s="125"/>
      <c r="T13" s="125"/>
      <c r="U13" s="125"/>
      <c r="V13" s="125"/>
      <c r="W13" s="125"/>
    </row>
    <row r="14" spans="1:27">
      <c r="A14" s="1" t="s">
        <v>102</v>
      </c>
      <c r="C14" s="22"/>
      <c r="D14" s="22"/>
      <c r="E14" s="22"/>
      <c r="F14" s="22"/>
      <c r="P14" s="125"/>
      <c r="Q14" s="125"/>
      <c r="R14" s="125"/>
      <c r="S14" s="125"/>
      <c r="T14" s="125"/>
      <c r="U14" s="125"/>
      <c r="V14" s="125"/>
      <c r="W14" s="125"/>
    </row>
    <row r="15" spans="1:27">
      <c r="C15" s="22"/>
      <c r="D15" s="22"/>
      <c r="E15" s="22"/>
      <c r="F15" s="22"/>
      <c r="P15" s="125"/>
      <c r="Q15" s="125"/>
      <c r="R15" s="125"/>
      <c r="S15" s="125"/>
      <c r="T15" s="125"/>
      <c r="U15" s="125"/>
      <c r="V15" s="125"/>
      <c r="W15" s="125"/>
    </row>
    <row r="16" spans="1:27" hidden="1">
      <c r="A16" s="9" t="s">
        <v>103</v>
      </c>
      <c r="C16" s="22"/>
      <c r="D16" s="22"/>
      <c r="E16" s="22"/>
      <c r="F16" s="22"/>
      <c r="P16" s="125"/>
      <c r="Q16" s="125"/>
      <c r="R16" s="125"/>
      <c r="S16" s="125"/>
      <c r="T16" s="125"/>
      <c r="U16" s="125"/>
      <c r="V16" s="125"/>
      <c r="W16" s="125"/>
    </row>
    <row r="17" spans="1:26" hidden="1">
      <c r="A17" s="9" t="s">
        <v>66</v>
      </c>
      <c r="C17" s="22"/>
      <c r="D17" s="22"/>
      <c r="E17" s="22"/>
      <c r="F17" s="22"/>
      <c r="P17" s="125"/>
      <c r="Q17" s="125"/>
      <c r="R17" s="125"/>
      <c r="S17" s="125"/>
      <c r="T17" s="125"/>
      <c r="U17" s="125"/>
      <c r="V17" s="125"/>
      <c r="W17" s="125"/>
    </row>
    <row r="18" spans="1:26">
      <c r="A18" s="9" t="s">
        <v>83</v>
      </c>
      <c r="C18" s="22"/>
      <c r="D18" s="22"/>
      <c r="E18" s="22"/>
      <c r="F18" s="22"/>
      <c r="K18" s="51">
        <v>378750</v>
      </c>
      <c r="M18" s="51">
        <v>120907</v>
      </c>
      <c r="N18" s="51">
        <v>100586</v>
      </c>
      <c r="O18" s="51"/>
      <c r="P18" s="111">
        <v>84583</v>
      </c>
      <c r="Q18" s="111">
        <v>278018</v>
      </c>
      <c r="R18" s="111">
        <v>0</v>
      </c>
      <c r="S18" s="111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</v>
      </c>
    </row>
    <row r="19" spans="1:26" ht="11.25" customHeight="1">
      <c r="A19" s="9" t="s">
        <v>84</v>
      </c>
      <c r="C19" s="22"/>
      <c r="D19" s="22"/>
      <c r="E19" s="22"/>
      <c r="F19" s="22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6">
      <c r="A20" s="9" t="s">
        <v>85</v>
      </c>
      <c r="C20" s="22"/>
      <c r="D20" s="22">
        <v>23401</v>
      </c>
      <c r="E20" s="22">
        <v>0</v>
      </c>
      <c r="F20" s="22">
        <v>442034</v>
      </c>
      <c r="G20" s="51">
        <v>3643806</v>
      </c>
      <c r="H20" s="51">
        <v>2540995</v>
      </c>
      <c r="I20" s="51">
        <v>1145872</v>
      </c>
      <c r="J20" s="51">
        <v>997061</v>
      </c>
      <c r="K20" s="51">
        <v>1725708</v>
      </c>
      <c r="L20" s="51">
        <v>1373936</v>
      </c>
      <c r="M20" s="51">
        <v>1653337</v>
      </c>
      <c r="N20" s="51">
        <v>1187656</v>
      </c>
      <c r="O20" s="51">
        <v>759555</v>
      </c>
      <c r="P20" s="112">
        <v>1495254</v>
      </c>
      <c r="Q20" s="112">
        <v>3325488</v>
      </c>
      <c r="R20" s="112">
        <v>0</v>
      </c>
      <c r="S20" s="112">
        <v>0</v>
      </c>
      <c r="T20" s="112">
        <v>0</v>
      </c>
      <c r="U20" s="112">
        <f>SUM('O_&amp;_M'!X38)</f>
        <v>-4136703</v>
      </c>
      <c r="V20" s="112">
        <f>SUM('O_&amp;_M'!Y38)</f>
        <v>-1417317</v>
      </c>
      <c r="W20" s="112">
        <f>SUM('O_&amp;_M'!Z38)</f>
        <v>-2765422</v>
      </c>
      <c r="X20" s="112">
        <f>SUM('O_&amp;_M'!AA38)</f>
        <v>0</v>
      </c>
      <c r="Y20" s="112">
        <v>0</v>
      </c>
      <c r="Z20" s="112">
        <v>0</v>
      </c>
    </row>
    <row r="21" spans="1:26">
      <c r="A21" s="9" t="s">
        <v>25</v>
      </c>
      <c r="C21" s="22"/>
      <c r="D21" s="22"/>
      <c r="E21" s="22"/>
      <c r="F21" s="22"/>
      <c r="G21" s="51"/>
      <c r="H21" s="51"/>
      <c r="I21" s="51"/>
      <c r="J21" s="51"/>
      <c r="K21" s="51"/>
      <c r="L21" s="51"/>
      <c r="M21" s="51"/>
      <c r="N21" s="51"/>
      <c r="O21" s="51"/>
      <c r="P21" s="126"/>
      <c r="Q21" s="109">
        <v>99700</v>
      </c>
      <c r="R21" s="109">
        <v>0</v>
      </c>
      <c r="S21" s="109">
        <v>0</v>
      </c>
      <c r="T21" s="109">
        <v>0</v>
      </c>
      <c r="U21" s="109">
        <v>0</v>
      </c>
      <c r="V21" s="109">
        <f>+U21</f>
        <v>0</v>
      </c>
      <c r="W21" s="109">
        <f>+V21</f>
        <v>0</v>
      </c>
      <c r="X21" s="109">
        <f t="shared" ref="X21:Z21" si="2">+W21</f>
        <v>0</v>
      </c>
      <c r="Y21" s="109">
        <f t="shared" si="2"/>
        <v>0</v>
      </c>
      <c r="Z21" s="109">
        <f t="shared" si="2"/>
        <v>0</v>
      </c>
    </row>
    <row r="22" spans="1:26">
      <c r="C22" s="22"/>
      <c r="D22" s="22"/>
      <c r="E22" s="22"/>
      <c r="F22" s="22"/>
      <c r="G22" s="51"/>
      <c r="H22" s="51"/>
      <c r="I22" s="51"/>
      <c r="J22" s="51"/>
      <c r="K22" s="51"/>
      <c r="L22" s="51"/>
      <c r="M22" s="51"/>
      <c r="N22" s="51"/>
      <c r="O22" s="51"/>
      <c r="P22" s="128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spans="1:26" ht="13" thickBot="1">
      <c r="A23" s="9" t="s">
        <v>22</v>
      </c>
      <c r="C23" s="56">
        <f t="shared" ref="C23:P23" si="3">SUM(C16:C20)</f>
        <v>0</v>
      </c>
      <c r="D23" s="56">
        <f t="shared" si="3"/>
        <v>23401</v>
      </c>
      <c r="E23" s="56">
        <f t="shared" si="3"/>
        <v>0</v>
      </c>
      <c r="F23" s="56">
        <f t="shared" si="3"/>
        <v>442034</v>
      </c>
      <c r="G23" s="56">
        <f t="shared" si="3"/>
        <v>3643806</v>
      </c>
      <c r="H23" s="56">
        <f t="shared" si="3"/>
        <v>2540995</v>
      </c>
      <c r="I23" s="56">
        <f t="shared" si="3"/>
        <v>1145872</v>
      </c>
      <c r="J23" s="56">
        <f t="shared" si="3"/>
        <v>997061</v>
      </c>
      <c r="K23" s="56">
        <f t="shared" si="3"/>
        <v>2104458</v>
      </c>
      <c r="L23" s="56">
        <f t="shared" si="3"/>
        <v>1373936</v>
      </c>
      <c r="M23" s="56">
        <f t="shared" si="3"/>
        <v>1774244</v>
      </c>
      <c r="N23" s="56">
        <f t="shared" si="3"/>
        <v>1288242</v>
      </c>
      <c r="O23" s="56">
        <f t="shared" si="3"/>
        <v>759555</v>
      </c>
      <c r="P23" s="110">
        <f t="shared" si="3"/>
        <v>1579837</v>
      </c>
      <c r="Q23" s="110">
        <f>SUM(Q18:Q21)</f>
        <v>3703206</v>
      </c>
      <c r="R23" s="110">
        <f t="shared" ref="R23:W23" si="4">SUM(R16:R21)</f>
        <v>0</v>
      </c>
      <c r="S23" s="110">
        <f t="shared" si="4"/>
        <v>0</v>
      </c>
      <c r="T23" s="110">
        <f t="shared" si="4"/>
        <v>0</v>
      </c>
      <c r="U23" s="110">
        <f t="shared" si="4"/>
        <v>-4136703</v>
      </c>
      <c r="V23" s="110">
        <f t="shared" si="4"/>
        <v>-1417317</v>
      </c>
      <c r="W23" s="110">
        <f t="shared" si="4"/>
        <v>-2765422</v>
      </c>
      <c r="X23" s="110">
        <f t="shared" ref="X23:Z23" si="5">SUM(X16:X21)</f>
        <v>0</v>
      </c>
      <c r="Y23" s="110">
        <f t="shared" si="5"/>
        <v>0</v>
      </c>
      <c r="Z23" s="110">
        <f t="shared" si="5"/>
        <v>0</v>
      </c>
    </row>
    <row r="24" spans="1:26">
      <c r="C24" s="22"/>
      <c r="D24" s="22"/>
      <c r="E24" s="22"/>
      <c r="F24" s="22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6">
      <c r="C25" s="22"/>
      <c r="D25" s="22"/>
      <c r="E25" s="22"/>
      <c r="F25" s="22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6" ht="24">
      <c r="A26" s="63" t="s">
        <v>75</v>
      </c>
      <c r="B26" s="125"/>
      <c r="C26" s="57">
        <f t="shared" ref="C26:V26" si="6">+C11-C23</f>
        <v>1244543</v>
      </c>
      <c r="D26" s="57">
        <f t="shared" si="6"/>
        <v>1459520</v>
      </c>
      <c r="E26" s="57">
        <f t="shared" si="6"/>
        <v>1598329</v>
      </c>
      <c r="F26" s="57">
        <f t="shared" si="6"/>
        <v>1305462</v>
      </c>
      <c r="G26" s="57">
        <f t="shared" si="6"/>
        <v>-2256343</v>
      </c>
      <c r="H26" s="57">
        <f t="shared" si="6"/>
        <v>-1690785</v>
      </c>
      <c r="I26" s="57">
        <f t="shared" si="6"/>
        <v>213054</v>
      </c>
      <c r="J26" s="57">
        <f t="shared" si="6"/>
        <v>-456503</v>
      </c>
      <c r="K26" s="57">
        <f t="shared" si="6"/>
        <v>-427786</v>
      </c>
      <c r="L26" s="57">
        <f t="shared" si="6"/>
        <v>446996</v>
      </c>
      <c r="M26" s="57">
        <f t="shared" si="6"/>
        <v>-881262</v>
      </c>
      <c r="N26" s="57">
        <f t="shared" si="6"/>
        <v>-565438</v>
      </c>
      <c r="O26" s="57">
        <f t="shared" si="6"/>
        <v>539298</v>
      </c>
      <c r="P26" s="114">
        <f t="shared" si="6"/>
        <v>-969373</v>
      </c>
      <c r="Q26" s="114">
        <f t="shared" si="6"/>
        <v>-2781681</v>
      </c>
      <c r="R26" s="114">
        <f t="shared" si="6"/>
        <v>0</v>
      </c>
      <c r="S26" s="114">
        <f t="shared" si="6"/>
        <v>0</v>
      </c>
      <c r="T26" s="114">
        <f t="shared" si="6"/>
        <v>0</v>
      </c>
      <c r="U26" s="114">
        <f t="shared" si="6"/>
        <v>4136703</v>
      </c>
      <c r="V26" s="114">
        <f t="shared" si="6"/>
        <v>1417317</v>
      </c>
      <c r="W26" s="114">
        <f>+W11-W23</f>
        <v>2765422</v>
      </c>
      <c r="X26" s="114">
        <f t="shared" ref="X26:Z26" si="7">+X11-X23</f>
        <v>0</v>
      </c>
      <c r="Y26" s="114">
        <f t="shared" si="7"/>
        <v>0</v>
      </c>
      <c r="Z26" s="114">
        <f t="shared" si="7"/>
        <v>0</v>
      </c>
    </row>
    <row r="27" spans="1:26">
      <c r="A27" s="13"/>
      <c r="B27" s="125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14"/>
      <c r="Q27" s="114"/>
      <c r="R27" s="114"/>
      <c r="S27" s="114"/>
      <c r="T27" s="114"/>
      <c r="U27" s="114"/>
      <c r="V27" s="114"/>
      <c r="W27" s="114"/>
    </row>
    <row r="28" spans="1:26">
      <c r="A28" s="1" t="s">
        <v>0</v>
      </c>
      <c r="B28" s="125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114"/>
      <c r="Q28" s="114"/>
      <c r="R28" s="114"/>
      <c r="S28" s="114"/>
      <c r="T28" s="114"/>
      <c r="U28" s="114"/>
      <c r="V28" s="114"/>
      <c r="W28" s="114"/>
    </row>
    <row r="29" spans="1:26">
      <c r="A29" s="1"/>
      <c r="B29" s="125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114"/>
      <c r="Q29" s="114"/>
      <c r="R29" s="114"/>
      <c r="S29" s="114"/>
      <c r="T29" s="114"/>
      <c r="U29" s="114"/>
      <c r="V29" s="114"/>
      <c r="W29" s="114"/>
    </row>
    <row r="30" spans="1:26" ht="13" thickBot="1">
      <c r="A30" s="72" t="s">
        <v>55</v>
      </c>
      <c r="B30" s="125"/>
      <c r="C30" s="19"/>
      <c r="D30" s="57"/>
      <c r="E30" s="57"/>
      <c r="F30" s="57"/>
      <c r="G30" s="15"/>
      <c r="H30" s="57"/>
      <c r="I30" s="57"/>
      <c r="J30" s="57"/>
      <c r="K30" s="57"/>
      <c r="L30" s="57"/>
      <c r="M30" s="57"/>
      <c r="N30" s="57"/>
      <c r="O30" s="15"/>
      <c r="P30" s="112"/>
      <c r="Q30" s="112">
        <v>7166339</v>
      </c>
      <c r="R30" s="112"/>
      <c r="S30" s="112"/>
      <c r="T30" s="112"/>
      <c r="U30" s="112"/>
      <c r="V30" s="112"/>
      <c r="W30" s="112"/>
    </row>
    <row r="31" spans="1:26" ht="13" thickBot="1">
      <c r="A31" s="72" t="s">
        <v>19</v>
      </c>
      <c r="B31" s="125"/>
      <c r="C31" s="19"/>
      <c r="D31" s="57"/>
      <c r="E31" s="57"/>
      <c r="F31" s="57"/>
      <c r="G31" s="15"/>
      <c r="H31" s="57"/>
      <c r="I31" s="57"/>
      <c r="J31" s="57"/>
      <c r="K31" s="57"/>
      <c r="L31" s="57"/>
      <c r="M31" s="57"/>
      <c r="N31" s="57"/>
      <c r="O31" s="15"/>
      <c r="P31" s="112"/>
      <c r="Q31" s="112"/>
      <c r="R31" s="112"/>
      <c r="S31" s="112"/>
      <c r="T31" s="112"/>
      <c r="U31" s="112"/>
      <c r="V31" s="112"/>
      <c r="W31" s="112"/>
    </row>
    <row r="32" spans="1:26" ht="13" thickBot="1">
      <c r="A32" s="72" t="s">
        <v>20</v>
      </c>
      <c r="B32" s="125"/>
      <c r="C32" s="19"/>
      <c r="D32" s="57"/>
      <c r="E32" s="57"/>
      <c r="F32" s="57"/>
      <c r="G32" s="15"/>
      <c r="H32" s="57"/>
      <c r="I32" s="57"/>
      <c r="J32" s="57"/>
      <c r="K32" s="57"/>
      <c r="L32" s="57"/>
      <c r="M32" s="57"/>
      <c r="N32" s="57"/>
      <c r="O32" s="15"/>
      <c r="P32" s="112"/>
      <c r="Q32" s="112">
        <v>16283</v>
      </c>
      <c r="R32" s="112"/>
      <c r="S32" s="112"/>
      <c r="T32" s="112"/>
      <c r="U32" s="112"/>
      <c r="V32" s="112"/>
      <c r="W32" s="112"/>
    </row>
    <row r="33" spans="1:26" ht="25" thickBot="1">
      <c r="A33" s="72" t="s">
        <v>1</v>
      </c>
      <c r="B33" s="125"/>
      <c r="C33" s="19">
        <v>1384596</v>
      </c>
      <c r="D33" s="56"/>
      <c r="E33" s="56"/>
      <c r="F33" s="56"/>
      <c r="G33" s="19"/>
      <c r="H33" s="56"/>
      <c r="I33" s="56"/>
      <c r="J33" s="56"/>
      <c r="K33" s="56">
        <f>-'O_&amp;_M'!K39</f>
        <v>0</v>
      </c>
      <c r="L33" s="56">
        <f>-'O_&amp;_M'!L39</f>
        <v>0</v>
      </c>
      <c r="M33" s="56">
        <f>-'O_&amp;_M'!M39</f>
        <v>0</v>
      </c>
      <c r="N33" s="56">
        <f>-'O_&amp;_M'!N39</f>
        <v>0</v>
      </c>
      <c r="O33" s="19">
        <f>-'O_&amp;_M'!O39</f>
        <v>0</v>
      </c>
      <c r="P33" s="115">
        <f>-'O_&amp;_M'!P39</f>
        <v>0</v>
      </c>
      <c r="Q33" s="115">
        <f>-'O_&amp;_M'!Q39</f>
        <v>0</v>
      </c>
      <c r="R33" s="115">
        <v>0</v>
      </c>
      <c r="S33" s="115">
        <f>-'O_&amp;_M'!S39</f>
        <v>0</v>
      </c>
      <c r="T33" s="143">
        <v>0</v>
      </c>
      <c r="U33" s="115">
        <v>4136703</v>
      </c>
      <c r="V33" s="115">
        <v>1417317</v>
      </c>
      <c r="W33" s="115">
        <v>2765422</v>
      </c>
      <c r="X33" s="143">
        <v>0</v>
      </c>
      <c r="Y33" s="143">
        <v>0</v>
      </c>
      <c r="Z33" s="143">
        <v>0</v>
      </c>
    </row>
    <row r="34" spans="1:26" ht="25" thickBot="1">
      <c r="A34" s="136" t="s">
        <v>96</v>
      </c>
      <c r="B34" s="125"/>
      <c r="C34" s="15"/>
      <c r="D34" s="57"/>
      <c r="E34" s="57"/>
      <c r="F34" s="57"/>
      <c r="G34" s="15"/>
      <c r="H34" s="57"/>
      <c r="I34" s="57"/>
      <c r="J34" s="57"/>
      <c r="K34" s="57"/>
      <c r="L34" s="57"/>
      <c r="M34" s="57"/>
      <c r="N34" s="57"/>
      <c r="O34" s="15"/>
      <c r="P34" s="110">
        <f t="shared" ref="P34:W34" si="8">SUM(P30:P33)</f>
        <v>0</v>
      </c>
      <c r="Q34" s="110">
        <f t="shared" si="8"/>
        <v>7182622</v>
      </c>
      <c r="R34" s="110">
        <f t="shared" si="8"/>
        <v>0</v>
      </c>
      <c r="S34" s="110">
        <f t="shared" si="8"/>
        <v>0</v>
      </c>
      <c r="T34" s="110">
        <f t="shared" si="8"/>
        <v>0</v>
      </c>
      <c r="U34" s="110">
        <f t="shared" si="8"/>
        <v>4136703</v>
      </c>
      <c r="V34" s="110">
        <f t="shared" si="8"/>
        <v>1417317</v>
      </c>
      <c r="W34" s="110">
        <f t="shared" si="8"/>
        <v>2765422</v>
      </c>
      <c r="X34" s="110">
        <f t="shared" ref="X34:Z34" si="9">SUM(X30:X33)</f>
        <v>0</v>
      </c>
      <c r="Y34" s="110">
        <f t="shared" si="9"/>
        <v>0</v>
      </c>
      <c r="Z34" s="110">
        <f t="shared" si="9"/>
        <v>0</v>
      </c>
    </row>
    <row r="35" spans="1:26">
      <c r="A35" s="72"/>
      <c r="B35" s="125"/>
      <c r="C35" s="15"/>
      <c r="D35" s="57"/>
      <c r="E35" s="57"/>
      <c r="F35" s="57"/>
      <c r="G35" s="15"/>
      <c r="H35" s="57"/>
      <c r="I35" s="57"/>
      <c r="J35" s="57"/>
      <c r="K35" s="57"/>
      <c r="L35" s="57"/>
      <c r="M35" s="57"/>
      <c r="N35" s="57"/>
      <c r="O35" s="15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spans="1:26">
      <c r="A36" s="72"/>
      <c r="B36" s="125"/>
      <c r="C36" s="15"/>
      <c r="D36" s="57"/>
      <c r="E36" s="57"/>
      <c r="F36" s="57"/>
      <c r="G36" s="15"/>
      <c r="H36" s="57"/>
      <c r="I36" s="57"/>
      <c r="J36" s="57"/>
      <c r="K36" s="57"/>
      <c r="L36" s="57"/>
      <c r="M36" s="57"/>
      <c r="N36" s="57"/>
      <c r="O36" s="15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spans="1:26">
      <c r="A37" s="13" t="s">
        <v>89</v>
      </c>
      <c r="C37" s="22">
        <f t="shared" ref="C37:T37" si="10">SUM(C26:C33)</f>
        <v>2629139</v>
      </c>
      <c r="D37" s="22">
        <f t="shared" si="10"/>
        <v>1459520</v>
      </c>
      <c r="E37" s="22">
        <f t="shared" si="10"/>
        <v>1598329</v>
      </c>
      <c r="F37" s="22">
        <f t="shared" si="10"/>
        <v>1305462</v>
      </c>
      <c r="G37" s="22">
        <f t="shared" si="10"/>
        <v>-2256343</v>
      </c>
      <c r="H37" s="22">
        <f t="shared" si="10"/>
        <v>-1690785</v>
      </c>
      <c r="I37" s="22">
        <f t="shared" si="10"/>
        <v>213054</v>
      </c>
      <c r="J37" s="22">
        <f t="shared" si="10"/>
        <v>-456503</v>
      </c>
      <c r="K37" s="22">
        <f t="shared" si="10"/>
        <v>-427786</v>
      </c>
      <c r="L37" s="22">
        <f t="shared" si="10"/>
        <v>446996</v>
      </c>
      <c r="M37" s="22">
        <f t="shared" si="10"/>
        <v>-881262</v>
      </c>
      <c r="N37" s="22">
        <f t="shared" si="10"/>
        <v>-565438</v>
      </c>
      <c r="O37" s="22">
        <f t="shared" si="10"/>
        <v>539298</v>
      </c>
      <c r="P37" s="124">
        <f t="shared" si="10"/>
        <v>-969373</v>
      </c>
      <c r="Q37" s="124">
        <f t="shared" si="10"/>
        <v>4400941</v>
      </c>
      <c r="R37" s="124">
        <f t="shared" si="10"/>
        <v>0</v>
      </c>
      <c r="S37" s="124">
        <f t="shared" si="10"/>
        <v>0</v>
      </c>
      <c r="T37" s="124">
        <f t="shared" si="10"/>
        <v>0</v>
      </c>
      <c r="U37" s="124">
        <f>SUM(U23+U33)</f>
        <v>0</v>
      </c>
      <c r="V37" s="124">
        <f t="shared" ref="V37:W37" si="11">SUM(V23+V33)</f>
        <v>0</v>
      </c>
      <c r="W37" s="124">
        <f t="shared" si="11"/>
        <v>0</v>
      </c>
      <c r="X37" s="124">
        <f t="shared" ref="X37:Z37" si="12">SUM(X26:X33)</f>
        <v>0</v>
      </c>
      <c r="Y37" s="124">
        <f t="shared" si="12"/>
        <v>0</v>
      </c>
      <c r="Z37" s="124">
        <f t="shared" si="12"/>
        <v>0</v>
      </c>
    </row>
    <row r="38" spans="1:26">
      <c r="A38" s="30"/>
      <c r="C38" s="22"/>
      <c r="D38" s="22"/>
      <c r="E38" s="22"/>
      <c r="F38" s="22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spans="1:26">
      <c r="A39" s="8" t="s">
        <v>47</v>
      </c>
      <c r="C39" s="22"/>
      <c r="D39" s="22"/>
      <c r="E39" s="22"/>
      <c r="F39" s="22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spans="1:26">
      <c r="A40" s="9" t="s">
        <v>48</v>
      </c>
      <c r="C40" s="51">
        <f>+B42</f>
        <v>0</v>
      </c>
      <c r="D40" s="51">
        <f>+C42</f>
        <v>2629139</v>
      </c>
      <c r="E40" s="51">
        <f t="shared" ref="E40:V40" si="13">+D42</f>
        <v>4088659</v>
      </c>
      <c r="F40" s="51">
        <f t="shared" si="13"/>
        <v>5686988</v>
      </c>
      <c r="G40" s="51">
        <f t="shared" si="13"/>
        <v>6992450</v>
      </c>
      <c r="H40" s="51">
        <f t="shared" si="13"/>
        <v>4736107</v>
      </c>
      <c r="I40" s="51">
        <f t="shared" si="13"/>
        <v>3045322</v>
      </c>
      <c r="J40" s="51">
        <f t="shared" si="13"/>
        <v>3258376</v>
      </c>
      <c r="K40" s="51">
        <f t="shared" si="13"/>
        <v>2801873</v>
      </c>
      <c r="L40" s="51">
        <f t="shared" si="13"/>
        <v>2374087</v>
      </c>
      <c r="M40" s="51">
        <f t="shared" si="13"/>
        <v>2821083</v>
      </c>
      <c r="N40" s="51">
        <f t="shared" si="13"/>
        <v>1939821</v>
      </c>
      <c r="O40" s="51">
        <f t="shared" si="13"/>
        <v>1374383</v>
      </c>
      <c r="P40" s="111">
        <v>667165</v>
      </c>
      <c r="Q40" s="111">
        <f t="shared" si="13"/>
        <v>-302208</v>
      </c>
      <c r="R40" s="111">
        <v>0</v>
      </c>
      <c r="S40" s="111">
        <f t="shared" si="13"/>
        <v>0</v>
      </c>
      <c r="T40" s="111">
        <f t="shared" si="13"/>
        <v>0</v>
      </c>
      <c r="U40" s="111">
        <f>+T42</f>
        <v>0</v>
      </c>
      <c r="V40" s="111">
        <f t="shared" si="13"/>
        <v>0</v>
      </c>
      <c r="W40" s="111">
        <v>0</v>
      </c>
      <c r="X40" s="111">
        <v>0</v>
      </c>
      <c r="Y40" s="111">
        <v>0</v>
      </c>
      <c r="Z40" s="111">
        <v>0</v>
      </c>
    </row>
    <row r="41" spans="1:26"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</row>
    <row r="42" spans="1:26" ht="13" thickBot="1">
      <c r="A42" s="9" t="s">
        <v>41</v>
      </c>
      <c r="C42" s="58">
        <f>+C40+C37</f>
        <v>2629139</v>
      </c>
      <c r="D42" s="58">
        <f t="shared" ref="D42:S42" si="14">+D40+D37</f>
        <v>4088659</v>
      </c>
      <c r="E42" s="58">
        <f t="shared" si="14"/>
        <v>5686988</v>
      </c>
      <c r="F42" s="58">
        <f t="shared" si="14"/>
        <v>6992450</v>
      </c>
      <c r="G42" s="58">
        <f>+G40+G26</f>
        <v>4736107</v>
      </c>
      <c r="H42" s="58">
        <f t="shared" si="14"/>
        <v>3045322</v>
      </c>
      <c r="I42" s="58">
        <f t="shared" si="14"/>
        <v>3258376</v>
      </c>
      <c r="J42" s="58">
        <f t="shared" si="14"/>
        <v>2801873</v>
      </c>
      <c r="K42" s="58">
        <f t="shared" si="14"/>
        <v>2374087</v>
      </c>
      <c r="L42" s="58">
        <f t="shared" si="14"/>
        <v>2821083</v>
      </c>
      <c r="M42" s="58">
        <f t="shared" si="14"/>
        <v>1939821</v>
      </c>
      <c r="N42" s="58">
        <f t="shared" si="14"/>
        <v>1374383</v>
      </c>
      <c r="O42" s="58">
        <f t="shared" si="14"/>
        <v>1913681</v>
      </c>
      <c r="P42" s="116">
        <f t="shared" si="14"/>
        <v>-302208</v>
      </c>
      <c r="Q42" s="116">
        <f t="shared" si="14"/>
        <v>4098733</v>
      </c>
      <c r="R42" s="116">
        <f t="shared" si="14"/>
        <v>0</v>
      </c>
      <c r="S42" s="116">
        <f t="shared" si="14"/>
        <v>0</v>
      </c>
      <c r="T42" s="116">
        <f>+T40+T37</f>
        <v>0</v>
      </c>
      <c r="U42" s="116">
        <f>+U40+U37</f>
        <v>0</v>
      </c>
      <c r="V42" s="116">
        <f>+V40+V37</f>
        <v>0</v>
      </c>
      <c r="W42" s="116">
        <f>+W40+W37</f>
        <v>0</v>
      </c>
      <c r="X42" s="116">
        <f t="shared" ref="X42:Z42" si="15">+X40+X37</f>
        <v>0</v>
      </c>
      <c r="Y42" s="116">
        <f t="shared" si="15"/>
        <v>0</v>
      </c>
      <c r="Z42" s="116">
        <f t="shared" si="15"/>
        <v>0</v>
      </c>
    </row>
    <row r="43" spans="1:26" ht="13" thickTop="1">
      <c r="H43" s="73"/>
    </row>
    <row r="46" spans="1:26" s="34" customFormat="1" ht="31" hidden="1" thickBot="1">
      <c r="A46" s="69" t="s">
        <v>94</v>
      </c>
      <c r="B46" s="48">
        <f>+B26/12</f>
        <v>0</v>
      </c>
      <c r="C46" s="48">
        <f>+C26/12</f>
        <v>103711.91666666667</v>
      </c>
      <c r="D46" s="71">
        <f t="shared" ref="D46:U46" si="16">+D42/(+D23/365)</f>
        <v>63773.365881799924</v>
      </c>
      <c r="E46" s="71" t="e">
        <f t="shared" si="16"/>
        <v>#DIV/0!</v>
      </c>
      <c r="F46" s="71">
        <f t="shared" si="16"/>
        <v>5773.8641145251277</v>
      </c>
      <c r="G46" s="71">
        <f t="shared" si="16"/>
        <v>474.41577707484976</v>
      </c>
      <c r="H46" s="71">
        <f t="shared" si="16"/>
        <v>437.44380842937511</v>
      </c>
      <c r="I46" s="71">
        <f t="shared" si="16"/>
        <v>1037.9058393956743</v>
      </c>
      <c r="J46" s="71">
        <f t="shared" si="16"/>
        <v>1025.6981719272942</v>
      </c>
      <c r="K46" s="71">
        <f t="shared" si="16"/>
        <v>411.76481307776163</v>
      </c>
      <c r="L46" s="71">
        <f t="shared" si="16"/>
        <v>749.44924290505526</v>
      </c>
      <c r="M46" s="71">
        <f t="shared" si="16"/>
        <v>399.06273601601583</v>
      </c>
      <c r="N46" s="71">
        <f t="shared" si="16"/>
        <v>389.40648961918646</v>
      </c>
      <c r="O46" s="71">
        <f t="shared" si="16"/>
        <v>919.60893549512548</v>
      </c>
      <c r="P46" s="71">
        <f t="shared" si="16"/>
        <v>-69.821076478142999</v>
      </c>
      <c r="Q46" s="71">
        <f t="shared" si="16"/>
        <v>403.98442457697467</v>
      </c>
      <c r="R46" s="71" t="e">
        <f t="shared" si="16"/>
        <v>#DIV/0!</v>
      </c>
      <c r="S46" s="71" t="e">
        <f t="shared" si="16"/>
        <v>#DIV/0!</v>
      </c>
      <c r="T46" s="71" t="e">
        <f t="shared" si="16"/>
        <v>#DIV/0!</v>
      </c>
      <c r="U46" s="71">
        <f t="shared" si="16"/>
        <v>0</v>
      </c>
    </row>
    <row r="48" spans="1:26" hidden="1"/>
    <row r="125" spans="16:23">
      <c r="P125" s="9" t="s">
        <v>99</v>
      </c>
      <c r="Q125" s="131" t="s">
        <v>100</v>
      </c>
      <c r="R125" s="131" t="s">
        <v>101</v>
      </c>
      <c r="S125" s="131" t="s">
        <v>104</v>
      </c>
      <c r="T125" s="131" t="s">
        <v>105</v>
      </c>
      <c r="U125" s="131" t="s">
        <v>106</v>
      </c>
      <c r="V125" s="131" t="s">
        <v>14</v>
      </c>
      <c r="W125" s="9" t="s">
        <v>69</v>
      </c>
    </row>
  </sheetData>
  <phoneticPr fontId="16" type="noConversion"/>
  <pageMargins left="0.77" right="0.84" top="1.25" bottom="0.5" header="0.5" footer="0.25"/>
  <pageSetup scale="86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Projections_x000D_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AD126"/>
  <sheetViews>
    <sheetView view="pageLayout" topLeftCell="A9" zoomScale="150" zoomScaleNormal="150" zoomScalePageLayoutView="150" workbookViewId="0">
      <selection activeCell="Y26" sqref="Y26"/>
    </sheetView>
  </sheetViews>
  <sheetFormatPr baseColWidth="10" defaultColWidth="9.1640625" defaultRowHeight="12" x14ac:dyDescent="0"/>
  <cols>
    <col min="1" max="1" width="27.6640625" style="9" customWidth="1"/>
    <col min="2" max="6" width="18.6640625" style="9" hidden="1" customWidth="1"/>
    <col min="7" max="10" width="17.5" style="9" hidden="1" customWidth="1"/>
    <col min="11" max="11" width="19.5" style="9" hidden="1" customWidth="1"/>
    <col min="12" max="16" width="17.5" style="9" hidden="1" customWidth="1"/>
    <col min="17" max="17" width="17.33203125" style="9" hidden="1" customWidth="1"/>
    <col min="18" max="19" width="14.33203125" style="9" hidden="1" customWidth="1"/>
    <col min="20" max="20" width="12.1640625" style="9" hidden="1" customWidth="1"/>
    <col min="21" max="21" width="12" style="9" hidden="1" customWidth="1"/>
    <col min="22" max="22" width="14" style="9" customWidth="1"/>
    <col min="23" max="23" width="12" style="9" customWidth="1"/>
    <col min="24" max="24" width="12.33203125" style="9" customWidth="1"/>
    <col min="25" max="27" width="12.1640625" style="9" customWidth="1"/>
    <col min="28" max="29" width="11.5" style="9" customWidth="1"/>
    <col min="30" max="16384" width="9.1640625" style="9"/>
  </cols>
  <sheetData>
    <row r="1" spans="1:30" ht="36">
      <c r="A1" s="106" t="s">
        <v>124</v>
      </c>
      <c r="B1" s="53"/>
      <c r="C1" s="23" t="s">
        <v>9</v>
      </c>
      <c r="D1" s="23" t="s">
        <v>56</v>
      </c>
      <c r="E1" s="23" t="s">
        <v>57</v>
      </c>
      <c r="F1" s="2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2" t="s">
        <v>33</v>
      </c>
      <c r="S1" s="2" t="s">
        <v>126</v>
      </c>
      <c r="T1" s="2" t="s">
        <v>111</v>
      </c>
      <c r="U1" s="153" t="s">
        <v>129</v>
      </c>
      <c r="V1" s="153" t="s">
        <v>130</v>
      </c>
      <c r="W1" s="2" t="s">
        <v>131</v>
      </c>
      <c r="X1" s="2" t="s">
        <v>132</v>
      </c>
      <c r="Y1" s="2" t="s">
        <v>135</v>
      </c>
      <c r="Z1" s="2" t="s">
        <v>136</v>
      </c>
      <c r="AA1" s="2" t="s">
        <v>150</v>
      </c>
      <c r="AB1" s="2" t="s">
        <v>159</v>
      </c>
      <c r="AC1" s="2" t="s">
        <v>167</v>
      </c>
      <c r="AD1" s="2" t="s">
        <v>172</v>
      </c>
    </row>
    <row r="2" spans="1:30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3" t="s">
        <v>127</v>
      </c>
      <c r="Y2" s="153" t="s">
        <v>128</v>
      </c>
      <c r="Z2" s="153" t="s">
        <v>128</v>
      </c>
      <c r="AA2" s="153" t="s">
        <v>128</v>
      </c>
      <c r="AB2" s="153" t="s">
        <v>128</v>
      </c>
      <c r="AC2" s="153" t="s">
        <v>128</v>
      </c>
    </row>
    <row r="3" spans="1:30">
      <c r="A3" s="1" t="s">
        <v>92</v>
      </c>
    </row>
    <row r="5" spans="1:30" s="192" customFormat="1">
      <c r="A5" s="192" t="s">
        <v>93</v>
      </c>
      <c r="C5" s="193">
        <v>1244543</v>
      </c>
      <c r="D5" s="193">
        <v>1274461</v>
      </c>
      <c r="E5" s="193">
        <v>1300988</v>
      </c>
      <c r="F5" s="193">
        <v>1353052</v>
      </c>
      <c r="G5" s="193">
        <v>899366</v>
      </c>
      <c r="H5" s="193">
        <v>690310</v>
      </c>
      <c r="I5" s="193">
        <v>1169644</v>
      </c>
      <c r="J5" s="193">
        <v>345957</v>
      </c>
      <c r="K5" s="193">
        <v>1592152</v>
      </c>
      <c r="L5" s="193">
        <v>1768896</v>
      </c>
      <c r="M5" s="193">
        <v>858688</v>
      </c>
      <c r="N5" s="193">
        <v>686789</v>
      </c>
      <c r="O5" s="193">
        <v>1227551</v>
      </c>
      <c r="P5" s="193">
        <v>610464</v>
      </c>
      <c r="Q5" s="193">
        <v>771528</v>
      </c>
      <c r="R5" s="249">
        <v>787695.5</v>
      </c>
      <c r="S5" s="193">
        <v>740532</v>
      </c>
      <c r="T5" s="193">
        <v>356871</v>
      </c>
      <c r="U5" s="193">
        <v>-5773</v>
      </c>
      <c r="V5" s="193">
        <v>-5755</v>
      </c>
      <c r="W5" s="193">
        <v>3691</v>
      </c>
      <c r="X5" s="192">
        <v>0</v>
      </c>
      <c r="Y5" s="192">
        <v>0</v>
      </c>
      <c r="Z5" s="192">
        <v>0</v>
      </c>
      <c r="AA5" s="192">
        <v>0</v>
      </c>
      <c r="AB5" s="192">
        <v>0</v>
      </c>
      <c r="AC5" s="192">
        <v>0</v>
      </c>
    </row>
    <row r="6" spans="1:30">
      <c r="A6" s="9" t="s">
        <v>27</v>
      </c>
      <c r="C6" s="22"/>
      <c r="D6" s="22"/>
      <c r="E6" s="22"/>
      <c r="F6" s="22"/>
      <c r="P6" s="108"/>
      <c r="Q6" s="108"/>
      <c r="R6" s="177"/>
      <c r="S6" s="108"/>
      <c r="T6" s="148"/>
      <c r="U6" s="148"/>
      <c r="V6" s="148"/>
      <c r="W6" s="125"/>
    </row>
    <row r="7" spans="1:30">
      <c r="A7" s="9" t="s">
        <v>28</v>
      </c>
      <c r="C7" s="22"/>
      <c r="D7" s="22"/>
      <c r="E7" s="22"/>
      <c r="F7" s="22"/>
      <c r="P7" s="108"/>
      <c r="Q7" s="108"/>
      <c r="R7" s="177"/>
      <c r="S7" s="108"/>
      <c r="T7" s="148"/>
      <c r="U7" s="148"/>
      <c r="V7" s="148"/>
      <c r="W7" s="125"/>
    </row>
    <row r="8" spans="1:30">
      <c r="A8" s="9" t="s">
        <v>50</v>
      </c>
      <c r="C8" s="22"/>
      <c r="D8" s="22"/>
      <c r="E8" s="22"/>
      <c r="F8" s="22"/>
      <c r="P8" s="108"/>
      <c r="Q8" s="108"/>
      <c r="R8" s="177"/>
      <c r="S8" s="108"/>
      <c r="T8" s="148"/>
      <c r="U8" s="148"/>
      <c r="V8" s="148"/>
      <c r="W8" s="125"/>
    </row>
    <row r="9" spans="1:30" s="179" customFormat="1">
      <c r="A9" s="179" t="s">
        <v>112</v>
      </c>
      <c r="C9" s="194"/>
      <c r="D9" s="195">
        <v>208460</v>
      </c>
      <c r="E9" s="195">
        <v>297341</v>
      </c>
      <c r="F9" s="195">
        <v>394444</v>
      </c>
      <c r="G9" s="195">
        <v>488097</v>
      </c>
      <c r="H9" s="195">
        <v>159900</v>
      </c>
      <c r="I9" s="195">
        <v>189282</v>
      </c>
      <c r="J9" s="195">
        <v>194601</v>
      </c>
      <c r="K9" s="195">
        <v>84520</v>
      </c>
      <c r="L9" s="195">
        <v>52036</v>
      </c>
      <c r="M9" s="195">
        <v>34294</v>
      </c>
      <c r="N9" s="195">
        <v>36015</v>
      </c>
      <c r="O9" s="195">
        <v>71302</v>
      </c>
      <c r="P9" s="195">
        <v>0</v>
      </c>
      <c r="Q9" s="195">
        <v>149997</v>
      </c>
      <c r="R9" s="250">
        <v>11760.5</v>
      </c>
      <c r="S9" s="195">
        <v>9207</v>
      </c>
      <c r="T9" s="263">
        <f>1554</f>
        <v>1554</v>
      </c>
      <c r="U9" s="196">
        <v>423</v>
      </c>
      <c r="V9" s="196">
        <v>254</v>
      </c>
      <c r="W9" s="196">
        <v>66</v>
      </c>
      <c r="X9" s="196">
        <v>50</v>
      </c>
      <c r="Y9" s="196">
        <v>0</v>
      </c>
      <c r="Z9" s="196">
        <v>0</v>
      </c>
      <c r="AA9" s="196">
        <v>0</v>
      </c>
      <c r="AB9" s="196">
        <v>0</v>
      </c>
      <c r="AC9" s="196">
        <v>0</v>
      </c>
    </row>
    <row r="10" spans="1:30">
      <c r="C10" s="22"/>
      <c r="D10" s="22"/>
      <c r="E10" s="22"/>
      <c r="F10" s="22"/>
      <c r="P10" s="108"/>
      <c r="Q10" s="108"/>
      <c r="R10" s="108"/>
      <c r="S10" s="108"/>
      <c r="T10" s="148"/>
      <c r="U10" s="148"/>
      <c r="V10" s="148"/>
      <c r="W10" s="125"/>
    </row>
    <row r="11" spans="1:30" ht="13" thickBot="1">
      <c r="A11" s="9" t="s">
        <v>22</v>
      </c>
      <c r="C11" s="56">
        <f>SUM(C5:C10)</f>
        <v>1244543</v>
      </c>
      <c r="D11" s="56">
        <f t="shared" ref="D11:U11" si="0">SUM(D5:D10)</f>
        <v>1482921</v>
      </c>
      <c r="E11" s="56">
        <f t="shared" si="0"/>
        <v>1598329</v>
      </c>
      <c r="F11" s="56">
        <f t="shared" si="0"/>
        <v>1747496</v>
      </c>
      <c r="G11" s="56">
        <f t="shared" si="0"/>
        <v>1387463</v>
      </c>
      <c r="H11" s="56">
        <f t="shared" si="0"/>
        <v>850210</v>
      </c>
      <c r="I11" s="56">
        <f t="shared" si="0"/>
        <v>1358926</v>
      </c>
      <c r="J11" s="56">
        <f t="shared" si="0"/>
        <v>540558</v>
      </c>
      <c r="K11" s="56">
        <f t="shared" si="0"/>
        <v>1676672</v>
      </c>
      <c r="L11" s="56">
        <f t="shared" si="0"/>
        <v>1820932</v>
      </c>
      <c r="M11" s="56">
        <f t="shared" si="0"/>
        <v>892982</v>
      </c>
      <c r="N11" s="56">
        <f t="shared" si="0"/>
        <v>722804</v>
      </c>
      <c r="O11" s="56">
        <f t="shared" si="0"/>
        <v>1298853</v>
      </c>
      <c r="P11" s="110">
        <f t="shared" si="0"/>
        <v>610464</v>
      </c>
      <c r="Q11" s="110">
        <f t="shared" si="0"/>
        <v>921525</v>
      </c>
      <c r="R11" s="110">
        <f t="shared" si="0"/>
        <v>799456</v>
      </c>
      <c r="S11" s="110">
        <f t="shared" si="0"/>
        <v>749739</v>
      </c>
      <c r="T11" s="150">
        <f t="shared" si="0"/>
        <v>358425</v>
      </c>
      <c r="U11" s="150">
        <f t="shared" si="0"/>
        <v>-5350</v>
      </c>
      <c r="V11" s="150">
        <f>SUM(V5:V10)</f>
        <v>-5501</v>
      </c>
      <c r="W11" s="110">
        <f>SUM(W5:W10)</f>
        <v>3757</v>
      </c>
      <c r="X11" s="110">
        <f>SUM(X5:X10)</f>
        <v>50</v>
      </c>
      <c r="Y11" s="110">
        <f t="shared" ref="Y11:AA11" si="1">SUM(Y5:Y10)</f>
        <v>0</v>
      </c>
      <c r="Z11" s="110">
        <f t="shared" si="1"/>
        <v>0</v>
      </c>
      <c r="AA11" s="110">
        <f t="shared" si="1"/>
        <v>0</v>
      </c>
      <c r="AB11" s="110">
        <f t="shared" ref="AB11:AC11" si="2">SUM(AB5:AB10)</f>
        <v>0</v>
      </c>
      <c r="AC11" s="110">
        <f t="shared" si="2"/>
        <v>0</v>
      </c>
    </row>
    <row r="12" spans="1:30">
      <c r="C12" s="22"/>
      <c r="D12" s="22"/>
      <c r="E12" s="22"/>
      <c r="F12" s="22"/>
      <c r="P12" s="108"/>
      <c r="Q12" s="108"/>
      <c r="R12" s="108"/>
      <c r="S12" s="108"/>
      <c r="T12" s="148"/>
      <c r="U12" s="148"/>
      <c r="V12" s="148"/>
      <c r="W12" s="125"/>
    </row>
    <row r="13" spans="1:30">
      <c r="C13" s="22"/>
      <c r="D13" s="22"/>
      <c r="E13" s="22"/>
      <c r="F13" s="22"/>
      <c r="P13" s="108"/>
      <c r="Q13" s="108"/>
      <c r="R13" s="108"/>
      <c r="S13" s="108"/>
      <c r="T13" s="148"/>
      <c r="U13" s="148"/>
      <c r="V13" s="148"/>
      <c r="W13" s="125"/>
    </row>
    <row r="14" spans="1:30">
      <c r="A14" s="1" t="s">
        <v>102</v>
      </c>
      <c r="C14" s="22"/>
      <c r="D14" s="22"/>
      <c r="E14" s="22"/>
      <c r="F14" s="22"/>
      <c r="P14" s="108"/>
      <c r="Q14" s="108"/>
      <c r="R14" s="108"/>
      <c r="S14" s="108"/>
      <c r="T14" s="148"/>
      <c r="U14" s="148"/>
      <c r="V14" s="148"/>
      <c r="W14" s="125"/>
    </row>
    <row r="15" spans="1:30">
      <c r="C15" s="22"/>
      <c r="D15" s="22"/>
      <c r="E15" s="22"/>
      <c r="F15" s="22"/>
      <c r="P15" s="108"/>
      <c r="Q15" s="108"/>
      <c r="R15" s="108"/>
      <c r="S15" s="108"/>
      <c r="T15" s="148"/>
      <c r="U15" s="148"/>
      <c r="V15" s="148"/>
      <c r="W15" s="125"/>
    </row>
    <row r="16" spans="1:30" hidden="1">
      <c r="A16" s="9" t="s">
        <v>103</v>
      </c>
      <c r="C16" s="22"/>
      <c r="D16" s="22"/>
      <c r="E16" s="22"/>
      <c r="F16" s="22"/>
      <c r="P16" s="108"/>
      <c r="Q16" s="108"/>
      <c r="R16" s="108"/>
      <c r="S16" s="108"/>
      <c r="T16" s="148"/>
      <c r="U16" s="148"/>
      <c r="V16" s="148"/>
      <c r="W16" s="125"/>
    </row>
    <row r="17" spans="1:29" hidden="1">
      <c r="A17" s="9" t="s">
        <v>66</v>
      </c>
      <c r="C17" s="22"/>
      <c r="D17" s="22"/>
      <c r="E17" s="22"/>
      <c r="F17" s="22"/>
      <c r="P17" s="108"/>
      <c r="Q17" s="108"/>
      <c r="R17" s="108"/>
      <c r="S17" s="108"/>
      <c r="T17" s="148"/>
      <c r="U17" s="148"/>
      <c r="V17" s="148"/>
      <c r="W17" s="125"/>
    </row>
    <row r="18" spans="1:29" s="125" customFormat="1">
      <c r="A18" s="125" t="s">
        <v>83</v>
      </c>
      <c r="C18" s="124"/>
      <c r="D18" s="124"/>
      <c r="E18" s="124"/>
      <c r="F18" s="124"/>
      <c r="K18" s="111">
        <v>378750</v>
      </c>
      <c r="M18" s="111">
        <v>120907</v>
      </c>
      <c r="N18" s="111">
        <v>100586</v>
      </c>
      <c r="O18" s="111"/>
      <c r="P18" s="111">
        <v>84583</v>
      </c>
      <c r="Q18" s="111">
        <v>278018</v>
      </c>
      <c r="R18" s="219">
        <v>189044</v>
      </c>
      <c r="S18" s="111">
        <v>399341</v>
      </c>
      <c r="T18" s="151">
        <v>220497</v>
      </c>
      <c r="U18" s="151">
        <v>14400</v>
      </c>
      <c r="V18" s="151">
        <v>0</v>
      </c>
      <c r="W18" s="111">
        <v>4412</v>
      </c>
      <c r="X18" s="111">
        <v>4000</v>
      </c>
      <c r="Y18" s="111">
        <v>0</v>
      </c>
      <c r="Z18" s="219">
        <v>0</v>
      </c>
      <c r="AA18" s="219">
        <v>0</v>
      </c>
      <c r="AB18" s="219">
        <v>0</v>
      </c>
      <c r="AC18" s="219">
        <v>0</v>
      </c>
    </row>
    <row r="19" spans="1:29" s="179" customFormat="1" ht="11.25" customHeight="1">
      <c r="A19" s="179" t="s">
        <v>84</v>
      </c>
      <c r="C19" s="180"/>
      <c r="D19" s="180"/>
      <c r="E19" s="180"/>
      <c r="F19" s="180"/>
      <c r="R19" s="177"/>
      <c r="T19" s="198"/>
      <c r="U19" s="198"/>
      <c r="V19" s="198"/>
    </row>
    <row r="20" spans="1:29" s="179" customFormat="1">
      <c r="A20" s="179" t="s">
        <v>85</v>
      </c>
      <c r="C20" s="180"/>
      <c r="D20" s="180">
        <v>23401</v>
      </c>
      <c r="E20" s="180">
        <v>0</v>
      </c>
      <c r="F20" s="180">
        <v>442034</v>
      </c>
      <c r="G20" s="197">
        <v>3643806</v>
      </c>
      <c r="H20" s="197">
        <v>2540995</v>
      </c>
      <c r="I20" s="197">
        <v>1145872</v>
      </c>
      <c r="J20" s="197">
        <v>997061</v>
      </c>
      <c r="K20" s="197">
        <v>1725708</v>
      </c>
      <c r="L20" s="197">
        <v>1373936</v>
      </c>
      <c r="M20" s="197">
        <v>1653337</v>
      </c>
      <c r="N20" s="197">
        <v>1187656</v>
      </c>
      <c r="O20" s="197">
        <v>759555</v>
      </c>
      <c r="P20" s="79">
        <v>1495254</v>
      </c>
      <c r="Q20" s="79">
        <v>3325488</v>
      </c>
      <c r="R20" s="225">
        <v>2051020</v>
      </c>
      <c r="S20" s="79">
        <v>2518797</v>
      </c>
      <c r="T20" s="199">
        <v>1295148</v>
      </c>
      <c r="U20" s="199">
        <v>773727</v>
      </c>
      <c r="V20" s="305">
        <v>0</v>
      </c>
      <c r="W20" s="306">
        <v>160356</v>
      </c>
      <c r="X20" s="306">
        <v>15000</v>
      </c>
      <c r="Y20" s="306">
        <v>0</v>
      </c>
      <c r="Z20" s="306">
        <v>0</v>
      </c>
      <c r="AA20" s="306">
        <v>0</v>
      </c>
      <c r="AB20" s="306">
        <v>0</v>
      </c>
      <c r="AC20" s="306">
        <v>0</v>
      </c>
    </row>
    <row r="21" spans="1:29" s="179" customFormat="1">
      <c r="A21" s="179" t="s">
        <v>25</v>
      </c>
      <c r="C21" s="180"/>
      <c r="D21" s="180"/>
      <c r="E21" s="180"/>
      <c r="F21" s="180"/>
      <c r="G21" s="197"/>
      <c r="H21" s="197"/>
      <c r="I21" s="197"/>
      <c r="J21" s="197"/>
      <c r="K21" s="197"/>
      <c r="L21" s="197"/>
      <c r="M21" s="197"/>
      <c r="N21" s="197"/>
      <c r="O21" s="197"/>
      <c r="P21" s="200"/>
      <c r="Q21" s="195">
        <v>99700</v>
      </c>
      <c r="R21" s="250">
        <v>802700</v>
      </c>
      <c r="S21" s="195">
        <v>0</v>
      </c>
      <c r="T21" s="196">
        <v>0</v>
      </c>
      <c r="U21" s="196">
        <v>0</v>
      </c>
      <c r="V21" s="307">
        <v>0</v>
      </c>
      <c r="W21" s="307">
        <v>0</v>
      </c>
      <c r="X21" s="307">
        <f>+W21</f>
        <v>0</v>
      </c>
      <c r="Y21" s="307">
        <f t="shared" ref="Y21:AC21" si="3">+X21</f>
        <v>0</v>
      </c>
      <c r="Z21" s="307">
        <f t="shared" si="3"/>
        <v>0</v>
      </c>
      <c r="AA21" s="307">
        <f t="shared" si="3"/>
        <v>0</v>
      </c>
      <c r="AB21" s="307">
        <f t="shared" si="3"/>
        <v>0</v>
      </c>
      <c r="AC21" s="307">
        <f t="shared" si="3"/>
        <v>0</v>
      </c>
    </row>
    <row r="22" spans="1:29">
      <c r="C22" s="22"/>
      <c r="D22" s="22"/>
      <c r="E22" s="22"/>
      <c r="F22" s="22"/>
      <c r="G22" s="51"/>
      <c r="H22" s="51"/>
      <c r="I22" s="51"/>
      <c r="J22" s="51"/>
      <c r="K22" s="51"/>
      <c r="L22" s="51"/>
      <c r="M22" s="51"/>
      <c r="N22" s="51"/>
      <c r="O22" s="51"/>
      <c r="P22" s="113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</row>
    <row r="23" spans="1:29" ht="13" thickBot="1">
      <c r="A23" s="9" t="s">
        <v>22</v>
      </c>
      <c r="C23" s="56">
        <f t="shared" ref="C23:P23" si="4">SUM(C16:C20)</f>
        <v>0</v>
      </c>
      <c r="D23" s="56">
        <f t="shared" si="4"/>
        <v>23401</v>
      </c>
      <c r="E23" s="56">
        <f t="shared" si="4"/>
        <v>0</v>
      </c>
      <c r="F23" s="56">
        <f t="shared" si="4"/>
        <v>442034</v>
      </c>
      <c r="G23" s="56">
        <f t="shared" si="4"/>
        <v>3643806</v>
      </c>
      <c r="H23" s="56">
        <f t="shared" si="4"/>
        <v>2540995</v>
      </c>
      <c r="I23" s="56">
        <f t="shared" si="4"/>
        <v>1145872</v>
      </c>
      <c r="J23" s="56">
        <f t="shared" si="4"/>
        <v>997061</v>
      </c>
      <c r="K23" s="56">
        <f t="shared" si="4"/>
        <v>2104458</v>
      </c>
      <c r="L23" s="56">
        <f t="shared" si="4"/>
        <v>1373936</v>
      </c>
      <c r="M23" s="56">
        <f t="shared" si="4"/>
        <v>1774244</v>
      </c>
      <c r="N23" s="56">
        <f t="shared" si="4"/>
        <v>1288242</v>
      </c>
      <c r="O23" s="56">
        <f t="shared" si="4"/>
        <v>759555</v>
      </c>
      <c r="P23" s="110">
        <f t="shared" si="4"/>
        <v>1579837</v>
      </c>
      <c r="Q23" s="110">
        <f>SUM(Q18:Q21)</f>
        <v>3703206</v>
      </c>
      <c r="R23" s="110">
        <f t="shared" ref="R23:W23" si="5">SUM(R16:R21)</f>
        <v>3042764</v>
      </c>
      <c r="S23" s="110">
        <f t="shared" si="5"/>
        <v>2918138</v>
      </c>
      <c r="T23" s="110">
        <f t="shared" si="5"/>
        <v>1515645</v>
      </c>
      <c r="U23" s="110">
        <f t="shared" si="5"/>
        <v>788127</v>
      </c>
      <c r="V23" s="110">
        <f t="shared" si="5"/>
        <v>0</v>
      </c>
      <c r="W23" s="110">
        <f t="shared" si="5"/>
        <v>164768</v>
      </c>
      <c r="X23" s="110">
        <f>SUM(X16:X21)</f>
        <v>19000</v>
      </c>
      <c r="Y23" s="110">
        <f t="shared" ref="Y23:AA23" si="6">SUM(Y16:Y21)</f>
        <v>0</v>
      </c>
      <c r="Z23" s="110">
        <f t="shared" si="6"/>
        <v>0</v>
      </c>
      <c r="AA23" s="110">
        <f t="shared" si="6"/>
        <v>0</v>
      </c>
      <c r="AB23" s="110">
        <f t="shared" ref="AB23:AC23" si="7">SUM(AB16:AB21)</f>
        <v>0</v>
      </c>
      <c r="AC23" s="110">
        <f t="shared" si="7"/>
        <v>0</v>
      </c>
    </row>
    <row r="24" spans="1:29">
      <c r="C24" s="22"/>
      <c r="D24" s="22"/>
      <c r="E24" s="22"/>
      <c r="F24" s="22"/>
      <c r="P24" s="108"/>
      <c r="Q24" s="108"/>
      <c r="R24" s="108"/>
      <c r="S24" s="108"/>
      <c r="T24" s="108"/>
      <c r="U24" s="108"/>
      <c r="V24" s="108"/>
      <c r="W24" s="125"/>
      <c r="X24" s="125"/>
      <c r="Y24" s="125"/>
      <c r="Z24" s="125"/>
      <c r="AA24" s="125"/>
    </row>
    <row r="25" spans="1:29">
      <c r="C25" s="22"/>
      <c r="D25" s="22"/>
      <c r="E25" s="22"/>
      <c r="F25" s="22"/>
      <c r="P25" s="108"/>
      <c r="Q25" s="108"/>
      <c r="R25" s="108"/>
      <c r="S25" s="108"/>
      <c r="T25" s="108"/>
      <c r="U25" s="108"/>
      <c r="V25" s="177" t="s">
        <v>12</v>
      </c>
      <c r="W25" s="125"/>
      <c r="X25" s="125"/>
      <c r="Y25" s="125"/>
      <c r="Z25" s="125"/>
      <c r="AA25" s="125"/>
    </row>
    <row r="26" spans="1:29" ht="24">
      <c r="A26" s="63" t="s">
        <v>75</v>
      </c>
      <c r="B26" s="10"/>
      <c r="C26" s="57">
        <f t="shared" ref="C26:V26" si="8">+C11-C23</f>
        <v>1244543</v>
      </c>
      <c r="D26" s="57">
        <f t="shared" si="8"/>
        <v>1459520</v>
      </c>
      <c r="E26" s="57">
        <f t="shared" si="8"/>
        <v>1598329</v>
      </c>
      <c r="F26" s="57">
        <f t="shared" si="8"/>
        <v>1305462</v>
      </c>
      <c r="G26" s="57">
        <f t="shared" si="8"/>
        <v>-2256343</v>
      </c>
      <c r="H26" s="57">
        <f t="shared" si="8"/>
        <v>-1690785</v>
      </c>
      <c r="I26" s="57">
        <f t="shared" si="8"/>
        <v>213054</v>
      </c>
      <c r="J26" s="57">
        <f t="shared" si="8"/>
        <v>-456503</v>
      </c>
      <c r="K26" s="57">
        <f t="shared" si="8"/>
        <v>-427786</v>
      </c>
      <c r="L26" s="57">
        <f t="shared" si="8"/>
        <v>446996</v>
      </c>
      <c r="M26" s="57">
        <f t="shared" si="8"/>
        <v>-881262</v>
      </c>
      <c r="N26" s="57">
        <f t="shared" si="8"/>
        <v>-565438</v>
      </c>
      <c r="O26" s="57">
        <f t="shared" si="8"/>
        <v>539298</v>
      </c>
      <c r="P26" s="114">
        <f t="shared" si="8"/>
        <v>-969373</v>
      </c>
      <c r="Q26" s="114">
        <f t="shared" si="8"/>
        <v>-2781681</v>
      </c>
      <c r="R26" s="114">
        <f t="shared" si="8"/>
        <v>-2243308</v>
      </c>
      <c r="S26" s="114">
        <f t="shared" si="8"/>
        <v>-2168399</v>
      </c>
      <c r="T26" s="114">
        <f t="shared" si="8"/>
        <v>-1157220</v>
      </c>
      <c r="U26" s="114">
        <f t="shared" si="8"/>
        <v>-793477</v>
      </c>
      <c r="V26" s="114">
        <f t="shared" si="8"/>
        <v>-5501</v>
      </c>
      <c r="W26" s="114">
        <f>+W11-W23</f>
        <v>-161011</v>
      </c>
      <c r="X26" s="114">
        <f>+X11-X23</f>
        <v>-18950</v>
      </c>
      <c r="Y26" s="114">
        <f t="shared" ref="Y26:AB26" si="9">+Y11-Y23</f>
        <v>0</v>
      </c>
      <c r="Z26" s="114">
        <f t="shared" si="9"/>
        <v>0</v>
      </c>
      <c r="AA26" s="114">
        <f t="shared" si="9"/>
        <v>0</v>
      </c>
      <c r="AB26" s="114">
        <f t="shared" si="9"/>
        <v>0</v>
      </c>
      <c r="AC26" s="114">
        <f t="shared" ref="AC26" si="10">+AC11-AC23</f>
        <v>0</v>
      </c>
    </row>
    <row r="27" spans="1:29">
      <c r="A27" s="13"/>
      <c r="B27" s="10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29">
      <c r="A28" s="1" t="s">
        <v>0</v>
      </c>
      <c r="B28" s="10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114"/>
      <c r="Q28" s="114"/>
      <c r="R28" s="114"/>
      <c r="S28" s="114"/>
      <c r="T28" s="146"/>
      <c r="U28" s="114"/>
      <c r="V28" s="114"/>
      <c r="W28" s="114"/>
      <c r="X28" s="114"/>
      <c r="Y28" s="114"/>
      <c r="Z28" s="114"/>
      <c r="AA28" s="114"/>
    </row>
    <row r="29" spans="1:29">
      <c r="A29" s="1"/>
      <c r="B29" s="125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29" ht="13" thickBot="1">
      <c r="A30" s="72" t="s">
        <v>61</v>
      </c>
      <c r="B30" s="10"/>
      <c r="C30" s="19"/>
      <c r="D30" s="57"/>
      <c r="E30" s="57"/>
      <c r="F30" s="57"/>
      <c r="G30" s="15"/>
      <c r="H30" s="57"/>
      <c r="I30" s="57"/>
      <c r="J30" s="57"/>
      <c r="K30" s="57"/>
      <c r="L30" s="57"/>
      <c r="M30" s="57"/>
      <c r="N30" s="57"/>
      <c r="O30" s="15"/>
      <c r="P30" s="112"/>
      <c r="Q30" s="112"/>
      <c r="R30" s="112"/>
      <c r="S30" s="145">
        <v>-801400</v>
      </c>
      <c r="T30" s="145">
        <v>-386600</v>
      </c>
      <c r="U30" s="152">
        <v>0</v>
      </c>
      <c r="V30" s="152">
        <v>0</v>
      </c>
      <c r="W30" s="152">
        <v>0</v>
      </c>
      <c r="X30" s="152">
        <v>0</v>
      </c>
      <c r="Y30" s="152">
        <v>0</v>
      </c>
      <c r="Z30" s="152">
        <v>0</v>
      </c>
      <c r="AA30" s="152">
        <v>0</v>
      </c>
      <c r="AB30" s="152">
        <v>0</v>
      </c>
      <c r="AC30" s="152">
        <v>0</v>
      </c>
    </row>
    <row r="31" spans="1:29" ht="13" thickBot="1">
      <c r="A31" s="72" t="s">
        <v>55</v>
      </c>
      <c r="B31" s="10"/>
      <c r="C31" s="19"/>
      <c r="D31" s="57"/>
      <c r="E31" s="57"/>
      <c r="F31" s="57"/>
      <c r="G31" s="15"/>
      <c r="H31" s="57"/>
      <c r="I31" s="57"/>
      <c r="J31" s="57"/>
      <c r="K31" s="57"/>
      <c r="L31" s="57"/>
      <c r="M31" s="57"/>
      <c r="N31" s="57"/>
      <c r="O31" s="15"/>
      <c r="P31" s="112"/>
      <c r="Q31" s="112">
        <v>7166339</v>
      </c>
      <c r="R31" s="112"/>
      <c r="S31" s="112">
        <v>5132569</v>
      </c>
      <c r="T31" s="152"/>
      <c r="U31" s="112"/>
      <c r="V31" s="112"/>
      <c r="W31" s="112"/>
      <c r="X31" s="112"/>
      <c r="Y31" s="112"/>
      <c r="Z31" s="112"/>
      <c r="AA31" s="112"/>
      <c r="AB31" s="112"/>
      <c r="AC31" s="112"/>
    </row>
    <row r="32" spans="1:29" ht="13" thickBot="1">
      <c r="A32" s="72" t="s">
        <v>19</v>
      </c>
      <c r="B32" s="108"/>
      <c r="C32" s="19"/>
      <c r="D32" s="57"/>
      <c r="E32" s="57"/>
      <c r="F32" s="57"/>
      <c r="G32" s="15"/>
      <c r="H32" s="57"/>
      <c r="I32" s="57"/>
      <c r="J32" s="57"/>
      <c r="K32" s="57"/>
      <c r="L32" s="57"/>
      <c r="M32" s="57"/>
      <c r="N32" s="57"/>
      <c r="O32" s="15"/>
      <c r="P32" s="112"/>
      <c r="Q32" s="112"/>
      <c r="R32" s="112"/>
      <c r="S32" s="112"/>
      <c r="T32" s="152"/>
      <c r="U32" s="112"/>
      <c r="V32" s="112"/>
      <c r="W32" s="112"/>
      <c r="X32" s="112"/>
      <c r="Y32" s="112"/>
      <c r="Z32" s="112"/>
      <c r="AA32" s="112"/>
      <c r="AB32" s="112"/>
      <c r="AC32" s="112"/>
    </row>
    <row r="33" spans="1:29" ht="13" thickBot="1">
      <c r="A33" s="72" t="s">
        <v>20</v>
      </c>
      <c r="B33" s="108"/>
      <c r="C33" s="19"/>
      <c r="D33" s="57"/>
      <c r="E33" s="57"/>
      <c r="F33" s="57"/>
      <c r="G33" s="15"/>
      <c r="H33" s="57"/>
      <c r="I33" s="57"/>
      <c r="J33" s="57"/>
      <c r="K33" s="57"/>
      <c r="L33" s="57"/>
      <c r="M33" s="57"/>
      <c r="N33" s="57"/>
      <c r="O33" s="15"/>
      <c r="P33" s="112"/>
      <c r="Q33" s="112">
        <v>16283</v>
      </c>
      <c r="R33" s="112"/>
      <c r="S33" s="112">
        <v>0</v>
      </c>
      <c r="T33" s="152">
        <v>0</v>
      </c>
      <c r="U33" s="112">
        <v>0</v>
      </c>
      <c r="V33" s="112">
        <v>0</v>
      </c>
      <c r="W33" s="112">
        <v>0</v>
      </c>
      <c r="X33" s="112">
        <v>0</v>
      </c>
      <c r="Y33" s="112">
        <v>0</v>
      </c>
      <c r="Z33" s="112">
        <v>0</v>
      </c>
      <c r="AA33" s="112">
        <v>0</v>
      </c>
      <c r="AB33" s="112">
        <v>0</v>
      </c>
      <c r="AC33" s="112">
        <v>0</v>
      </c>
    </row>
    <row r="34" spans="1:29" ht="25" thickBot="1">
      <c r="A34" s="72" t="s">
        <v>1</v>
      </c>
      <c r="B34" s="10"/>
      <c r="C34" s="19">
        <v>1384596</v>
      </c>
      <c r="D34" s="56"/>
      <c r="E34" s="56"/>
      <c r="F34" s="56"/>
      <c r="G34" s="19"/>
      <c r="H34" s="56"/>
      <c r="I34" s="56"/>
      <c r="J34" s="56"/>
      <c r="K34" s="56">
        <f>-'O_&amp;_M'!K39</f>
        <v>0</v>
      </c>
      <c r="L34" s="56">
        <f>-'O_&amp;_M'!L39</f>
        <v>0</v>
      </c>
      <c r="M34" s="56">
        <f>-'O_&amp;_M'!M39</f>
        <v>0</v>
      </c>
      <c r="N34" s="56">
        <f>-'O_&amp;_M'!N39</f>
        <v>0</v>
      </c>
      <c r="O34" s="19">
        <f>-'O_&amp;_M'!O39</f>
        <v>0</v>
      </c>
      <c r="P34" s="115">
        <f>-'O_&amp;_M'!P39</f>
        <v>0</v>
      </c>
      <c r="Q34" s="115">
        <f>-'O_&amp;_M'!Q39</f>
        <v>0</v>
      </c>
      <c r="R34" s="115">
        <v>0</v>
      </c>
      <c r="S34" s="115">
        <f>-'O_&amp;_M'!S39</f>
        <v>0</v>
      </c>
      <c r="T34" s="115">
        <v>0</v>
      </c>
      <c r="U34" s="115">
        <v>0</v>
      </c>
      <c r="V34" s="115">
        <v>0</v>
      </c>
      <c r="W34" s="115">
        <v>0</v>
      </c>
      <c r="X34" s="143">
        <v>0</v>
      </c>
      <c r="Y34" s="143">
        <v>0</v>
      </c>
      <c r="Z34" s="143">
        <v>0</v>
      </c>
      <c r="AA34" s="143">
        <v>0</v>
      </c>
      <c r="AB34" s="143">
        <v>0</v>
      </c>
      <c r="AC34" s="143">
        <v>0</v>
      </c>
    </row>
    <row r="35" spans="1:29" ht="25" thickBot="1">
      <c r="A35" s="136" t="s">
        <v>96</v>
      </c>
      <c r="B35" s="125"/>
      <c r="C35" s="15"/>
      <c r="D35" s="57"/>
      <c r="E35" s="57"/>
      <c r="F35" s="57"/>
      <c r="G35" s="15"/>
      <c r="H35" s="57"/>
      <c r="I35" s="57"/>
      <c r="J35" s="57"/>
      <c r="K35" s="57"/>
      <c r="L35" s="57"/>
      <c r="M35" s="57"/>
      <c r="N35" s="57"/>
      <c r="O35" s="15"/>
      <c r="P35" s="110">
        <f>SUM(P30:P34)</f>
        <v>0</v>
      </c>
      <c r="Q35" s="110">
        <f t="shared" ref="Q35:V35" si="11">SUM(Q30:Q34)</f>
        <v>7182622</v>
      </c>
      <c r="R35" s="110">
        <f t="shared" si="11"/>
        <v>0</v>
      </c>
      <c r="S35" s="110">
        <f>SUM(S30:S34)</f>
        <v>4331169</v>
      </c>
      <c r="T35" s="110">
        <f t="shared" si="11"/>
        <v>-386600</v>
      </c>
      <c r="U35" s="110">
        <f t="shared" si="11"/>
        <v>0</v>
      </c>
      <c r="V35" s="110">
        <f t="shared" si="11"/>
        <v>0</v>
      </c>
      <c r="W35" s="110">
        <f>SUM(W30:W34)</f>
        <v>0</v>
      </c>
      <c r="X35" s="110">
        <f>SUM(X30:X34)</f>
        <v>0</v>
      </c>
      <c r="Y35" s="110">
        <f t="shared" ref="Y35:AA35" si="12">SUM(Y30:Y34)</f>
        <v>0</v>
      </c>
      <c r="Z35" s="110">
        <f t="shared" si="12"/>
        <v>0</v>
      </c>
      <c r="AA35" s="110">
        <f t="shared" si="12"/>
        <v>0</v>
      </c>
      <c r="AB35" s="110">
        <f t="shared" ref="AB35:AC35" si="13">SUM(AB30:AB34)</f>
        <v>0</v>
      </c>
      <c r="AC35" s="110">
        <f t="shared" si="13"/>
        <v>0</v>
      </c>
    </row>
    <row r="36" spans="1:29">
      <c r="A36" s="72"/>
      <c r="B36" s="125"/>
      <c r="C36" s="15"/>
      <c r="D36" s="57"/>
      <c r="E36" s="57"/>
      <c r="F36" s="57"/>
      <c r="G36" s="15"/>
      <c r="H36" s="57"/>
      <c r="I36" s="57"/>
      <c r="J36" s="57"/>
      <c r="K36" s="57"/>
      <c r="L36" s="57"/>
      <c r="M36" s="57"/>
      <c r="N36" s="57"/>
      <c r="O36" s="15"/>
      <c r="P36" s="112"/>
      <c r="Q36" s="112"/>
      <c r="R36" s="112"/>
      <c r="S36" s="112"/>
      <c r="T36" s="112"/>
      <c r="U36" s="112"/>
      <c r="V36" s="112"/>
      <c r="W36" s="112"/>
      <c r="X36" s="112"/>
    </row>
    <row r="37" spans="1:29">
      <c r="A37" s="72"/>
      <c r="B37" s="125"/>
      <c r="C37" s="15"/>
      <c r="D37" s="57"/>
      <c r="E37" s="57"/>
      <c r="F37" s="57"/>
      <c r="G37" s="15"/>
      <c r="H37" s="57"/>
      <c r="I37" s="57"/>
      <c r="J37" s="57"/>
      <c r="K37" s="57"/>
      <c r="L37" s="57"/>
      <c r="M37" s="57"/>
      <c r="N37" s="57"/>
      <c r="O37" s="15"/>
      <c r="P37" s="112"/>
      <c r="Q37" s="112"/>
      <c r="R37" s="112"/>
      <c r="S37" s="112"/>
      <c r="T37" s="112"/>
      <c r="U37" s="112"/>
      <c r="V37" s="112"/>
      <c r="W37" s="112"/>
      <c r="X37" s="112"/>
    </row>
    <row r="38" spans="1:29">
      <c r="A38" s="13" t="s">
        <v>89</v>
      </c>
      <c r="C38" s="22">
        <f>SUM(C26:C34)</f>
        <v>2629139</v>
      </c>
      <c r="D38" s="22">
        <f t="shared" ref="D38:U38" si="14">SUM(D26:D34)</f>
        <v>1459520</v>
      </c>
      <c r="E38" s="22">
        <f t="shared" si="14"/>
        <v>1598329</v>
      </c>
      <c r="F38" s="22">
        <f t="shared" si="14"/>
        <v>1305462</v>
      </c>
      <c r="G38" s="22">
        <f t="shared" si="14"/>
        <v>-2256343</v>
      </c>
      <c r="H38" s="22">
        <f t="shared" si="14"/>
        <v>-1690785</v>
      </c>
      <c r="I38" s="22">
        <f t="shared" si="14"/>
        <v>213054</v>
      </c>
      <c r="J38" s="22">
        <f t="shared" si="14"/>
        <v>-456503</v>
      </c>
      <c r="K38" s="22">
        <f t="shared" si="14"/>
        <v>-427786</v>
      </c>
      <c r="L38" s="22">
        <f t="shared" si="14"/>
        <v>446996</v>
      </c>
      <c r="M38" s="22">
        <f t="shared" si="14"/>
        <v>-881262</v>
      </c>
      <c r="N38" s="22">
        <f t="shared" si="14"/>
        <v>-565438</v>
      </c>
      <c r="O38" s="22">
        <f t="shared" si="14"/>
        <v>539298</v>
      </c>
      <c r="P38" s="107">
        <f t="shared" si="14"/>
        <v>-969373</v>
      </c>
      <c r="Q38" s="107">
        <f>SUM(Q26:Q34)</f>
        <v>4400941</v>
      </c>
      <c r="R38" s="107">
        <f t="shared" si="14"/>
        <v>-2243308</v>
      </c>
      <c r="S38" s="107">
        <f>SUM(S26:S34)</f>
        <v>2162770</v>
      </c>
      <c r="T38" s="107">
        <f t="shared" si="14"/>
        <v>-1543820</v>
      </c>
      <c r="U38" s="107">
        <f t="shared" si="14"/>
        <v>-793477</v>
      </c>
      <c r="V38" s="107">
        <f>SUM(V26:V34)</f>
        <v>-5501</v>
      </c>
      <c r="W38" s="124">
        <f>SUM(W26:W34)</f>
        <v>-161011</v>
      </c>
      <c r="X38" s="124">
        <f>SUM(X26:X34)</f>
        <v>-18950</v>
      </c>
      <c r="Y38" s="124">
        <f t="shared" ref="Y38:AA38" si="15">SUM(Y26:Y34)</f>
        <v>0</v>
      </c>
      <c r="Z38" s="124">
        <f t="shared" si="15"/>
        <v>0</v>
      </c>
      <c r="AA38" s="124">
        <f t="shared" si="15"/>
        <v>0</v>
      </c>
      <c r="AB38" s="124">
        <f t="shared" ref="AB38:AC38" si="16">SUM(AB26:AB34)</f>
        <v>0</v>
      </c>
      <c r="AC38" s="124">
        <f t="shared" si="16"/>
        <v>0</v>
      </c>
    </row>
    <row r="39" spans="1:29">
      <c r="A39" s="30"/>
      <c r="C39" s="22"/>
      <c r="D39" s="22"/>
      <c r="E39" s="22"/>
      <c r="F39" s="22"/>
      <c r="P39" s="108"/>
      <c r="Q39" s="108"/>
      <c r="R39" s="108"/>
      <c r="S39" s="108"/>
      <c r="T39" s="108"/>
      <c r="U39" s="108"/>
      <c r="V39" s="108"/>
      <c r="W39" s="125"/>
      <c r="X39" s="125"/>
      <c r="Y39" s="125"/>
      <c r="Z39" s="125"/>
      <c r="AA39" s="125"/>
      <c r="AB39" s="125"/>
    </row>
    <row r="40" spans="1:29">
      <c r="A40" s="8" t="s">
        <v>47</v>
      </c>
      <c r="C40" s="22"/>
      <c r="D40" s="22"/>
      <c r="E40" s="22"/>
      <c r="F40" s="22"/>
      <c r="P40" s="108"/>
      <c r="Q40" s="108"/>
      <c r="R40" s="108"/>
      <c r="S40" s="108"/>
      <c r="T40" s="108"/>
      <c r="U40" s="108"/>
      <c r="V40" s="108"/>
      <c r="W40" s="125"/>
      <c r="X40" s="125"/>
      <c r="Y40" s="125"/>
      <c r="Z40" s="125"/>
      <c r="AA40" s="125"/>
      <c r="AB40" s="125"/>
    </row>
    <row r="41" spans="1:29">
      <c r="A41" s="9" t="s">
        <v>48</v>
      </c>
      <c r="C41" s="51">
        <f>+B43</f>
        <v>0</v>
      </c>
      <c r="D41" s="51">
        <f>+C43</f>
        <v>2629139</v>
      </c>
      <c r="E41" s="51">
        <f t="shared" ref="E41:X41" si="17">+D43</f>
        <v>4088659</v>
      </c>
      <c r="F41" s="51">
        <f t="shared" si="17"/>
        <v>5686988</v>
      </c>
      <c r="G41" s="51">
        <f t="shared" si="17"/>
        <v>6992450</v>
      </c>
      <c r="H41" s="51">
        <f t="shared" si="17"/>
        <v>4736107</v>
      </c>
      <c r="I41" s="51">
        <f t="shared" si="17"/>
        <v>3045322</v>
      </c>
      <c r="J41" s="51">
        <f t="shared" si="17"/>
        <v>3258376</v>
      </c>
      <c r="K41" s="51">
        <f t="shared" si="17"/>
        <v>2801873</v>
      </c>
      <c r="L41" s="51">
        <f t="shared" si="17"/>
        <v>2374087</v>
      </c>
      <c r="M41" s="51">
        <f t="shared" si="17"/>
        <v>2821083</v>
      </c>
      <c r="N41" s="51">
        <f t="shared" si="17"/>
        <v>1939821</v>
      </c>
      <c r="O41" s="51">
        <f t="shared" si="17"/>
        <v>1374383</v>
      </c>
      <c r="P41" s="111">
        <v>667165</v>
      </c>
      <c r="Q41" s="111">
        <f t="shared" si="17"/>
        <v>-302208</v>
      </c>
      <c r="R41" s="111">
        <v>2603947</v>
      </c>
      <c r="S41" s="111">
        <f t="shared" si="17"/>
        <v>360639</v>
      </c>
      <c r="T41" s="111">
        <f t="shared" si="17"/>
        <v>2523408</v>
      </c>
      <c r="U41" s="111">
        <f>+T43+1</f>
        <v>979589</v>
      </c>
      <c r="V41" s="111">
        <f t="shared" si="17"/>
        <v>186112</v>
      </c>
      <c r="W41" s="111">
        <f t="shared" si="17"/>
        <v>180611</v>
      </c>
      <c r="X41" s="111">
        <f t="shared" si="17"/>
        <v>19600</v>
      </c>
      <c r="Y41" s="111">
        <f t="shared" ref="Y41" si="18">+X43</f>
        <v>650</v>
      </c>
      <c r="Z41" s="111">
        <f t="shared" ref="Z41" si="19">+Y43</f>
        <v>650</v>
      </c>
      <c r="AA41" s="111">
        <f t="shared" ref="AA41:AC41" si="20">+Z43</f>
        <v>650</v>
      </c>
      <c r="AB41" s="111">
        <f t="shared" si="20"/>
        <v>650</v>
      </c>
      <c r="AC41" s="111">
        <f t="shared" si="20"/>
        <v>650</v>
      </c>
    </row>
    <row r="42" spans="1:29"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07"/>
      <c r="Q42" s="107"/>
      <c r="R42" s="107"/>
      <c r="S42" s="107"/>
      <c r="T42" s="107"/>
      <c r="U42" s="107"/>
      <c r="V42" s="107"/>
      <c r="W42" s="124"/>
      <c r="X42" s="124"/>
      <c r="Y42" s="124"/>
      <c r="Z42" s="124"/>
      <c r="AA42" s="124"/>
      <c r="AB42" s="124"/>
      <c r="AC42" s="124"/>
    </row>
    <row r="43" spans="1:29" ht="13" thickBot="1">
      <c r="A43" s="9" t="s">
        <v>41</v>
      </c>
      <c r="C43" s="58">
        <f>+C41+C38</f>
        <v>2629139</v>
      </c>
      <c r="D43" s="58">
        <f t="shared" ref="D43:M43" si="21">+D41+D38</f>
        <v>4088659</v>
      </c>
      <c r="E43" s="58">
        <f t="shared" si="21"/>
        <v>5686988</v>
      </c>
      <c r="F43" s="58">
        <f t="shared" si="21"/>
        <v>6992450</v>
      </c>
      <c r="G43" s="58">
        <f>+G41+G26</f>
        <v>4736107</v>
      </c>
      <c r="H43" s="58">
        <f t="shared" si="21"/>
        <v>3045322</v>
      </c>
      <c r="I43" s="58">
        <f t="shared" si="21"/>
        <v>3258376</v>
      </c>
      <c r="J43" s="58">
        <f t="shared" si="21"/>
        <v>2801873</v>
      </c>
      <c r="K43" s="58">
        <f t="shared" si="21"/>
        <v>2374087</v>
      </c>
      <c r="L43" s="58">
        <f t="shared" si="21"/>
        <v>2821083</v>
      </c>
      <c r="M43" s="58">
        <f t="shared" si="21"/>
        <v>1939821</v>
      </c>
      <c r="N43" s="58">
        <f>+N41+N38</f>
        <v>1374383</v>
      </c>
      <c r="O43" s="58">
        <f>+O41+O38</f>
        <v>1913681</v>
      </c>
      <c r="P43" s="116">
        <f>+P41+P38</f>
        <v>-302208</v>
      </c>
      <c r="Q43" s="116">
        <f>+Q41+Q38</f>
        <v>4098733</v>
      </c>
      <c r="R43" s="116">
        <f>+R41+R38</f>
        <v>360639</v>
      </c>
      <c r="S43" s="116">
        <f>+S41+S38-1</f>
        <v>2523408</v>
      </c>
      <c r="T43" s="116">
        <f t="shared" ref="T43:X43" si="22">+T41+T38</f>
        <v>979588</v>
      </c>
      <c r="U43" s="116">
        <f t="shared" si="22"/>
        <v>186112</v>
      </c>
      <c r="V43" s="116">
        <f t="shared" si="22"/>
        <v>180611</v>
      </c>
      <c r="W43" s="116">
        <f t="shared" si="22"/>
        <v>19600</v>
      </c>
      <c r="X43" s="116">
        <f t="shared" si="22"/>
        <v>650</v>
      </c>
      <c r="Y43" s="116">
        <f t="shared" ref="Y43:AA43" si="23">+Y41+Y38</f>
        <v>650</v>
      </c>
      <c r="Z43" s="116">
        <f t="shared" si="23"/>
        <v>650</v>
      </c>
      <c r="AA43" s="116">
        <f t="shared" si="23"/>
        <v>650</v>
      </c>
      <c r="AB43" s="116">
        <f t="shared" ref="AB43:AC43" si="24">+AB41+AB38</f>
        <v>650</v>
      </c>
      <c r="AC43" s="116">
        <f t="shared" si="24"/>
        <v>650</v>
      </c>
    </row>
    <row r="44" spans="1:29" ht="13" thickTop="1">
      <c r="H44" s="73"/>
    </row>
    <row r="47" spans="1:29" s="34" customFormat="1" ht="31" hidden="1" thickBot="1">
      <c r="A47" s="69" t="s">
        <v>94</v>
      </c>
      <c r="B47" s="48">
        <f>+B26/12</f>
        <v>0</v>
      </c>
      <c r="C47" s="48">
        <f>+C26/12</f>
        <v>103711.91666666667</v>
      </c>
      <c r="D47" s="71">
        <f t="shared" ref="D47:J47" si="25">+D43/(+D23/365)</f>
        <v>63773.365881799924</v>
      </c>
      <c r="E47" s="71" t="e">
        <f t="shared" si="25"/>
        <v>#DIV/0!</v>
      </c>
      <c r="F47" s="71">
        <f t="shared" si="25"/>
        <v>5773.8641145251277</v>
      </c>
      <c r="G47" s="71">
        <f t="shared" si="25"/>
        <v>474.41577707484976</v>
      </c>
      <c r="H47" s="71">
        <f t="shared" si="25"/>
        <v>437.44380842937511</v>
      </c>
      <c r="I47" s="71">
        <f t="shared" si="25"/>
        <v>1037.9058393956743</v>
      </c>
      <c r="J47" s="71">
        <f t="shared" si="25"/>
        <v>1025.6981719272942</v>
      </c>
      <c r="K47" s="71">
        <f t="shared" ref="K47:P47" si="26">+K43/(+K23/365)</f>
        <v>411.76481307776163</v>
      </c>
      <c r="L47" s="71">
        <f t="shared" si="26"/>
        <v>749.44924290505526</v>
      </c>
      <c r="M47" s="71">
        <f t="shared" si="26"/>
        <v>399.06273601601583</v>
      </c>
      <c r="N47" s="71">
        <f t="shared" si="26"/>
        <v>389.40648961918646</v>
      </c>
      <c r="O47" s="71">
        <f t="shared" si="26"/>
        <v>919.60893549512548</v>
      </c>
      <c r="P47" s="71">
        <f t="shared" si="26"/>
        <v>-69.821076478142999</v>
      </c>
      <c r="Q47" s="71">
        <f>+Q43/(+Q23/365)</f>
        <v>403.98442457697467</v>
      </c>
      <c r="R47" s="71">
        <f>+R43/(+R23/365)</f>
        <v>43.261072827205787</v>
      </c>
      <c r="S47" s="71">
        <f>+S43/(+S23/365)</f>
        <v>315.62726642811276</v>
      </c>
      <c r="T47" s="71">
        <f>+T43/(+T23/365)</f>
        <v>235.9059146436006</v>
      </c>
      <c r="U47" s="71">
        <f>+U43/(+U23/365)</f>
        <v>86.192809026971545</v>
      </c>
    </row>
    <row r="49" hidden="1"/>
    <row r="126" spans="16:23">
      <c r="P126" s="9" t="s">
        <v>99</v>
      </c>
      <c r="Q126" s="131" t="s">
        <v>100</v>
      </c>
      <c r="R126" s="131" t="s">
        <v>101</v>
      </c>
      <c r="S126" s="131" t="s">
        <v>104</v>
      </c>
      <c r="T126" s="131" t="s">
        <v>105</v>
      </c>
      <c r="U126" s="131" t="s">
        <v>106</v>
      </c>
      <c r="V126" s="131" t="s">
        <v>14</v>
      </c>
      <c r="W126" s="9" t="s">
        <v>21</v>
      </c>
    </row>
  </sheetData>
  <phoneticPr fontId="0" type="noConversion"/>
  <pageMargins left="0.77" right="0.84" top="1.25" bottom="0.5" header="0.5" footer="0.25"/>
  <pageSetup scale="86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4"/>
  <sheetViews>
    <sheetView view="pageLayout" zoomScale="150" zoomScaleNormal="150" zoomScalePageLayoutView="150" workbookViewId="0">
      <selection activeCell="O32" sqref="O32"/>
    </sheetView>
  </sheetViews>
  <sheetFormatPr baseColWidth="10" defaultColWidth="11.5" defaultRowHeight="12" x14ac:dyDescent="0"/>
  <cols>
    <col min="1" max="1" width="36.33203125" customWidth="1"/>
    <col min="2" max="3" width="13.33203125" hidden="1" customWidth="1"/>
    <col min="4" max="4" width="12.33203125" hidden="1" customWidth="1"/>
    <col min="5" max="7" width="11.33203125" hidden="1" customWidth="1"/>
    <col min="8" max="8" width="12.5" customWidth="1"/>
    <col min="9" max="9" width="11.1640625" bestFit="1" customWidth="1"/>
    <col min="12" max="12" width="11.33203125" customWidth="1"/>
    <col min="14" max="14" width="11" customWidth="1"/>
  </cols>
  <sheetData>
    <row r="1" spans="1:15" ht="18">
      <c r="A1" s="105" t="s">
        <v>164</v>
      </c>
    </row>
    <row r="2" spans="1:15">
      <c r="B2" s="5" t="s">
        <v>2</v>
      </c>
      <c r="C2" s="5" t="s">
        <v>67</v>
      </c>
      <c r="D2" s="3" t="s">
        <v>33</v>
      </c>
      <c r="E2" s="3" t="s">
        <v>39</v>
      </c>
      <c r="F2" s="3" t="s">
        <v>111</v>
      </c>
      <c r="G2" s="153" t="s">
        <v>129</v>
      </c>
      <c r="H2" s="153" t="s">
        <v>130</v>
      </c>
      <c r="I2" s="156" t="s">
        <v>131</v>
      </c>
      <c r="J2" s="156" t="s">
        <v>132</v>
      </c>
      <c r="K2" s="156" t="s">
        <v>135</v>
      </c>
      <c r="L2" s="156" t="s">
        <v>136</v>
      </c>
      <c r="M2" s="156" t="s">
        <v>150</v>
      </c>
      <c r="N2" s="156" t="s">
        <v>159</v>
      </c>
      <c r="O2" s="156" t="s">
        <v>167</v>
      </c>
    </row>
    <row r="3" spans="1:15">
      <c r="A3" s="81"/>
      <c r="B3" s="6" t="s">
        <v>90</v>
      </c>
      <c r="C3" s="6" t="s">
        <v>71</v>
      </c>
      <c r="D3" s="153" t="s">
        <v>2</v>
      </c>
      <c r="E3" s="153" t="s">
        <v>2</v>
      </c>
      <c r="F3" s="153" t="s">
        <v>2</v>
      </c>
      <c r="G3" s="153" t="s">
        <v>2</v>
      </c>
      <c r="H3" s="153" t="s">
        <v>2</v>
      </c>
      <c r="I3" s="153" t="s">
        <v>2</v>
      </c>
      <c r="J3" s="153" t="s">
        <v>127</v>
      </c>
      <c r="K3" s="157" t="s">
        <v>128</v>
      </c>
      <c r="L3" s="157" t="s">
        <v>128</v>
      </c>
      <c r="M3" s="157" t="s">
        <v>128</v>
      </c>
      <c r="N3" s="157" t="s">
        <v>128</v>
      </c>
      <c r="O3" s="157" t="s">
        <v>128</v>
      </c>
    </row>
    <row r="4" spans="1:15">
      <c r="A4" s="1" t="s">
        <v>92</v>
      </c>
    </row>
    <row r="5" spans="1:15">
      <c r="A5" s="81"/>
    </row>
    <row r="6" spans="1:15">
      <c r="A6" s="80" t="s">
        <v>59</v>
      </c>
      <c r="B6" s="78">
        <f>+'Operating Funds Total'!B12</f>
        <v>42390745</v>
      </c>
      <c r="C6" s="78">
        <f>+'Operating Funds Total'!C12</f>
        <v>44789797</v>
      </c>
      <c r="D6" s="78">
        <f>+'Operating Funds Total'!D12</f>
        <v>53093376.269999996</v>
      </c>
      <c r="E6" s="78">
        <f>+'Operating Funds Total'!E12</f>
        <v>50205676</v>
      </c>
      <c r="F6" s="78">
        <f>+'Operating Funds Total'!F12</f>
        <v>62452916</v>
      </c>
      <c r="G6" s="78">
        <f>+'Operating Funds Total'!G12</f>
        <v>61756908</v>
      </c>
      <c r="H6" s="78">
        <f>+'Operating Funds Total'!H12</f>
        <v>65465523</v>
      </c>
      <c r="I6" s="101">
        <f>+'Operating Funds Total'!I12</f>
        <v>66398488</v>
      </c>
      <c r="J6" s="101">
        <f>+'Operating Funds Total'!J12</f>
        <v>67457433</v>
      </c>
      <c r="K6" s="101">
        <f>+'Operating Funds Total'!K12</f>
        <v>68130929.041154996</v>
      </c>
      <c r="L6" s="101">
        <f>+'Operating Funds Total'!L12</f>
        <v>67955783.14873068</v>
      </c>
      <c r="M6" s="101">
        <f>+'Operating Funds Total'!M12</f>
        <v>67871438.088891163</v>
      </c>
      <c r="N6" s="101">
        <f>+'Operating Funds Total'!N12</f>
        <v>68378058.782227293</v>
      </c>
      <c r="O6" s="101">
        <f>+'Operating Funds Total'!O12</f>
        <v>69644454.037473723</v>
      </c>
    </row>
    <row r="7" spans="1:15">
      <c r="A7" s="80" t="s">
        <v>31</v>
      </c>
      <c r="B7" s="4">
        <f>+'Non-Operating Funds'!B9</f>
        <v>1984161</v>
      </c>
      <c r="C7" s="4">
        <f>+'Non-Operating Funds'!C9</f>
        <v>2278818</v>
      </c>
      <c r="D7" s="4">
        <f>+'Non-Operating Funds'!D9</f>
        <v>3043127.02</v>
      </c>
      <c r="E7" s="4">
        <f>+'Non-Operating Funds'!E9</f>
        <v>2034207</v>
      </c>
      <c r="F7" s="4">
        <f>+'Non-Operating Funds'!F9</f>
        <v>1758404</v>
      </c>
      <c r="G7" s="4">
        <f>+'Non-Operating Funds'!G9</f>
        <v>1369673</v>
      </c>
      <c r="H7" s="4">
        <f>+'Non-Operating Funds'!H9</f>
        <v>1393463</v>
      </c>
      <c r="I7" s="4">
        <f>+'Non-Operating Funds'!I9</f>
        <v>1412324</v>
      </c>
      <c r="J7" s="4">
        <f>+'Non-Operating Funds'!J9</f>
        <v>1407606</v>
      </c>
      <c r="K7" s="4">
        <f>+'Non-Operating Funds'!K9</f>
        <v>1415088.7799999998</v>
      </c>
      <c r="L7" s="4">
        <f>+'Non-Operating Funds'!L9</f>
        <v>1422256.7238999996</v>
      </c>
      <c r="M7" s="4">
        <f>+'Non-Operating Funds'!M9</f>
        <v>1429360.0075194994</v>
      </c>
      <c r="N7" s="4">
        <f>+'Non-Operating Funds'!N9</f>
        <v>1436498.8075570967</v>
      </c>
      <c r="O7" s="4">
        <f>+'Non-Operating Funds'!O9</f>
        <v>1443673.301594882</v>
      </c>
    </row>
    <row r="8" spans="1:15" ht="13" thickBot="1">
      <c r="A8" s="266" t="s">
        <v>12</v>
      </c>
      <c r="B8" s="100">
        <f>SUM(B6:B7)</f>
        <v>44374906</v>
      </c>
      <c r="C8" s="100">
        <f t="shared" ref="C8:H8" si="0">SUM(C6:C7)</f>
        <v>47068615</v>
      </c>
      <c r="D8" s="100">
        <f t="shared" si="0"/>
        <v>56136503.289999999</v>
      </c>
      <c r="E8" s="100">
        <f t="shared" si="0"/>
        <v>52239883</v>
      </c>
      <c r="F8" s="100">
        <f t="shared" si="0"/>
        <v>64211320</v>
      </c>
      <c r="G8" s="100">
        <f t="shared" si="0"/>
        <v>63126581</v>
      </c>
      <c r="H8" s="100">
        <f t="shared" si="0"/>
        <v>66858986</v>
      </c>
      <c r="I8" s="102">
        <f>SUM(I6:I7)</f>
        <v>67810812</v>
      </c>
      <c r="J8" s="102">
        <f>SUM(J6:J7)</f>
        <v>68865039</v>
      </c>
      <c r="K8" s="102">
        <f t="shared" ref="K8:M8" si="1">SUM(K6:K7)</f>
        <v>69546017.821154997</v>
      </c>
      <c r="L8" s="102">
        <f t="shared" si="1"/>
        <v>69378039.872630686</v>
      </c>
      <c r="M8" s="102">
        <f t="shared" si="1"/>
        <v>69300798.096410662</v>
      </c>
      <c r="N8" s="102">
        <f t="shared" ref="N8:O8" si="2">SUM(N6:N7)</f>
        <v>69814557.589784384</v>
      </c>
      <c r="O8" s="102">
        <f t="shared" si="2"/>
        <v>71088127.339068606</v>
      </c>
    </row>
    <row r="9" spans="1:15">
      <c r="A9" s="81"/>
    </row>
    <row r="10" spans="1:15">
      <c r="A10" s="81"/>
    </row>
    <row r="11" spans="1:15">
      <c r="A11" s="59" t="s">
        <v>102</v>
      </c>
    </row>
    <row r="12" spans="1:15">
      <c r="A12" s="81"/>
    </row>
    <row r="13" spans="1:15">
      <c r="A13" s="80" t="s">
        <v>59</v>
      </c>
      <c r="B13" s="78">
        <f>+'Operating Funds Total'!B23</f>
        <v>42094529</v>
      </c>
      <c r="C13" s="78">
        <f>+'Operating Funds Total'!C23</f>
        <v>46090963</v>
      </c>
      <c r="D13" s="78">
        <f>+'Operating Funds Total'!D23</f>
        <v>52821048.349999994</v>
      </c>
      <c r="E13" s="78">
        <f>+'Operating Funds Total'!E23</f>
        <v>52047158</v>
      </c>
      <c r="F13" s="78">
        <f>+'Operating Funds Total'!F23</f>
        <v>53640973.062310085</v>
      </c>
      <c r="G13" s="78">
        <f>+'Operating Funds Total'!G23</f>
        <v>59617823</v>
      </c>
      <c r="H13" s="78">
        <f>+'Operating Funds Total'!H23</f>
        <v>63512506</v>
      </c>
      <c r="I13" s="101">
        <f>+'Operating Funds Total'!I23</f>
        <v>63965827</v>
      </c>
      <c r="J13" s="101">
        <f>+'Operating Funds Total'!J23</f>
        <v>66284835</v>
      </c>
      <c r="K13" s="101">
        <f>+'Operating Funds Total'!K23</f>
        <v>67321918.959999993</v>
      </c>
      <c r="L13" s="101">
        <f>+'Operating Funds Total'!L23</f>
        <v>67984949.494439989</v>
      </c>
      <c r="M13" s="101">
        <f>+'Operating Funds Total'!M23</f>
        <v>69969283.4231828</v>
      </c>
      <c r="N13" s="101">
        <f>+'Operating Funds Total'!N23</f>
        <v>71935875.627813637</v>
      </c>
      <c r="O13" s="101">
        <f>+'Operating Funds Total'!O23</f>
        <v>74005090.222287372</v>
      </c>
    </row>
    <row r="14" spans="1:15">
      <c r="A14" s="80" t="s">
        <v>31</v>
      </c>
      <c r="B14" s="4">
        <f>+'Non-Operating Funds'!B17</f>
        <v>2848542</v>
      </c>
      <c r="C14" s="4">
        <f>+'Non-Operating Funds'!C17</f>
        <v>5148987</v>
      </c>
      <c r="D14" s="4">
        <f>+'Non-Operating Funds'!D17</f>
        <v>5111622.76</v>
      </c>
      <c r="E14" s="4">
        <f>+'Non-Operating Funds'!E17</f>
        <v>4967688</v>
      </c>
      <c r="F14" s="4">
        <f>+'Non-Operating Funds'!F17</f>
        <v>3746135</v>
      </c>
      <c r="G14" s="4">
        <f>+'Non-Operating Funds'!G17</f>
        <v>-978077</v>
      </c>
      <c r="H14" s="4">
        <f>+'Non-Operating Funds'!H17</f>
        <v>986173</v>
      </c>
      <c r="I14" s="4">
        <f>+'Non-Operating Funds'!I17</f>
        <v>1821980</v>
      </c>
      <c r="J14" s="4">
        <f>+'Non-Operating Funds'!J17</f>
        <v>-1765188</v>
      </c>
      <c r="K14" s="4">
        <f>+'Non-Operating Funds'!K17</f>
        <v>2363677</v>
      </c>
      <c r="L14" s="4">
        <f>+'Non-Operating Funds'!L17</f>
        <v>2396282</v>
      </c>
      <c r="M14" s="4">
        <f>+'Non-Operating Funds'!M17</f>
        <v>2204402</v>
      </c>
      <c r="N14" s="4">
        <f>+'Non-Operating Funds'!N17</f>
        <v>2259329</v>
      </c>
      <c r="O14" s="4">
        <f>+'Non-Operating Funds'!O17</f>
        <v>2281026</v>
      </c>
    </row>
    <row r="15" spans="1:15" ht="13" thickBot="1">
      <c r="A15" s="92" t="s">
        <v>5</v>
      </c>
      <c r="B15" s="100">
        <f>SUM(B13:B14)</f>
        <v>44943071</v>
      </c>
      <c r="C15" s="100">
        <f t="shared" ref="C15:H15" si="3">SUM(C13:C14)</f>
        <v>51239950</v>
      </c>
      <c r="D15" s="100">
        <f t="shared" si="3"/>
        <v>57932671.109999992</v>
      </c>
      <c r="E15" s="100">
        <f t="shared" si="3"/>
        <v>57014846</v>
      </c>
      <c r="F15" s="100">
        <f t="shared" si="3"/>
        <v>57387108.062310085</v>
      </c>
      <c r="G15" s="100">
        <f t="shared" si="3"/>
        <v>58639746</v>
      </c>
      <c r="H15" s="100">
        <f t="shared" si="3"/>
        <v>64498679</v>
      </c>
      <c r="I15" s="102">
        <f>SUM(I13:I14)</f>
        <v>65787807</v>
      </c>
      <c r="J15" s="102">
        <f>SUM(J13:J14)</f>
        <v>64519647</v>
      </c>
      <c r="K15" s="102">
        <f t="shared" ref="K15:M15" si="4">SUM(K13:K14)</f>
        <v>69685595.959999993</v>
      </c>
      <c r="L15" s="102">
        <f t="shared" si="4"/>
        <v>70381231.494439989</v>
      </c>
      <c r="M15" s="102">
        <f t="shared" si="4"/>
        <v>72173685.4231828</v>
      </c>
      <c r="N15" s="102">
        <f t="shared" ref="N15:O15" si="5">SUM(N13:N14)</f>
        <v>74195204.627813637</v>
      </c>
      <c r="O15" s="102">
        <f t="shared" si="5"/>
        <v>76286116.222287372</v>
      </c>
    </row>
    <row r="16" spans="1:15">
      <c r="A16" s="81"/>
    </row>
    <row r="17" spans="1:15">
      <c r="A17" s="81"/>
    </row>
    <row r="18" spans="1:15">
      <c r="A18" s="92" t="str">
        <f>+'Operating Funds Total'!A26</f>
        <v>Excess (deficit) of Revenue over Expenditures</v>
      </c>
      <c r="B18" s="78">
        <f>+B8-B15</f>
        <v>-568165</v>
      </c>
      <c r="C18" s="78">
        <f t="shared" ref="C18:H18" si="6">+C8-C15</f>
        <v>-4171335</v>
      </c>
      <c r="D18" s="78">
        <f t="shared" si="6"/>
        <v>-1796167.8199999928</v>
      </c>
      <c r="E18" s="78">
        <f t="shared" si="6"/>
        <v>-4774963</v>
      </c>
      <c r="F18" s="78">
        <f t="shared" si="6"/>
        <v>6824211.9376899153</v>
      </c>
      <c r="G18" s="78">
        <f t="shared" si="6"/>
        <v>4486835</v>
      </c>
      <c r="H18" s="78">
        <f t="shared" si="6"/>
        <v>2360307</v>
      </c>
      <c r="I18" s="101">
        <f>+I8-I15</f>
        <v>2023005</v>
      </c>
      <c r="J18" s="101">
        <f>+J8-J15</f>
        <v>4345392</v>
      </c>
      <c r="K18" s="101">
        <f t="shared" ref="K18:N18" si="7">+K8-K15</f>
        <v>-139578.13884499669</v>
      </c>
      <c r="L18" s="101">
        <f t="shared" si="7"/>
        <v>-1003191.6218093038</v>
      </c>
      <c r="M18" s="101">
        <f t="shared" si="7"/>
        <v>-2872887.3267721385</v>
      </c>
      <c r="N18" s="101">
        <f t="shared" si="7"/>
        <v>-4380647.0380292535</v>
      </c>
      <c r="O18" s="101">
        <f t="shared" ref="O18" si="8">+O8-O15</f>
        <v>-5197988.8832187653</v>
      </c>
    </row>
    <row r="19" spans="1:15">
      <c r="A19" s="82"/>
    </row>
    <row r="20" spans="1:15">
      <c r="A20" s="1" t="s">
        <v>0</v>
      </c>
    </row>
    <row r="21" spans="1:15">
      <c r="A21" s="82"/>
    </row>
    <row r="22" spans="1:15">
      <c r="A22" s="135" t="s">
        <v>82</v>
      </c>
      <c r="B22" s="101">
        <f>'Operating Funds Total'!B30+'Non-Operating Funds'!B24</f>
        <v>216329</v>
      </c>
      <c r="C22" s="101">
        <f>'Operating Funds Total'!C30+'Non-Operating Funds'!C24</f>
        <v>7321137</v>
      </c>
      <c r="D22" s="101">
        <f>'Operating Funds Total'!D30+'Non-Operating Funds'!D24</f>
        <v>802700</v>
      </c>
      <c r="E22" s="101">
        <f>'Operating Funds Total'!E30+'Non-Operating Funds'!E24</f>
        <v>5206932</v>
      </c>
      <c r="F22" s="101">
        <f>'Operating Funds Total'!F30+'Non-Operating Funds'!F24</f>
        <v>8305833</v>
      </c>
      <c r="G22" s="101">
        <f>'Operating Funds Total'!G30+'Non-Operating Funds'!G24</f>
        <v>359200</v>
      </c>
      <c r="H22" s="101">
        <f>'Operating Funds Total'!H30+'Non-Operating Funds'!H24</f>
        <v>0</v>
      </c>
      <c r="I22" s="101">
        <f>'Operating Funds Total'!I30+'Non-Operating Funds'!I24</f>
        <v>2049500</v>
      </c>
      <c r="J22" s="101">
        <f>'Operating Funds Total'!J30+'Non-Operating Funds'!J24</f>
        <v>577373</v>
      </c>
      <c r="K22" s="101">
        <f>'Operating Funds Total'!K30+'Non-Operating Funds'!K24</f>
        <v>-1417317</v>
      </c>
      <c r="L22" s="101">
        <f>'Operating Funds Total'!L30+'Non-Operating Funds'!L24</f>
        <v>-2765422</v>
      </c>
      <c r="M22" s="101">
        <f>'Operating Funds Total'!M30+'Non-Operating Funds'!M24</f>
        <v>0</v>
      </c>
      <c r="N22" s="101">
        <f>'Operating Funds Total'!N30+'Non-Operating Funds'!N24</f>
        <v>0</v>
      </c>
      <c r="O22" s="101">
        <f>'Operating Funds Total'!O30+'Non-Operating Funds'!O24</f>
        <v>0</v>
      </c>
    </row>
    <row r="23" spans="1:15">
      <c r="A23" s="82"/>
    </row>
    <row r="24" spans="1:15">
      <c r="A24" s="13" t="s">
        <v>89</v>
      </c>
      <c r="B24" s="101">
        <f>SUM(B18:B22)</f>
        <v>-351836</v>
      </c>
      <c r="C24" s="101">
        <f t="shared" ref="C24:H24" si="9">SUM(C18:C22)</f>
        <v>3149802</v>
      </c>
      <c r="D24" s="101">
        <f>SUM(D18:D22)</f>
        <v>-993467.81999999285</v>
      </c>
      <c r="E24" s="101">
        <f t="shared" si="9"/>
        <v>431969</v>
      </c>
      <c r="F24" s="101">
        <f t="shared" si="9"/>
        <v>15130044.937689915</v>
      </c>
      <c r="G24" s="101">
        <f t="shared" si="9"/>
        <v>4846035</v>
      </c>
      <c r="H24" s="101">
        <f t="shared" si="9"/>
        <v>2360307</v>
      </c>
      <c r="I24" s="101">
        <f>SUM(I18:I22)</f>
        <v>4072505</v>
      </c>
      <c r="J24" s="101">
        <f>SUM(J18:J22)</f>
        <v>4922765</v>
      </c>
      <c r="K24" s="101">
        <f t="shared" ref="K24:N24" si="10">SUM(K18:K22)</f>
        <v>-1556895.1388449967</v>
      </c>
      <c r="L24" s="101">
        <f t="shared" si="10"/>
        <v>-3768613.6218093038</v>
      </c>
      <c r="M24" s="101">
        <f t="shared" si="10"/>
        <v>-2872887.3267721385</v>
      </c>
      <c r="N24" s="101">
        <f t="shared" si="10"/>
        <v>-4380647.0380292535</v>
      </c>
      <c r="O24" s="101">
        <f t="shared" ref="O24" si="11">SUM(O18:O22)</f>
        <v>-5197988.8832187653</v>
      </c>
    </row>
    <row r="25" spans="1:15">
      <c r="A25" s="82"/>
    </row>
    <row r="26" spans="1:15">
      <c r="A26" s="82" t="str">
        <f>+'Operating Funds Total'!A34</f>
        <v xml:space="preserve"> Fund Balance </v>
      </c>
    </row>
    <row r="27" spans="1:15">
      <c r="A27" s="82"/>
      <c r="L27" t="s">
        <v>155</v>
      </c>
    </row>
    <row r="28" spans="1:15">
      <c r="A28" s="93" t="str">
        <f>+'Operating Funds Total'!A36</f>
        <v xml:space="preserve"> Beginning of Year </v>
      </c>
      <c r="B28" s="78">
        <f>+'Operating Funds Total'!B36+'Non-Operating Funds'!B30</f>
        <v>23963482</v>
      </c>
      <c r="C28" s="78">
        <f>+'Operating Funds Total'!C36+'Non-Operating Funds'!C30</f>
        <v>23611646</v>
      </c>
      <c r="D28" s="78">
        <f>+'Operating Funds Total'!D36+'Non-Operating Funds'!D30</f>
        <v>21396371.490000002</v>
      </c>
      <c r="E28" s="78">
        <f>+'Operating Funds Total'!E36+'Non-Operating Funds'!E30</f>
        <v>19050201.670000002</v>
      </c>
      <c r="F28" s="78">
        <f>+'Operating Funds Total'!F36+'Non-Operating Funds'!F30</f>
        <v>19482167.670000002</v>
      </c>
      <c r="G28" s="78">
        <f>+'Operating Funds Total'!G36+'Non-Operating Funds'!G30</f>
        <v>34612217.607689917</v>
      </c>
      <c r="H28" s="78">
        <f>+'Operating Funds Total'!H36+'Non-Operating Funds'!H30</f>
        <v>35321547.607689917</v>
      </c>
      <c r="I28" s="101">
        <f>+'Operating Funds Total'!I36+'Non-Operating Funds'!I30</f>
        <v>36301537.607689917</v>
      </c>
      <c r="J28" s="101">
        <f>+'Operating Funds Total'!J36+'Non-Operating Funds'!J30</f>
        <v>37608620.60768991</v>
      </c>
      <c r="K28" s="101">
        <f>+'Operating Funds Total'!K36+'Non-Operating Funds'!K30</f>
        <v>34257979.607689917</v>
      </c>
      <c r="L28" s="101">
        <f>+'Operating Funds Total'!L36+'Non-Operating Funds'!L30</f>
        <v>32701084.468844913</v>
      </c>
      <c r="M28" s="101">
        <f>+'Operating Funds Total'!M36+'Non-Operating Funds'!M30</f>
        <v>28932470.847035609</v>
      </c>
      <c r="N28" s="101">
        <f>+'Operating Funds Total'!N36+'Non-Operating Funds'!N30</f>
        <v>26059583.520263471</v>
      </c>
      <c r="O28" s="101">
        <f>+'Operating Funds Total'!O36+'Non-Operating Funds'!O30</f>
        <v>21678936.48223424</v>
      </c>
    </row>
    <row r="29" spans="1:15" ht="13" thickBot="1">
      <c r="A29" s="93" t="str">
        <f>+'Operating Funds Total'!A37</f>
        <v xml:space="preserve"> End of Year-(Projected) </v>
      </c>
      <c r="B29" s="99">
        <f>+'Operating Funds Total'!B37+'Non-Operating Funds'!B31</f>
        <v>23611646</v>
      </c>
      <c r="C29" s="99">
        <f>+'Operating Funds Total'!C37+'Non-Operating Funds'!C31</f>
        <v>26761448</v>
      </c>
      <c r="D29" s="99">
        <f>+'Operating Funds Total'!D37+'Non-Operating Funds'!D31</f>
        <v>19050201.670000002</v>
      </c>
      <c r="E29" s="99">
        <f>+'Operating Funds Total'!E37+'Non-Operating Funds'!E31</f>
        <v>19482167.670000002</v>
      </c>
      <c r="F29" s="99">
        <f>+'Operating Funds Total'!F37+'Non-Operating Funds'!F31</f>
        <v>34612213.607689917</v>
      </c>
      <c r="G29" s="99">
        <f>+'Operating Funds Total'!G37+'Non-Operating Funds'!G31</f>
        <v>35321549.607689917</v>
      </c>
      <c r="H29" s="99">
        <f>+'Operating Funds Total'!H37+'Non-Operating Funds'!H31</f>
        <v>36301537.607689917</v>
      </c>
      <c r="I29" s="103">
        <f>+'Operating Funds Total'!I37+'Non-Operating Funds'!I31</f>
        <v>37608620.60768991</v>
      </c>
      <c r="J29" s="103">
        <f>+'Operating Funds Total'!J37+'Non-Operating Funds'!J31</f>
        <v>34257979.607689917</v>
      </c>
      <c r="K29" s="103">
        <f>+'Operating Funds Total'!K37+'Non-Operating Funds'!K31</f>
        <v>32701084.468844913</v>
      </c>
      <c r="L29" s="103">
        <f>+'Operating Funds Total'!L37+'Non-Operating Funds'!L31</f>
        <v>28932470.847035609</v>
      </c>
      <c r="M29" s="103">
        <f>+'Operating Funds Total'!M37+'Non-Operating Funds'!M31</f>
        <v>26059583.520263471</v>
      </c>
      <c r="N29" s="103">
        <f>+'Operating Funds Total'!N37+'Non-Operating Funds'!N31</f>
        <v>21678936.48223424</v>
      </c>
      <c r="O29" s="103">
        <f>+'Operating Funds Total'!O37+'Non-Operating Funds'!O31</f>
        <v>16480947.599015471</v>
      </c>
    </row>
    <row r="30" spans="1:15" ht="13" thickTop="1">
      <c r="A30" s="93"/>
    </row>
    <row r="31" spans="1:15">
      <c r="A31" s="93" t="str">
        <f>+'Operating Funds Total'!A40</f>
        <v>Fund Balance as a Percentage of Expenditures</v>
      </c>
      <c r="B31" s="98">
        <f>+B29/B8</f>
        <v>0.53209455812706397</v>
      </c>
      <c r="C31" s="98">
        <f t="shared" ref="C31:H31" si="12">+C29/C8</f>
        <v>0.5685624699175873</v>
      </c>
      <c r="D31" s="98">
        <f t="shared" si="12"/>
        <v>0.33935497498992873</v>
      </c>
      <c r="E31" s="98">
        <f t="shared" si="12"/>
        <v>0.37293666354497773</v>
      </c>
      <c r="F31" s="98">
        <f t="shared" si="12"/>
        <v>0.53903600810090679</v>
      </c>
      <c r="G31" s="98">
        <f t="shared" si="12"/>
        <v>0.55953528684992326</v>
      </c>
      <c r="H31" s="98">
        <f t="shared" si="12"/>
        <v>0.54295674791852089</v>
      </c>
      <c r="I31" s="104">
        <f>+I29/I8</f>
        <v>0.55461097572006524</v>
      </c>
      <c r="J31" s="104">
        <f>+J29/J8</f>
        <v>0.4974654789303164</v>
      </c>
      <c r="K31" s="104">
        <f t="shared" ref="K31:M31" si="13">+K29/K8</f>
        <v>0.47020786370456524</v>
      </c>
      <c r="L31" s="104">
        <f t="shared" si="13"/>
        <v>0.41702635156819029</v>
      </c>
      <c r="M31" s="104">
        <f t="shared" si="13"/>
        <v>0.37603583560480225</v>
      </c>
      <c r="N31" s="104">
        <f t="shared" ref="N31" si="14">+N29/N8</f>
        <v>0.31052171969082865</v>
      </c>
      <c r="O31" s="104">
        <f>+O29/O8</f>
        <v>0.23183825789089077</v>
      </c>
    </row>
    <row r="35" spans="1:5">
      <c r="A35" s="134"/>
      <c r="B35" s="134"/>
      <c r="C35" s="134"/>
      <c r="D35" s="134"/>
      <c r="E35" s="134"/>
    </row>
    <row r="36" spans="1:5">
      <c r="A36" s="134"/>
      <c r="B36" s="134"/>
      <c r="C36" s="134"/>
      <c r="D36" s="134"/>
      <c r="E36" s="134"/>
    </row>
    <row r="37" spans="1:5">
      <c r="A37" s="134"/>
      <c r="B37" s="134"/>
      <c r="C37" s="134"/>
      <c r="D37" s="134"/>
      <c r="E37" s="134"/>
    </row>
    <row r="38" spans="1:5">
      <c r="A38" s="134"/>
      <c r="B38" s="134"/>
      <c r="C38" s="134"/>
      <c r="D38" s="134"/>
      <c r="E38" s="134"/>
    </row>
    <row r="39" spans="1:5">
      <c r="A39" s="134"/>
      <c r="B39" s="134"/>
      <c r="C39" s="134"/>
      <c r="D39" s="134"/>
      <c r="E39" s="134"/>
    </row>
    <row r="40" spans="1:5">
      <c r="A40" s="134"/>
      <c r="B40" s="134"/>
      <c r="C40" s="134"/>
      <c r="D40" s="134"/>
      <c r="E40" s="134"/>
    </row>
    <row r="41" spans="1:5">
      <c r="A41" s="134"/>
      <c r="B41" s="134"/>
      <c r="C41" s="134"/>
      <c r="D41" s="134"/>
      <c r="E41" s="134"/>
    </row>
    <row r="42" spans="1:5">
      <c r="A42" s="134"/>
      <c r="B42" s="134"/>
      <c r="C42" s="134"/>
      <c r="D42" s="134"/>
      <c r="E42" s="134"/>
    </row>
    <row r="43" spans="1:5">
      <c r="A43" s="134"/>
      <c r="B43" s="134"/>
      <c r="C43" s="134"/>
      <c r="D43" s="134"/>
      <c r="E43" s="134"/>
    </row>
    <row r="44" spans="1:5">
      <c r="A44" s="134"/>
      <c r="B44" s="134"/>
      <c r="C44" s="134"/>
      <c r="D44" s="134"/>
      <c r="E44" s="134"/>
    </row>
  </sheetData>
  <phoneticPr fontId="16" type="noConversion"/>
  <pageMargins left="0.2" right="0.2" top="1.5" bottom="1" header="0.5" footer="0.5"/>
  <pageSetup scale="95" orientation="landscape" horizontalDpi="4294967292" verticalDpi="4294967292"/>
  <headerFooter>
    <oddHeader>&amp;C&amp;K000000Wilmette Public School District 39_x000D_Statement of Revenues and Expenditures_x000D_&amp;"Arial,Bold"All Funds&amp;"Arial,Regular"_x000D_FY2014 and FY2015 Actuals. and FY 2016  through FY 2021 Projections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AC128"/>
  <sheetViews>
    <sheetView view="pageLayout" topLeftCell="A9" zoomScale="125" zoomScaleNormal="125" zoomScalePageLayoutView="125" workbookViewId="0">
      <selection activeCell="Y31" sqref="Y31"/>
    </sheetView>
  </sheetViews>
  <sheetFormatPr baseColWidth="10" defaultColWidth="8" defaultRowHeight="12" x14ac:dyDescent="0"/>
  <cols>
    <col min="1" max="1" width="40.33203125" style="9" customWidth="1"/>
    <col min="2" max="6" width="11.6640625" style="9" hidden="1" customWidth="1"/>
    <col min="7" max="8" width="12.6640625" style="9" hidden="1" customWidth="1"/>
    <col min="9" max="17" width="20.5" style="9" hidden="1" customWidth="1"/>
    <col min="18" max="18" width="13.5" style="9" hidden="1" customWidth="1"/>
    <col min="19" max="19" width="13.5" style="155" hidden="1" customWidth="1"/>
    <col min="20" max="21" width="13.5" style="9" hidden="1" customWidth="1"/>
    <col min="22" max="22" width="13.5" style="9" customWidth="1"/>
    <col min="23" max="26" width="13.5" style="158" customWidth="1"/>
    <col min="27" max="28" width="13.5" style="9" customWidth="1"/>
    <col min="29" max="29" width="12" style="9" customWidth="1"/>
    <col min="30" max="16384" width="8" style="9"/>
  </cols>
  <sheetData>
    <row r="1" spans="1:29" ht="25">
      <c r="A1" s="105" t="s">
        <v>147</v>
      </c>
      <c r="B1" s="2" t="s">
        <v>44</v>
      </c>
      <c r="C1" s="3" t="s">
        <v>9</v>
      </c>
      <c r="D1" s="3" t="s">
        <v>56</v>
      </c>
      <c r="E1" s="3" t="s">
        <v>57</v>
      </c>
      <c r="F1" s="3" t="s">
        <v>23</v>
      </c>
      <c r="G1" s="3" t="s">
        <v>91</v>
      </c>
      <c r="H1" s="3" t="s">
        <v>64</v>
      </c>
      <c r="I1" s="2" t="s">
        <v>110</v>
      </c>
      <c r="J1" s="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3" t="s">
        <v>33</v>
      </c>
      <c r="S1" s="3" t="s">
        <v>39</v>
      </c>
      <c r="T1" s="3" t="s">
        <v>111</v>
      </c>
      <c r="U1" s="153" t="s">
        <v>129</v>
      </c>
      <c r="V1" s="153" t="s">
        <v>130</v>
      </c>
      <c r="W1" s="156" t="s">
        <v>131</v>
      </c>
      <c r="X1" s="156" t="s">
        <v>132</v>
      </c>
      <c r="Y1" s="156" t="s">
        <v>134</v>
      </c>
      <c r="Z1" s="156" t="s">
        <v>136</v>
      </c>
      <c r="AA1" s="156" t="s">
        <v>150</v>
      </c>
      <c r="AB1" s="156" t="s">
        <v>159</v>
      </c>
      <c r="AC1" s="156" t="s">
        <v>167</v>
      </c>
    </row>
    <row r="2" spans="1:29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4" t="s">
        <v>127</v>
      </c>
      <c r="Y2" s="157" t="s">
        <v>128</v>
      </c>
      <c r="Z2" s="157" t="s">
        <v>128</v>
      </c>
      <c r="AA2" s="157" t="s">
        <v>128</v>
      </c>
      <c r="AB2" s="157" t="s">
        <v>128</v>
      </c>
      <c r="AC2" s="157" t="s">
        <v>128</v>
      </c>
    </row>
    <row r="3" spans="1:29" ht="19" customHeight="1">
      <c r="A3" s="59" t="s">
        <v>92</v>
      </c>
      <c r="T3" s="140"/>
      <c r="U3" s="155" t="s">
        <v>12</v>
      </c>
      <c r="V3" s="155" t="s">
        <v>12</v>
      </c>
      <c r="X3" s="159" t="s">
        <v>12</v>
      </c>
      <c r="Y3" s="159" t="s">
        <v>12</v>
      </c>
      <c r="Z3" s="159" t="s">
        <v>12</v>
      </c>
    </row>
    <row r="4" spans="1:29">
      <c r="A4" s="155" t="s">
        <v>12</v>
      </c>
      <c r="V4" s="52"/>
    </row>
    <row r="5" spans="1:29" s="125" customFormat="1">
      <c r="A5" s="125" t="s">
        <v>93</v>
      </c>
      <c r="B5" s="124">
        <v>59388333</v>
      </c>
      <c r="C5" s="125">
        <f>64469583-808079</f>
        <v>63661504</v>
      </c>
      <c r="D5" s="125">
        <v>66286078</v>
      </c>
      <c r="E5" s="125">
        <v>68865443</v>
      </c>
      <c r="F5" s="125">
        <v>72411525</v>
      </c>
      <c r="G5" s="125">
        <v>75591788</v>
      </c>
      <c r="H5" s="125">
        <v>79043137</v>
      </c>
      <c r="I5" s="125">
        <v>79493126</v>
      </c>
      <c r="J5" s="125">
        <v>82669275</v>
      </c>
      <c r="K5" s="125">
        <v>88479626</v>
      </c>
      <c r="L5" s="125">
        <v>90931585</v>
      </c>
      <c r="M5" s="125">
        <v>97904999</v>
      </c>
      <c r="N5" s="125">
        <v>102535777</v>
      </c>
      <c r="O5" s="125">
        <v>24458656</v>
      </c>
      <c r="P5" s="125">
        <v>25513141</v>
      </c>
      <c r="Q5" s="125">
        <v>26830752</v>
      </c>
      <c r="R5" s="148">
        <v>30175027.43</v>
      </c>
      <c r="S5" s="177">
        <f>28992861</f>
        <v>28992861</v>
      </c>
      <c r="T5" s="216">
        <v>39665909</v>
      </c>
      <c r="U5" s="148">
        <v>36733471</v>
      </c>
      <c r="V5" s="162">
        <v>37706829</v>
      </c>
      <c r="W5" s="162">
        <v>37922317</v>
      </c>
      <c r="X5" s="162">
        <v>38255533</v>
      </c>
      <c r="Y5" s="162">
        <f>(X5*1.0156)</f>
        <v>38852319.314800002</v>
      </c>
      <c r="Z5" s="162">
        <f>Y5*1.0075</f>
        <v>39143711.709661007</v>
      </c>
      <c r="AA5" s="162">
        <f>(Z5*1.01)</f>
        <v>39535148.826757617</v>
      </c>
      <c r="AB5" s="162">
        <f>(AA5*1.022)</f>
        <v>40404922.100946285</v>
      </c>
      <c r="AC5" s="162">
        <f>(AB5*1.022)+900000</f>
        <v>42193830.387167104</v>
      </c>
    </row>
    <row r="6" spans="1:29" s="206" customFormat="1">
      <c r="A6" s="206" t="s">
        <v>27</v>
      </c>
      <c r="B6" s="206">
        <v>1028340</v>
      </c>
      <c r="C6" s="206">
        <v>808079</v>
      </c>
      <c r="D6" s="206">
        <v>1153947</v>
      </c>
      <c r="E6" s="206">
        <v>1232967</v>
      </c>
      <c r="F6" s="206">
        <v>1326126</v>
      </c>
      <c r="G6" s="206">
        <v>1429903</v>
      </c>
      <c r="H6" s="206">
        <v>1463084</v>
      </c>
      <c r="I6" s="206">
        <v>1591296</v>
      </c>
      <c r="J6" s="206">
        <v>1538282</v>
      </c>
      <c r="K6" s="206">
        <v>1341910</v>
      </c>
      <c r="L6" s="206">
        <v>1150773</v>
      </c>
      <c r="M6" s="206">
        <v>1294018</v>
      </c>
      <c r="N6" s="206">
        <v>1515783</v>
      </c>
      <c r="O6" s="206">
        <v>440300</v>
      </c>
      <c r="P6" s="206">
        <v>482375</v>
      </c>
      <c r="Q6" s="206">
        <v>495321</v>
      </c>
      <c r="R6" s="198">
        <v>352134.56</v>
      </c>
      <c r="S6" s="206">
        <v>379234</v>
      </c>
      <c r="T6" s="207">
        <v>415632</v>
      </c>
      <c r="U6" s="261">
        <v>440936</v>
      </c>
      <c r="V6" s="284">
        <v>462950</v>
      </c>
      <c r="W6" s="285">
        <v>485210</v>
      </c>
      <c r="X6" s="285">
        <v>475000</v>
      </c>
      <c r="Y6" s="285">
        <f>+X6</f>
        <v>475000</v>
      </c>
      <c r="Z6" s="285">
        <f>+Y6</f>
        <v>475000</v>
      </c>
      <c r="AA6" s="285">
        <f>+Z6</f>
        <v>475000</v>
      </c>
      <c r="AB6" s="285">
        <f>+AA6</f>
        <v>475000</v>
      </c>
      <c r="AC6" s="285">
        <f>+AB6</f>
        <v>475000</v>
      </c>
    </row>
    <row r="7" spans="1:29" s="206" customFormat="1">
      <c r="A7" s="206" t="s">
        <v>28</v>
      </c>
      <c r="B7" s="206">
        <v>6830968</v>
      </c>
      <c r="C7" s="206">
        <v>8135387</v>
      </c>
      <c r="D7" s="206">
        <v>7710065</v>
      </c>
      <c r="E7" s="209">
        <v>8162630</v>
      </c>
      <c r="F7" s="206">
        <v>12365884</v>
      </c>
      <c r="G7" s="206">
        <v>10419813</v>
      </c>
      <c r="H7" s="206">
        <v>10885974</v>
      </c>
      <c r="I7" s="206">
        <v>12140255</v>
      </c>
      <c r="J7" s="206">
        <v>13432681</v>
      </c>
      <c r="K7" s="206">
        <v>12630763</v>
      </c>
      <c r="L7" s="206">
        <v>12115244</v>
      </c>
      <c r="M7" s="206">
        <v>12108459</v>
      </c>
      <c r="N7" s="206">
        <v>12406066</v>
      </c>
      <c r="O7" s="206">
        <v>2915743</v>
      </c>
      <c r="P7" s="206">
        <v>3218628</v>
      </c>
      <c r="Q7" s="206">
        <v>3417972</v>
      </c>
      <c r="R7" s="198">
        <v>2537816.1</v>
      </c>
      <c r="S7" s="206">
        <f>9616376-6117663</f>
        <v>3498713</v>
      </c>
      <c r="T7" s="207">
        <f>9859340-6613685</f>
        <v>3245655</v>
      </c>
      <c r="U7" s="261">
        <v>3530502</v>
      </c>
      <c r="V7" s="284">
        <v>3055944</v>
      </c>
      <c r="W7" s="285">
        <v>2874215</v>
      </c>
      <c r="X7" s="285">
        <v>2605106</v>
      </c>
      <c r="Y7" s="285">
        <f>+X7*1</f>
        <v>2605106</v>
      </c>
      <c r="Z7" s="285">
        <f>+Y7*1</f>
        <v>2605106</v>
      </c>
      <c r="AA7" s="285">
        <f>+Z7*1</f>
        <v>2605106</v>
      </c>
      <c r="AB7" s="285">
        <f>+AA7*1</f>
        <v>2605106</v>
      </c>
      <c r="AC7" s="285">
        <f>+AB7*1</f>
        <v>2605106</v>
      </c>
    </row>
    <row r="8" spans="1:29" s="206" customFormat="1">
      <c r="A8" s="206" t="s">
        <v>161</v>
      </c>
      <c r="E8" s="209"/>
      <c r="R8" s="198"/>
      <c r="T8" s="207"/>
      <c r="U8" s="261">
        <v>0</v>
      </c>
      <c r="V8" s="284">
        <v>0</v>
      </c>
      <c r="W8" s="285">
        <v>0</v>
      </c>
      <c r="X8" s="178">
        <v>0</v>
      </c>
      <c r="Y8" s="311">
        <v>-317700</v>
      </c>
      <c r="Z8" s="311">
        <v>-847200</v>
      </c>
      <c r="AA8" s="311">
        <v>-1482600</v>
      </c>
      <c r="AB8" s="311">
        <v>-2118000</v>
      </c>
      <c r="AC8" s="311">
        <v>-2118000</v>
      </c>
    </row>
    <row r="9" spans="1:29" s="206" customFormat="1">
      <c r="A9" s="206" t="s">
        <v>49</v>
      </c>
      <c r="E9" s="209">
        <v>4077551</v>
      </c>
      <c r="F9" s="206">
        <v>4737037</v>
      </c>
      <c r="G9" s="206">
        <v>5600878</v>
      </c>
      <c r="H9" s="206">
        <v>6830083</v>
      </c>
      <c r="I9" s="206">
        <v>7475062</v>
      </c>
      <c r="J9" s="206">
        <v>8398183</v>
      </c>
      <c r="K9" s="206">
        <v>9042537</v>
      </c>
      <c r="L9" s="206">
        <v>9640314</v>
      </c>
      <c r="M9" s="206">
        <v>10359732</v>
      </c>
      <c r="N9" s="206">
        <v>8933334</v>
      </c>
      <c r="O9" s="206">
        <v>0</v>
      </c>
      <c r="P9" s="206">
        <v>2169789</v>
      </c>
      <c r="Q9" s="206">
        <v>3310777</v>
      </c>
      <c r="R9" s="198">
        <v>6157944</v>
      </c>
      <c r="S9" s="206">
        <v>6117663</v>
      </c>
      <c r="T9" s="207">
        <v>6613685</v>
      </c>
      <c r="U9" s="207">
        <v>7824824</v>
      </c>
      <c r="V9" s="286">
        <v>10075229</v>
      </c>
      <c r="W9" s="286">
        <v>9738971</v>
      </c>
      <c r="X9" s="286">
        <v>10984127</v>
      </c>
      <c r="Y9" s="286">
        <f>X9</f>
        <v>10984127</v>
      </c>
      <c r="Z9" s="286">
        <f>Y9</f>
        <v>10984127</v>
      </c>
      <c r="AA9" s="286">
        <f>Z9</f>
        <v>10984127</v>
      </c>
      <c r="AB9" s="286">
        <f>AA9</f>
        <v>10984127</v>
      </c>
      <c r="AC9" s="286">
        <f>AB9</f>
        <v>10984127</v>
      </c>
    </row>
    <row r="10" spans="1:29" s="206" customFormat="1">
      <c r="A10" s="206" t="s">
        <v>50</v>
      </c>
      <c r="B10" s="206">
        <v>821030</v>
      </c>
      <c r="C10" s="206">
        <v>635383</v>
      </c>
      <c r="D10" s="206">
        <v>701412</v>
      </c>
      <c r="E10" s="206">
        <v>1380510</v>
      </c>
      <c r="F10" s="206">
        <v>2279179</v>
      </c>
      <c r="G10" s="206">
        <v>4706623</v>
      </c>
      <c r="H10" s="206">
        <v>3772241</v>
      </c>
      <c r="I10" s="206">
        <v>4582286</v>
      </c>
      <c r="J10" s="206">
        <v>4665061</v>
      </c>
      <c r="K10" s="206">
        <v>5015194</v>
      </c>
      <c r="L10" s="206">
        <v>5390288</v>
      </c>
      <c r="M10" s="206">
        <v>5504111</v>
      </c>
      <c r="N10" s="206">
        <v>5742541</v>
      </c>
      <c r="O10" s="206">
        <v>1024668</v>
      </c>
      <c r="P10" s="206">
        <v>1029548</v>
      </c>
      <c r="Q10" s="206">
        <v>989982</v>
      </c>
      <c r="R10" s="198">
        <v>2185664.5099999998</v>
      </c>
      <c r="S10" s="206">
        <v>1250968</v>
      </c>
      <c r="T10" s="207">
        <v>1297200</v>
      </c>
      <c r="U10" s="261">
        <v>1340775</v>
      </c>
      <c r="V10" s="284">
        <v>1178187</v>
      </c>
      <c r="W10" s="284">
        <v>1189842</v>
      </c>
      <c r="X10" s="284">
        <v>1188014</v>
      </c>
      <c r="Y10" s="284">
        <f>+X10*1</f>
        <v>1188014</v>
      </c>
      <c r="Z10" s="284">
        <f>+Y10*1</f>
        <v>1188014</v>
      </c>
      <c r="AA10" s="284">
        <f>+Z10*1</f>
        <v>1188014</v>
      </c>
      <c r="AB10" s="284">
        <f>+AA10*1</f>
        <v>1188014</v>
      </c>
      <c r="AC10" s="284">
        <f>+AB10*1</f>
        <v>1188014</v>
      </c>
    </row>
    <row r="11" spans="1:29" s="206" customFormat="1">
      <c r="A11" s="206" t="s">
        <v>112</v>
      </c>
      <c r="B11" s="206">
        <v>793908</v>
      </c>
      <c r="C11" s="206">
        <v>539147</v>
      </c>
      <c r="D11" s="206">
        <v>1018096</v>
      </c>
      <c r="E11" s="206">
        <v>715204</v>
      </c>
      <c r="F11" s="206">
        <v>1119693</v>
      </c>
      <c r="G11" s="206">
        <v>1414468</v>
      </c>
      <c r="H11" s="206">
        <v>1292036</v>
      </c>
      <c r="I11" s="206">
        <v>1578514</v>
      </c>
      <c r="J11" s="206">
        <v>1893232</v>
      </c>
      <c r="K11" s="206">
        <v>730801</v>
      </c>
      <c r="L11" s="206">
        <v>644391</v>
      </c>
      <c r="M11" s="206">
        <v>425665</v>
      </c>
      <c r="N11" s="206">
        <v>790263</v>
      </c>
      <c r="O11" s="206">
        <v>771907</v>
      </c>
      <c r="P11" s="206">
        <v>1108725</v>
      </c>
      <c r="Q11" s="206">
        <v>630953</v>
      </c>
      <c r="R11" s="198">
        <v>253308.44</v>
      </c>
      <c r="S11" s="206">
        <v>15355</v>
      </c>
      <c r="T11" s="207">
        <v>9197</v>
      </c>
      <c r="U11" s="206">
        <v>38815</v>
      </c>
      <c r="V11" s="178">
        <v>39245</v>
      </c>
      <c r="W11" s="178">
        <v>57635</v>
      </c>
      <c r="X11" s="178">
        <v>25000</v>
      </c>
      <c r="Y11" s="178">
        <f>(X51/2)*0.003</f>
        <v>43402.214475000001</v>
      </c>
      <c r="Z11" s="178">
        <f t="shared" ref="Z11:AC11" si="0">(Y51/2)*0.003</f>
        <v>41438.965573912508</v>
      </c>
      <c r="AA11" s="178">
        <f t="shared" si="0"/>
        <v>38443.534892414893</v>
      </c>
      <c r="AB11" s="178">
        <f t="shared" si="0"/>
        <v>33080.138283559441</v>
      </c>
      <c r="AC11" s="178">
        <f t="shared" si="0"/>
        <v>25515.472914952778</v>
      </c>
    </row>
    <row r="12" spans="1:29" s="206" customFormat="1">
      <c r="A12" s="206" t="s">
        <v>113</v>
      </c>
      <c r="B12" s="211">
        <f>63072570-59388333-1028340-B11</f>
        <v>1861989</v>
      </c>
      <c r="C12" s="211">
        <f>791685+1325642-C11</f>
        <v>1578180</v>
      </c>
      <c r="D12" s="211">
        <f>2558669-D11</f>
        <v>1540573</v>
      </c>
      <c r="E12" s="211">
        <f>1990202-E11</f>
        <v>1274998</v>
      </c>
      <c r="F12" s="211">
        <f>2374439-F11</f>
        <v>1254746</v>
      </c>
      <c r="G12" s="211">
        <v>1313373</v>
      </c>
      <c r="H12" s="211">
        <v>1695918</v>
      </c>
      <c r="I12" s="211">
        <v>1322209</v>
      </c>
      <c r="J12" s="211">
        <v>1174522</v>
      </c>
      <c r="K12" s="211">
        <v>1851922</v>
      </c>
      <c r="L12" s="211">
        <v>2072584</v>
      </c>
      <c r="M12" s="211">
        <v>1536749</v>
      </c>
      <c r="N12" s="211">
        <v>1512759</v>
      </c>
      <c r="O12" s="211">
        <v>2112390</v>
      </c>
      <c r="P12" s="211">
        <v>2428929</v>
      </c>
      <c r="Q12" s="211">
        <v>2572089</v>
      </c>
      <c r="R12" s="226">
        <f>511663.94+852526.13+1195982.73+237288.67+1007287.12</f>
        <v>3804748.59</v>
      </c>
      <c r="S12" s="211">
        <f>534891+1259889+874612+207432</f>
        <v>2876824</v>
      </c>
      <c r="T12" s="211">
        <f>622901+1277092+984200+209407</f>
        <v>3093600</v>
      </c>
      <c r="U12" s="211">
        <f>556632+1277669+1011737+216670</f>
        <v>3062708</v>
      </c>
      <c r="V12" s="287">
        <f>613586+1314550+1027950+276747</f>
        <v>3232833</v>
      </c>
      <c r="W12" s="287">
        <v>3155911</v>
      </c>
      <c r="X12" s="287">
        <v>3141624</v>
      </c>
      <c r="Y12" s="287">
        <f>X12</f>
        <v>3141624</v>
      </c>
      <c r="Z12" s="287">
        <f>Y12</f>
        <v>3141624</v>
      </c>
      <c r="AA12" s="287">
        <f>Z12</f>
        <v>3141624</v>
      </c>
      <c r="AB12" s="287">
        <f>AA12</f>
        <v>3141624</v>
      </c>
      <c r="AC12" s="287">
        <f>AB12</f>
        <v>3141624</v>
      </c>
    </row>
    <row r="13" spans="1:29" s="155" customFormat="1">
      <c r="B13" s="177"/>
      <c r="C13" s="177"/>
      <c r="D13" s="177"/>
      <c r="E13" s="177"/>
      <c r="F13" s="177"/>
      <c r="R13" s="206"/>
      <c r="S13" s="206"/>
      <c r="T13" s="206"/>
      <c r="U13" s="206"/>
      <c r="V13" s="178"/>
      <c r="W13" s="159"/>
      <c r="X13" s="159" t="s">
        <v>12</v>
      </c>
      <c r="Y13" s="159" t="s">
        <v>12</v>
      </c>
      <c r="Z13" s="159" t="s">
        <v>12</v>
      </c>
      <c r="AA13" s="178"/>
      <c r="AB13" s="178"/>
      <c r="AC13" s="178"/>
    </row>
    <row r="14" spans="1:29" s="192" customFormat="1" ht="13" thickBot="1">
      <c r="A14" s="192" t="s">
        <v>22</v>
      </c>
      <c r="B14" s="217">
        <f>SUM(B5:B13)</f>
        <v>70724568</v>
      </c>
      <c r="C14" s="217">
        <f>SUM(C5:C12)</f>
        <v>75357680</v>
      </c>
      <c r="D14" s="217">
        <f t="shared" ref="D14:M14" si="1">SUM(D5:D12)</f>
        <v>78410171</v>
      </c>
      <c r="E14" s="217">
        <f t="shared" si="1"/>
        <v>85709303</v>
      </c>
      <c r="F14" s="217">
        <f t="shared" si="1"/>
        <v>95494190</v>
      </c>
      <c r="G14" s="217">
        <f t="shared" si="1"/>
        <v>100476846</v>
      </c>
      <c r="H14" s="217">
        <f t="shared" si="1"/>
        <v>104982473</v>
      </c>
      <c r="I14" s="217">
        <f t="shared" si="1"/>
        <v>108182748</v>
      </c>
      <c r="J14" s="217">
        <f t="shared" si="1"/>
        <v>113771236</v>
      </c>
      <c r="K14" s="217">
        <f t="shared" si="1"/>
        <v>119092753</v>
      </c>
      <c r="L14" s="217">
        <f t="shared" si="1"/>
        <v>121945179</v>
      </c>
      <c r="M14" s="217">
        <f t="shared" si="1"/>
        <v>129133733</v>
      </c>
      <c r="N14" s="217">
        <f t="shared" ref="N14:S14" si="2">SUM(N5:N12)</f>
        <v>133436523</v>
      </c>
      <c r="O14" s="217">
        <f t="shared" si="2"/>
        <v>31723664</v>
      </c>
      <c r="P14" s="217">
        <f t="shared" si="2"/>
        <v>35951135</v>
      </c>
      <c r="Q14" s="217">
        <f>SUM(Q5:Q12)</f>
        <v>38247846</v>
      </c>
      <c r="R14" s="217">
        <f>SUM(R5:R12)</f>
        <v>45466643.629999995</v>
      </c>
      <c r="S14" s="217">
        <f t="shared" si="2"/>
        <v>43131618</v>
      </c>
      <c r="T14" s="217">
        <f t="shared" ref="T14:AC14" si="3">SUM(T5:T12)</f>
        <v>54340878</v>
      </c>
      <c r="U14" s="217">
        <f t="shared" si="3"/>
        <v>52972031</v>
      </c>
      <c r="V14" s="217">
        <f t="shared" si="3"/>
        <v>55751217</v>
      </c>
      <c r="W14" s="217">
        <f t="shared" si="3"/>
        <v>55424101</v>
      </c>
      <c r="X14" s="217">
        <f t="shared" si="3"/>
        <v>56674404</v>
      </c>
      <c r="Y14" s="217">
        <f t="shared" si="3"/>
        <v>56971892.529275</v>
      </c>
      <c r="Z14" s="217">
        <f t="shared" si="3"/>
        <v>56731821.675234921</v>
      </c>
      <c r="AA14" s="217">
        <f t="shared" si="3"/>
        <v>56484863.361650035</v>
      </c>
      <c r="AB14" s="217">
        <f t="shared" si="3"/>
        <v>56713873.239229843</v>
      </c>
      <c r="AC14" s="217">
        <f t="shared" si="3"/>
        <v>58495216.860082053</v>
      </c>
    </row>
    <row r="15" spans="1:29" s="155" customFormat="1">
      <c r="B15" s="177"/>
      <c r="C15" s="177"/>
      <c r="D15" s="177"/>
      <c r="E15" s="177"/>
      <c r="F15" s="177"/>
      <c r="R15" s="206"/>
      <c r="S15" s="206"/>
      <c r="T15" s="206"/>
      <c r="U15" s="206"/>
      <c r="V15" s="206"/>
      <c r="W15" s="208"/>
      <c r="X15" s="208" t="s">
        <v>12</v>
      </c>
      <c r="Y15" s="208" t="s">
        <v>12</v>
      </c>
      <c r="Z15" s="208" t="s">
        <v>12</v>
      </c>
    </row>
    <row r="16" spans="1:29" s="155" customFormat="1" ht="17" hidden="1" customHeight="1">
      <c r="B16" s="177"/>
      <c r="C16" s="177"/>
      <c r="D16" s="177"/>
      <c r="E16" s="177"/>
      <c r="F16" s="177"/>
      <c r="Q16" s="161"/>
      <c r="R16" s="206">
        <f>R10-895474</f>
        <v>1290190.5099999998</v>
      </c>
      <c r="S16" s="206">
        <f>S10-38299-119266</f>
        <v>1093403</v>
      </c>
      <c r="T16" s="206">
        <f>T10-1793</f>
        <v>1295407</v>
      </c>
      <c r="U16" s="206">
        <f>AVERAGE(R16:T16)</f>
        <v>1226333.5033333332</v>
      </c>
      <c r="V16" s="206"/>
      <c r="W16" s="208"/>
      <c r="X16" s="208"/>
      <c r="Y16" s="208"/>
      <c r="Z16" s="208"/>
    </row>
    <row r="17" spans="1:29" s="155" customFormat="1">
      <c r="A17" s="59" t="s">
        <v>102</v>
      </c>
      <c r="B17" s="177"/>
      <c r="C17" s="177"/>
      <c r="D17" s="177"/>
      <c r="E17" s="177"/>
      <c r="F17" s="177"/>
      <c r="R17" s="206"/>
      <c r="S17" s="206"/>
      <c r="T17" s="206"/>
      <c r="U17" s="206"/>
      <c r="V17" s="206"/>
      <c r="W17" s="208"/>
      <c r="X17" s="208"/>
      <c r="Y17" s="208"/>
      <c r="Z17" s="208"/>
    </row>
    <row r="18" spans="1:29" s="155" customFormat="1">
      <c r="B18" s="177"/>
      <c r="C18" s="177"/>
      <c r="D18" s="177"/>
      <c r="E18" s="177"/>
      <c r="F18" s="177"/>
      <c r="R18" s="206"/>
      <c r="S18" s="206"/>
      <c r="T18" s="212"/>
      <c r="U18" s="212"/>
      <c r="V18" s="260"/>
      <c r="W18" s="212"/>
      <c r="X18" s="212"/>
      <c r="Y18" s="212"/>
      <c r="Z18" s="212"/>
    </row>
    <row r="19" spans="1:29" s="192" customFormat="1">
      <c r="A19" s="192" t="s">
        <v>103</v>
      </c>
      <c r="B19" s="192">
        <v>57833183</v>
      </c>
      <c r="C19" s="192">
        <v>60093958</v>
      </c>
      <c r="D19" s="192">
        <v>63087602</v>
      </c>
      <c r="E19" s="192">
        <v>67383969</v>
      </c>
      <c r="F19" s="192">
        <v>70683922</v>
      </c>
      <c r="G19" s="192">
        <v>73511308</v>
      </c>
      <c r="H19" s="192">
        <v>76690436</v>
      </c>
      <c r="I19" s="192">
        <v>79642710</v>
      </c>
      <c r="J19" s="218">
        <v>83477979</v>
      </c>
      <c r="K19" s="192">
        <v>85662674</v>
      </c>
      <c r="L19" s="218">
        <v>86622823</v>
      </c>
      <c r="M19" s="192">
        <v>87543973</v>
      </c>
      <c r="N19" s="218">
        <v>89721445</v>
      </c>
      <c r="O19" s="218">
        <v>90698581</v>
      </c>
      <c r="P19" s="218">
        <v>26456313</v>
      </c>
      <c r="Q19" s="218">
        <f>28137193-Tort!Q17</f>
        <v>28137193</v>
      </c>
      <c r="R19" s="151">
        <v>30138002.469999999</v>
      </c>
      <c r="S19" s="218">
        <v>30151232</v>
      </c>
      <c r="T19" s="218">
        <v>30217369</v>
      </c>
      <c r="U19" s="218">
        <v>31653129</v>
      </c>
      <c r="V19" s="218">
        <v>32485959</v>
      </c>
      <c r="W19" s="218">
        <v>33560955</v>
      </c>
      <c r="X19" s="218">
        <v>35021800</v>
      </c>
      <c r="Y19" s="218">
        <f>SUM(X19*102%)-212477</f>
        <v>35509759</v>
      </c>
      <c r="Z19" s="218">
        <f>SUM(Y19*102%)-1108181</f>
        <v>35111773.18</v>
      </c>
      <c r="AA19" s="218">
        <f>SUM(Z19*102%)-85359</f>
        <v>35728649.643600002</v>
      </c>
      <c r="AB19" s="218">
        <f>SUM(AA19*102%)</f>
        <v>36443222.636472002</v>
      </c>
      <c r="AC19" s="218">
        <f>SUM(AB19*102%)</f>
        <v>37172087.089201443</v>
      </c>
    </row>
    <row r="20" spans="1:29" s="192" customFormat="1" ht="12" customHeight="1">
      <c r="A20" s="192" t="s">
        <v>152</v>
      </c>
      <c r="J20" s="218"/>
      <c r="L20" s="218"/>
      <c r="N20" s="218"/>
      <c r="O20" s="218"/>
      <c r="P20" s="218"/>
      <c r="Q20" s="218"/>
      <c r="R20" s="151"/>
      <c r="S20" s="218"/>
      <c r="T20" s="159">
        <v>0</v>
      </c>
      <c r="U20" s="159">
        <v>0</v>
      </c>
      <c r="V20" s="159">
        <v>0</v>
      </c>
      <c r="W20" s="159">
        <v>0</v>
      </c>
      <c r="X20" s="159">
        <v>0</v>
      </c>
      <c r="Y20" s="159">
        <v>150873</v>
      </c>
      <c r="Z20" s="159">
        <v>307780</v>
      </c>
      <c r="AA20" s="159">
        <v>470904</v>
      </c>
      <c r="AB20" s="159">
        <v>641685</v>
      </c>
      <c r="AC20" s="159">
        <v>819753</v>
      </c>
    </row>
    <row r="21" spans="1:29" s="155" customFormat="1">
      <c r="A21" s="155" t="s">
        <v>66</v>
      </c>
      <c r="B21" s="161">
        <v>7570721</v>
      </c>
      <c r="C21" s="161">
        <v>9605297</v>
      </c>
      <c r="D21" s="161">
        <v>10887286</v>
      </c>
      <c r="E21" s="161">
        <v>7392754</v>
      </c>
      <c r="F21" s="161">
        <v>8296119</v>
      </c>
      <c r="G21" s="161">
        <v>9187020</v>
      </c>
      <c r="H21" s="161">
        <v>12256289</v>
      </c>
      <c r="I21" s="161">
        <v>11834953</v>
      </c>
      <c r="J21" s="161">
        <v>14514225</v>
      </c>
      <c r="K21" s="161">
        <v>15446612</v>
      </c>
      <c r="L21" s="161">
        <v>18077233</v>
      </c>
      <c r="M21" s="161">
        <v>18247585</v>
      </c>
      <c r="N21" s="161">
        <v>21235871</v>
      </c>
      <c r="O21" s="161">
        <v>18027558</v>
      </c>
      <c r="P21" s="161">
        <v>2559741</v>
      </c>
      <c r="Q21" s="161">
        <f>3040057-Tort!Q18</f>
        <v>3040057</v>
      </c>
      <c r="R21" s="198">
        <v>3898048.01</v>
      </c>
      <c r="S21" s="206">
        <v>4076954</v>
      </c>
      <c r="T21" s="178">
        <f>10844701-6613685</f>
        <v>4231016</v>
      </c>
      <c r="U21" s="178">
        <v>4423266</v>
      </c>
      <c r="V21" s="178">
        <v>4338151</v>
      </c>
      <c r="W21" s="178">
        <v>4363181</v>
      </c>
      <c r="X21" s="178">
        <v>4882097</v>
      </c>
      <c r="Y21" s="178">
        <f>+X21*1.1</f>
        <v>5370306.7000000002</v>
      </c>
      <c r="Z21" s="178">
        <f>+Y21*1.1</f>
        <v>5907337.370000001</v>
      </c>
      <c r="AA21" s="178">
        <f>+Z21*1.1</f>
        <v>6498071.1070000017</v>
      </c>
      <c r="AB21" s="178">
        <f>+AA21*1.1</f>
        <v>7147878.2177000027</v>
      </c>
      <c r="AC21" s="178">
        <f>+AB21*1.1</f>
        <v>7862666.0394700039</v>
      </c>
    </row>
    <row r="22" spans="1:29" s="155" customFormat="1">
      <c r="A22" s="155" t="s">
        <v>18</v>
      </c>
      <c r="B22" s="161"/>
      <c r="C22" s="161"/>
      <c r="D22" s="161"/>
      <c r="E22" s="161">
        <v>4077551</v>
      </c>
      <c r="F22" s="161">
        <v>4737037</v>
      </c>
      <c r="G22" s="161">
        <v>5600878</v>
      </c>
      <c r="H22" s="161">
        <v>6830083</v>
      </c>
      <c r="I22" s="161">
        <v>7475062</v>
      </c>
      <c r="J22" s="161">
        <v>8398183</v>
      </c>
      <c r="K22" s="161">
        <v>9042537</v>
      </c>
      <c r="L22" s="161">
        <v>9640314</v>
      </c>
      <c r="M22" s="161">
        <v>10359732</v>
      </c>
      <c r="N22" s="161">
        <v>8933334</v>
      </c>
      <c r="O22" s="161">
        <v>5328832</v>
      </c>
      <c r="P22" s="161">
        <f t="shared" ref="P22:X22" si="4">+P9</f>
        <v>2169789</v>
      </c>
      <c r="Q22" s="161">
        <f t="shared" si="4"/>
        <v>3310777</v>
      </c>
      <c r="R22" s="198">
        <f>+R9</f>
        <v>6157944</v>
      </c>
      <c r="S22" s="206">
        <v>6117663</v>
      </c>
      <c r="T22" s="178">
        <f t="shared" si="4"/>
        <v>6613685</v>
      </c>
      <c r="U22" s="178">
        <f t="shared" si="4"/>
        <v>7824824</v>
      </c>
      <c r="V22" s="178">
        <f t="shared" si="4"/>
        <v>10075229</v>
      </c>
      <c r="W22" s="178">
        <f t="shared" si="4"/>
        <v>9738971</v>
      </c>
      <c r="X22" s="178">
        <f t="shared" si="4"/>
        <v>10984127</v>
      </c>
      <c r="Y22" s="178">
        <f>+Y9</f>
        <v>10984127</v>
      </c>
      <c r="Z22" s="178">
        <f>+Z9</f>
        <v>10984127</v>
      </c>
      <c r="AA22" s="178">
        <f>+AA9</f>
        <v>10984127</v>
      </c>
      <c r="AB22" s="178">
        <f>+AB9</f>
        <v>10984127</v>
      </c>
      <c r="AC22" s="178">
        <f>+AC9</f>
        <v>10984127</v>
      </c>
    </row>
    <row r="23" spans="1:29" s="155" customFormat="1">
      <c r="A23" s="155" t="s">
        <v>83</v>
      </c>
      <c r="B23" s="161">
        <v>1714392</v>
      </c>
      <c r="C23" s="161">
        <v>1764606</v>
      </c>
      <c r="D23" s="161">
        <v>2090468</v>
      </c>
      <c r="E23" s="161">
        <v>2242260</v>
      </c>
      <c r="F23" s="161">
        <v>1916469</v>
      </c>
      <c r="G23" s="161">
        <v>2193497</v>
      </c>
      <c r="H23" s="161">
        <v>2556355</v>
      </c>
      <c r="I23" s="161">
        <v>2196156</v>
      </c>
      <c r="J23" s="161">
        <v>2460182</v>
      </c>
      <c r="K23" s="161">
        <v>2319018</v>
      </c>
      <c r="L23" s="161">
        <v>2149796</v>
      </c>
      <c r="M23" s="161">
        <v>2099799</v>
      </c>
      <c r="N23" s="161">
        <v>2167945</v>
      </c>
      <c r="O23" s="161">
        <v>2177661</v>
      </c>
      <c r="P23" s="161">
        <v>1373549</v>
      </c>
      <c r="Q23" s="161">
        <f>1437309-Tort!Q19</f>
        <v>1437309</v>
      </c>
      <c r="R23" s="198">
        <v>1187259.78</v>
      </c>
      <c r="S23" s="206">
        <v>1014825</v>
      </c>
      <c r="T23" s="178">
        <v>936605</v>
      </c>
      <c r="U23" s="178">
        <v>1031648</v>
      </c>
      <c r="V23" s="178">
        <v>1073582</v>
      </c>
      <c r="W23" s="178">
        <v>1101769</v>
      </c>
      <c r="X23" s="178">
        <v>1201155</v>
      </c>
      <c r="Y23" s="178">
        <f>X23*1.03</f>
        <v>1237189.6500000001</v>
      </c>
      <c r="Z23" s="178">
        <f>Y23*1.03</f>
        <v>1274305.3395000002</v>
      </c>
      <c r="AA23" s="178">
        <f>Z23*1.03</f>
        <v>1312534.4996850002</v>
      </c>
      <c r="AB23" s="178">
        <f>AA23*1.03</f>
        <v>1351910.5346755502</v>
      </c>
      <c r="AC23" s="178">
        <f>AB23*1.03</f>
        <v>1392467.8507158167</v>
      </c>
    </row>
    <row r="24" spans="1:29" s="155" customFormat="1">
      <c r="A24" s="155" t="s">
        <v>84</v>
      </c>
      <c r="B24" s="161">
        <v>2379968</v>
      </c>
      <c r="C24" s="161">
        <v>2689797</v>
      </c>
      <c r="D24" s="161">
        <v>2891682</v>
      </c>
      <c r="E24" s="161">
        <v>2895560</v>
      </c>
      <c r="F24" s="161">
        <v>3964335</v>
      </c>
      <c r="G24" s="161">
        <v>3312299</v>
      </c>
      <c r="H24" s="161">
        <v>4228091</v>
      </c>
      <c r="I24" s="161">
        <v>4027509</v>
      </c>
      <c r="J24" s="161">
        <v>3950133</v>
      </c>
      <c r="K24" s="161">
        <v>3911646</v>
      </c>
      <c r="L24" s="161">
        <v>3267546</v>
      </c>
      <c r="M24" s="161">
        <f>3335665+74062</f>
        <v>3409727</v>
      </c>
      <c r="N24" s="161">
        <v>3657712</v>
      </c>
      <c r="O24" s="161">
        <v>5400992</v>
      </c>
      <c r="P24" s="161">
        <v>2073202</v>
      </c>
      <c r="Q24" s="161">
        <v>2225555</v>
      </c>
      <c r="R24" s="198">
        <v>2142842.39</v>
      </c>
      <c r="S24" s="206">
        <f>1793864</f>
        <v>1793864</v>
      </c>
      <c r="T24" s="178">
        <v>2250179</v>
      </c>
      <c r="U24" s="178">
        <v>2203602</v>
      </c>
      <c r="V24" s="178">
        <v>2392519</v>
      </c>
      <c r="W24" s="178">
        <v>2493857</v>
      </c>
      <c r="X24" s="178">
        <v>2567454</v>
      </c>
      <c r="Y24" s="178">
        <f t="shared" ref="Y24:AC24" si="5">X24*1.03</f>
        <v>2644477.62</v>
      </c>
      <c r="Z24" s="178">
        <f t="shared" si="5"/>
        <v>2723811.9486000002</v>
      </c>
      <c r="AA24" s="178">
        <f t="shared" si="5"/>
        <v>2805526.3070580005</v>
      </c>
      <c r="AB24" s="178">
        <f>AA24*1.03</f>
        <v>2889692.0962697407</v>
      </c>
      <c r="AC24" s="178">
        <f t="shared" si="5"/>
        <v>2976382.8591578328</v>
      </c>
    </row>
    <row r="25" spans="1:29" s="155" customFormat="1">
      <c r="A25" s="155" t="s">
        <v>85</v>
      </c>
      <c r="B25" s="161">
        <v>1102781</v>
      </c>
      <c r="C25" s="161">
        <v>876249</v>
      </c>
      <c r="D25" s="161">
        <v>1687823</v>
      </c>
      <c r="E25" s="161">
        <v>824170</v>
      </c>
      <c r="F25" s="161">
        <v>3164130</v>
      </c>
      <c r="G25" s="161">
        <v>2424075</v>
      </c>
      <c r="H25" s="161">
        <v>2836876</v>
      </c>
      <c r="I25" s="161">
        <v>2408329</v>
      </c>
      <c r="J25" s="161">
        <v>2761758</v>
      </c>
      <c r="K25" s="161">
        <v>2128369</v>
      </c>
      <c r="L25" s="161">
        <v>3529950</v>
      </c>
      <c r="M25" s="161">
        <v>3719507</v>
      </c>
      <c r="N25" s="161">
        <v>3246972</v>
      </c>
      <c r="O25" s="161">
        <v>2526233</v>
      </c>
      <c r="P25" s="161">
        <v>429348</v>
      </c>
      <c r="Q25" s="161">
        <v>466967</v>
      </c>
      <c r="R25" s="198">
        <f>1255685.11+39744.87</f>
        <v>1295429.9800000002</v>
      </c>
      <c r="S25" s="206">
        <f>886383</f>
        <v>886383</v>
      </c>
      <c r="T25" s="178">
        <v>640374</v>
      </c>
      <c r="U25" s="178">
        <f>653063</f>
        <v>653063</v>
      </c>
      <c r="V25" s="178">
        <f>1021355+24669</f>
        <v>1046024</v>
      </c>
      <c r="W25" s="178">
        <v>1472535</v>
      </c>
      <c r="X25" s="178">
        <v>1440687</v>
      </c>
      <c r="Y25" s="178">
        <v>1000000</v>
      </c>
      <c r="Z25" s="178">
        <v>1000000</v>
      </c>
      <c r="AA25" s="178">
        <v>1000000</v>
      </c>
      <c r="AB25" s="178">
        <v>1000000</v>
      </c>
      <c r="AC25" s="178">
        <v>1000000</v>
      </c>
    </row>
    <row r="26" spans="1:29" s="155" customFormat="1">
      <c r="A26" s="155" t="s">
        <v>158</v>
      </c>
      <c r="B26" s="202">
        <v>1452348</v>
      </c>
      <c r="C26" s="202">
        <v>1433592</v>
      </c>
      <c r="D26" s="202">
        <v>1217995</v>
      </c>
      <c r="E26" s="202">
        <v>1290573</v>
      </c>
      <c r="F26" s="202">
        <v>807355</v>
      </c>
      <c r="G26" s="202">
        <v>587884</v>
      </c>
      <c r="H26" s="202">
        <v>444720</v>
      </c>
      <c r="I26" s="202">
        <v>394409</v>
      </c>
      <c r="J26" s="202">
        <v>512708</v>
      </c>
      <c r="K26" s="202">
        <v>578341</v>
      </c>
      <c r="L26" s="202">
        <v>489086</v>
      </c>
      <c r="M26" s="202">
        <v>711431</v>
      </c>
      <c r="N26" s="202">
        <v>700413</v>
      </c>
      <c r="O26" s="202">
        <v>392413</v>
      </c>
      <c r="P26" s="202">
        <v>749681</v>
      </c>
      <c r="Q26" s="202">
        <v>745276</v>
      </c>
      <c r="R26" s="227">
        <v>941174.35</v>
      </c>
      <c r="S26" s="210">
        <v>1057260</v>
      </c>
      <c r="T26" s="265">
        <v>1229083</v>
      </c>
      <c r="U26" s="265">
        <v>1396818</v>
      </c>
      <c r="V26" s="265">
        <v>1148802</v>
      </c>
      <c r="W26" s="265">
        <v>1002836</v>
      </c>
      <c r="X26" s="265">
        <v>1153672</v>
      </c>
      <c r="Y26" s="265">
        <f>+X26*1.03</f>
        <v>1188282.1599999999</v>
      </c>
      <c r="Z26" s="265">
        <f>+Y26*1.03</f>
        <v>1223930.6247999999</v>
      </c>
      <c r="AA26" s="265">
        <f>+Z26*1.03</f>
        <v>1260648.543544</v>
      </c>
      <c r="AB26" s="265">
        <f>+AA26*1.03</f>
        <v>1298467.9998503202</v>
      </c>
      <c r="AC26" s="265">
        <f>+AB26*1.03</f>
        <v>1337422.0398458298</v>
      </c>
    </row>
    <row r="27" spans="1:29" ht="13" thickBot="1">
      <c r="A27" s="18"/>
      <c r="B27" s="7"/>
      <c r="C27" s="7"/>
      <c r="D27" s="7"/>
      <c r="E27" s="7"/>
      <c r="F27" s="7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3"/>
      <c r="S27" s="253" t="s">
        <v>12</v>
      </c>
      <c r="T27" s="213"/>
      <c r="U27" s="213"/>
      <c r="V27" s="213"/>
      <c r="W27" s="213"/>
      <c r="X27" s="213"/>
      <c r="Y27" s="213"/>
      <c r="Z27" s="213"/>
      <c r="AA27" s="213"/>
      <c r="AB27" s="213"/>
      <c r="AC27" s="213"/>
    </row>
    <row r="28" spans="1:29">
      <c r="B28" s="10"/>
      <c r="C28" s="10"/>
      <c r="D28" s="10"/>
      <c r="E28" s="10"/>
      <c r="F28" s="10"/>
      <c r="R28" s="179"/>
      <c r="S28" s="206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</row>
    <row r="29" spans="1:29" s="125" customFormat="1" ht="13" thickBot="1">
      <c r="A29" s="125" t="s">
        <v>22</v>
      </c>
      <c r="B29" s="127">
        <f>SUM(B19:B27)</f>
        <v>72053393</v>
      </c>
      <c r="C29" s="127">
        <f>SUM(C19:C27)</f>
        <v>76463499</v>
      </c>
      <c r="D29" s="127">
        <f t="shared" ref="D29:M29" si="6">SUM(D19:D27)</f>
        <v>81862856</v>
      </c>
      <c r="E29" s="127">
        <f t="shared" si="6"/>
        <v>86106837</v>
      </c>
      <c r="F29" s="127">
        <f t="shared" si="6"/>
        <v>93569367</v>
      </c>
      <c r="G29" s="127">
        <f t="shared" si="6"/>
        <v>96816961</v>
      </c>
      <c r="H29" s="127">
        <f t="shared" si="6"/>
        <v>105842850</v>
      </c>
      <c r="I29" s="127">
        <f t="shared" si="6"/>
        <v>107979128</v>
      </c>
      <c r="J29" s="127">
        <f t="shared" si="6"/>
        <v>116075168</v>
      </c>
      <c r="K29" s="127">
        <f t="shared" si="6"/>
        <v>119089197</v>
      </c>
      <c r="L29" s="127">
        <f t="shared" si="6"/>
        <v>123776748</v>
      </c>
      <c r="M29" s="127">
        <f t="shared" si="6"/>
        <v>126091754</v>
      </c>
      <c r="N29" s="127">
        <f>SUM(N19:N27)</f>
        <v>129663692</v>
      </c>
      <c r="O29" s="127">
        <f>SUM(O19:O27)</f>
        <v>124552270</v>
      </c>
      <c r="P29" s="127">
        <f>SUM(P19:P27)</f>
        <v>35811623</v>
      </c>
      <c r="Q29" s="127">
        <f>SUM(Q19:Q27)</f>
        <v>39363134</v>
      </c>
      <c r="R29" s="127">
        <f>SUM(R19:R27)</f>
        <v>45760700.979999997</v>
      </c>
      <c r="S29" s="254">
        <f t="shared" ref="S29:X29" si="7">SUM(S19:S27)</f>
        <v>45098181</v>
      </c>
      <c r="T29" s="127">
        <f t="shared" si="7"/>
        <v>46118311</v>
      </c>
      <c r="U29" s="127">
        <f t="shared" si="7"/>
        <v>49186350</v>
      </c>
      <c r="V29" s="127">
        <f t="shared" si="7"/>
        <v>52560266</v>
      </c>
      <c r="W29" s="127">
        <f t="shared" si="7"/>
        <v>53734104</v>
      </c>
      <c r="X29" s="127">
        <f t="shared" si="7"/>
        <v>57250992</v>
      </c>
      <c r="Y29" s="127">
        <f>SUM(Y19:Y27)</f>
        <v>58085015.129999995</v>
      </c>
      <c r="Z29" s="127">
        <f>SUM(Z19:Z27)</f>
        <v>58533065.462899998</v>
      </c>
      <c r="AA29" s="127">
        <f>SUM(AA19:AA27)</f>
        <v>60060461.100887001</v>
      </c>
      <c r="AB29" s="127">
        <f>SUM(AB19:AB27)</f>
        <v>61756983.484967619</v>
      </c>
      <c r="AC29" s="127">
        <f>SUM(AC19:AC27)</f>
        <v>63544905.878390923</v>
      </c>
    </row>
    <row r="30" spans="1:29" s="125" customFormat="1">
      <c r="S30" s="177"/>
      <c r="W30" s="219" t="s">
        <v>12</v>
      </c>
      <c r="X30" s="219" t="s">
        <v>12</v>
      </c>
      <c r="Y30" s="219" t="s">
        <v>12</v>
      </c>
      <c r="Z30" s="219" t="s">
        <v>12</v>
      </c>
    </row>
    <row r="31" spans="1:29" s="125" customFormat="1">
      <c r="S31" s="177" t="s">
        <v>12</v>
      </c>
      <c r="T31" s="52"/>
      <c r="U31" s="52"/>
      <c r="V31" s="52"/>
      <c r="W31" s="52"/>
      <c r="X31" s="52"/>
      <c r="Y31" s="52"/>
      <c r="Z31" s="52"/>
    </row>
    <row r="32" spans="1:29" s="125" customFormat="1" ht="27" thickBot="1">
      <c r="A32" s="60" t="s">
        <v>46</v>
      </c>
      <c r="B32" s="128">
        <f>+B14-B29</f>
        <v>-1328825</v>
      </c>
      <c r="C32" s="128">
        <f>+C14-C29</f>
        <v>-1105819</v>
      </c>
      <c r="D32" s="128">
        <f t="shared" ref="D32:M32" si="8">+D14-D29</f>
        <v>-3452685</v>
      </c>
      <c r="E32" s="128">
        <f t="shared" si="8"/>
        <v>-397534</v>
      </c>
      <c r="F32" s="128">
        <f t="shared" si="8"/>
        <v>1924823</v>
      </c>
      <c r="G32" s="128">
        <f t="shared" si="8"/>
        <v>3659885</v>
      </c>
      <c r="H32" s="127">
        <f t="shared" si="8"/>
        <v>-860377</v>
      </c>
      <c r="I32" s="127">
        <f t="shared" si="8"/>
        <v>203620</v>
      </c>
      <c r="J32" s="127">
        <f t="shared" si="8"/>
        <v>-2303932</v>
      </c>
      <c r="K32" s="127">
        <f t="shared" si="8"/>
        <v>3556</v>
      </c>
      <c r="L32" s="127">
        <f t="shared" si="8"/>
        <v>-1831569</v>
      </c>
      <c r="M32" s="127">
        <f t="shared" si="8"/>
        <v>3041979</v>
      </c>
      <c r="N32" s="127">
        <f t="shared" ref="N32:S32" si="9">+N14-N29</f>
        <v>3772831</v>
      </c>
      <c r="O32" s="127">
        <f t="shared" si="9"/>
        <v>-92828606</v>
      </c>
      <c r="P32" s="127">
        <f t="shared" si="9"/>
        <v>139512</v>
      </c>
      <c r="Q32" s="127">
        <f t="shared" si="9"/>
        <v>-1115288</v>
      </c>
      <c r="R32" s="127">
        <f t="shared" si="9"/>
        <v>-294057.35000000149</v>
      </c>
      <c r="S32" s="254">
        <f t="shared" si="9"/>
        <v>-1966563</v>
      </c>
      <c r="T32" s="127">
        <f t="shared" ref="T32:AC32" si="10">+T14-T29</f>
        <v>8222567</v>
      </c>
      <c r="U32" s="127">
        <f t="shared" si="10"/>
        <v>3785681</v>
      </c>
      <c r="V32" s="127">
        <f t="shared" si="10"/>
        <v>3190951</v>
      </c>
      <c r="W32" s="127">
        <f t="shared" si="10"/>
        <v>1689997</v>
      </c>
      <c r="X32" s="127">
        <f t="shared" si="10"/>
        <v>-576588</v>
      </c>
      <c r="Y32" s="127">
        <f t="shared" si="10"/>
        <v>-1113122.6007249951</v>
      </c>
      <c r="Z32" s="127">
        <f t="shared" si="10"/>
        <v>-1801243.7876650766</v>
      </c>
      <c r="AA32" s="127">
        <f t="shared" si="10"/>
        <v>-3575597.7392369658</v>
      </c>
      <c r="AB32" s="127">
        <f t="shared" si="10"/>
        <v>-5043110.2457377762</v>
      </c>
      <c r="AC32" s="127">
        <f t="shared" si="10"/>
        <v>-5049689.0183088705</v>
      </c>
    </row>
    <row r="33" spans="1:29" s="125" customFormat="1">
      <c r="A33" s="13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60"/>
      <c r="T33" s="128"/>
      <c r="U33" s="128"/>
      <c r="V33" s="160" t="s">
        <v>12</v>
      </c>
      <c r="W33" s="111"/>
      <c r="X33" s="111"/>
      <c r="Y33" s="111"/>
      <c r="Z33" s="111"/>
    </row>
    <row r="34" spans="1:29" s="125" customFormat="1">
      <c r="A34" s="220" t="s">
        <v>0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60"/>
      <c r="T34" s="128"/>
      <c r="U34" s="128"/>
      <c r="V34" s="128"/>
      <c r="W34" s="111"/>
      <c r="X34" s="111"/>
      <c r="Y34" s="111"/>
      <c r="Z34" s="111"/>
    </row>
    <row r="35" spans="1:29" s="125" customFormat="1">
      <c r="A35" s="220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60"/>
      <c r="T35" s="128"/>
      <c r="U35" s="128"/>
      <c r="V35" s="128"/>
      <c r="W35" s="111"/>
      <c r="X35" s="111"/>
      <c r="Y35" s="111"/>
      <c r="Z35" s="111"/>
    </row>
    <row r="36" spans="1:29" s="177" customFormat="1">
      <c r="A36" s="203" t="s">
        <v>34</v>
      </c>
      <c r="B36" s="160"/>
      <c r="C36" s="160"/>
      <c r="D36" s="160"/>
      <c r="E36" s="160"/>
      <c r="F36" s="160"/>
      <c r="G36" s="160"/>
      <c r="H36" s="160"/>
      <c r="I36" s="225">
        <v>0</v>
      </c>
      <c r="J36" s="225">
        <v>950000</v>
      </c>
      <c r="K36" s="225">
        <v>0</v>
      </c>
      <c r="L36" s="225"/>
      <c r="M36" s="225">
        <v>0</v>
      </c>
      <c r="N36" s="225">
        <v>0</v>
      </c>
      <c r="O36" s="225">
        <v>0</v>
      </c>
      <c r="P36" s="225">
        <v>0</v>
      </c>
      <c r="Q36" s="225">
        <v>0</v>
      </c>
      <c r="R36" s="225">
        <v>0</v>
      </c>
      <c r="S36" s="225">
        <v>0</v>
      </c>
      <c r="T36" s="225">
        <v>0</v>
      </c>
      <c r="U36" s="225">
        <v>0</v>
      </c>
      <c r="V36" s="225">
        <v>0</v>
      </c>
      <c r="W36" s="225">
        <v>0</v>
      </c>
      <c r="X36" s="225">
        <v>0</v>
      </c>
      <c r="Y36" s="225">
        <v>0</v>
      </c>
      <c r="Z36" s="225">
        <v>0</v>
      </c>
      <c r="AA36" s="225">
        <v>0</v>
      </c>
      <c r="AB36" s="225">
        <v>0</v>
      </c>
      <c r="AC36" s="225">
        <v>0</v>
      </c>
    </row>
    <row r="37" spans="1:29" s="125" customFormat="1">
      <c r="A37" s="13" t="s">
        <v>10</v>
      </c>
      <c r="B37" s="128"/>
      <c r="C37" s="128"/>
      <c r="D37" s="128"/>
      <c r="E37" s="128"/>
      <c r="F37" s="128"/>
      <c r="G37" s="128"/>
      <c r="H37" s="128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225"/>
      <c r="T37" s="112"/>
      <c r="U37" s="112"/>
      <c r="V37" s="112"/>
      <c r="W37" s="111"/>
      <c r="X37" s="111"/>
      <c r="Y37" s="111"/>
      <c r="Z37" s="111"/>
      <c r="AA37" s="111"/>
      <c r="AB37" s="111"/>
      <c r="AC37" s="111"/>
    </row>
    <row r="38" spans="1:29" s="125" customFormat="1">
      <c r="A38" s="177" t="s">
        <v>174</v>
      </c>
      <c r="B38" s="128"/>
      <c r="C38" s="128"/>
      <c r="D38" s="128"/>
      <c r="E38" s="128"/>
      <c r="F38" s="128"/>
      <c r="G38" s="128"/>
      <c r="H38" s="128"/>
      <c r="I38" s="128"/>
      <c r="J38" s="128">
        <v>0</v>
      </c>
      <c r="K38" s="128">
        <v>0</v>
      </c>
      <c r="L38" s="128"/>
      <c r="M38" s="128">
        <v>0</v>
      </c>
      <c r="N38" s="128">
        <v>0</v>
      </c>
      <c r="O38" s="128">
        <v>0</v>
      </c>
      <c r="P38" s="128">
        <v>750000</v>
      </c>
      <c r="Q38" s="128">
        <v>0</v>
      </c>
      <c r="R38" s="128">
        <v>550000</v>
      </c>
      <c r="S38" s="160">
        <v>600000</v>
      </c>
      <c r="T38" s="128">
        <v>0</v>
      </c>
      <c r="U38" s="128">
        <v>0</v>
      </c>
      <c r="V38" s="128">
        <v>0</v>
      </c>
      <c r="W38" s="111">
        <v>0</v>
      </c>
      <c r="X38" s="111">
        <v>-195710</v>
      </c>
      <c r="Y38" s="111">
        <v>-195710</v>
      </c>
      <c r="Z38" s="111">
        <v>-195710</v>
      </c>
      <c r="AA38" s="111">
        <v>0</v>
      </c>
      <c r="AB38" s="111">
        <v>0</v>
      </c>
      <c r="AC38" s="111">
        <v>0</v>
      </c>
    </row>
    <row r="39" spans="1:29" s="125" customFormat="1">
      <c r="A39" s="75" t="s">
        <v>30</v>
      </c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>
        <v>500</v>
      </c>
      <c r="Q39" s="128">
        <v>4816</v>
      </c>
      <c r="R39" s="128">
        <v>0</v>
      </c>
      <c r="S39" s="160"/>
      <c r="T39" s="128"/>
      <c r="U39" s="128"/>
      <c r="V39" s="128"/>
      <c r="W39" s="111"/>
      <c r="X39" s="111"/>
      <c r="Y39" s="111"/>
      <c r="Z39" s="111"/>
      <c r="AA39" s="111"/>
      <c r="AB39" s="111"/>
      <c r="AC39" s="111"/>
    </row>
    <row r="40" spans="1:29" s="125" customFormat="1">
      <c r="A40" s="75" t="s">
        <v>87</v>
      </c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>
        <v>130438</v>
      </c>
      <c r="Q40" s="128"/>
      <c r="R40" s="128"/>
      <c r="S40" s="160"/>
      <c r="T40" s="128"/>
      <c r="U40" s="128"/>
      <c r="V40" s="128"/>
      <c r="W40" s="111"/>
      <c r="X40" s="111">
        <v>577373</v>
      </c>
      <c r="Y40" s="111"/>
      <c r="Z40" s="111"/>
      <c r="AA40" s="111"/>
      <c r="AB40" s="111"/>
      <c r="AC40" s="111"/>
    </row>
    <row r="41" spans="1:29" s="125" customFormat="1">
      <c r="A41" s="136" t="s">
        <v>96</v>
      </c>
      <c r="B41" s="128"/>
      <c r="C41" s="128"/>
      <c r="D41" s="128"/>
      <c r="E41" s="128"/>
      <c r="F41" s="128"/>
      <c r="G41" s="128"/>
      <c r="H41" s="221">
        <f>SUM(H36:H38)</f>
        <v>0</v>
      </c>
      <c r="I41" s="221">
        <f t="shared" ref="I41:N41" si="11">SUM(I36:I38)</f>
        <v>0</v>
      </c>
      <c r="J41" s="221">
        <f t="shared" si="11"/>
        <v>950000</v>
      </c>
      <c r="K41" s="221">
        <f t="shared" si="11"/>
        <v>0</v>
      </c>
      <c r="L41" s="221">
        <f t="shared" si="11"/>
        <v>0</v>
      </c>
      <c r="M41" s="221">
        <f t="shared" si="11"/>
        <v>0</v>
      </c>
      <c r="N41" s="221">
        <f t="shared" si="11"/>
        <v>0</v>
      </c>
      <c r="O41" s="221">
        <f>SUM(O38:O40)</f>
        <v>0</v>
      </c>
      <c r="P41" s="221">
        <f>SUM(P38:P40)</f>
        <v>880938</v>
      </c>
      <c r="Q41" s="221">
        <f>SUM(Q38:Q40)</f>
        <v>4816</v>
      </c>
      <c r="R41" s="221">
        <f t="shared" ref="R41:W41" si="12">SUM(R36:R38)</f>
        <v>550000</v>
      </c>
      <c r="S41" s="255">
        <f t="shared" si="12"/>
        <v>600000</v>
      </c>
      <c r="T41" s="221">
        <f t="shared" si="12"/>
        <v>0</v>
      </c>
      <c r="U41" s="221">
        <f t="shared" si="12"/>
        <v>0</v>
      </c>
      <c r="V41" s="221">
        <f t="shared" si="12"/>
        <v>0</v>
      </c>
      <c r="W41" s="221">
        <f t="shared" si="12"/>
        <v>0</v>
      </c>
      <c r="X41" s="221">
        <f>SUM(X36:X40)</f>
        <v>381663</v>
      </c>
      <c r="Y41" s="221">
        <f>SUM(Y36:Y38)</f>
        <v>-195710</v>
      </c>
      <c r="Z41" s="221">
        <f>SUM(Z36:Z38)</f>
        <v>-195710</v>
      </c>
      <c r="AA41" s="221">
        <f>SUM(AA36:AA38)</f>
        <v>0</v>
      </c>
      <c r="AB41" s="221">
        <f>SUM(AB36:AB38)</f>
        <v>0</v>
      </c>
      <c r="AC41" s="221">
        <f>SUM(AC36:AC38)</f>
        <v>0</v>
      </c>
    </row>
    <row r="42" spans="1:29" s="125" customFormat="1">
      <c r="A42" s="13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60"/>
      <c r="T42" s="128"/>
      <c r="U42" s="128"/>
      <c r="V42" s="128"/>
      <c r="W42" s="111"/>
      <c r="X42" s="111"/>
      <c r="Y42" s="111"/>
      <c r="Z42" s="111"/>
      <c r="AA42" s="111"/>
      <c r="AB42" s="111"/>
    </row>
    <row r="43" spans="1:29" s="125" customFormat="1">
      <c r="A43" s="13" t="s">
        <v>89</v>
      </c>
      <c r="B43" s="128"/>
      <c r="C43" s="128"/>
      <c r="D43" s="128"/>
      <c r="E43" s="128"/>
      <c r="F43" s="128"/>
      <c r="G43" s="128"/>
      <c r="H43" s="128">
        <f t="shared" ref="H43:X43" si="13">+H32+H41</f>
        <v>-860377</v>
      </c>
      <c r="I43" s="128">
        <f t="shared" si="13"/>
        <v>203620</v>
      </c>
      <c r="J43" s="128">
        <f t="shared" si="13"/>
        <v>-1353932</v>
      </c>
      <c r="K43" s="128">
        <f t="shared" si="13"/>
        <v>3556</v>
      </c>
      <c r="L43" s="128">
        <f t="shared" si="13"/>
        <v>-1831569</v>
      </c>
      <c r="M43" s="128">
        <f t="shared" si="13"/>
        <v>3041979</v>
      </c>
      <c r="N43" s="128">
        <f t="shared" si="13"/>
        <v>3772831</v>
      </c>
      <c r="O43" s="128">
        <f t="shared" si="13"/>
        <v>-92828606</v>
      </c>
      <c r="P43" s="128">
        <f t="shared" si="13"/>
        <v>1020450</v>
      </c>
      <c r="Q43" s="128">
        <f>+Q32+Q41</f>
        <v>-1110472</v>
      </c>
      <c r="R43" s="128">
        <f>+R32+R41</f>
        <v>255942.64999999851</v>
      </c>
      <c r="S43" s="160">
        <f>+S32+S41-1</f>
        <v>-1366564</v>
      </c>
      <c r="T43" s="128">
        <f t="shared" si="13"/>
        <v>8222567</v>
      </c>
      <c r="U43" s="128">
        <f t="shared" si="13"/>
        <v>3785681</v>
      </c>
      <c r="V43" s="128">
        <f t="shared" si="13"/>
        <v>3190951</v>
      </c>
      <c r="W43" s="128">
        <f t="shared" si="13"/>
        <v>1689997</v>
      </c>
      <c r="X43" s="128">
        <f t="shared" si="13"/>
        <v>-194925</v>
      </c>
      <c r="Y43" s="128">
        <f>+Y32+Y41</f>
        <v>-1308832.6007249951</v>
      </c>
      <c r="Z43" s="128">
        <f>+Z32+Z41</f>
        <v>-1996953.7876650766</v>
      </c>
      <c r="AA43" s="128">
        <f>+AA32+AA41</f>
        <v>-3575597.7392369658</v>
      </c>
      <c r="AB43" s="128">
        <f>+AB32+AB41</f>
        <v>-5043110.2457377762</v>
      </c>
      <c r="AC43" s="128">
        <f>+AC32+AC41</f>
        <v>-5049689.0183088705</v>
      </c>
    </row>
    <row r="44" spans="1:29" s="125" customFormat="1">
      <c r="A44" s="13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60"/>
      <c r="T44" s="128"/>
      <c r="U44" s="128"/>
      <c r="V44" s="128"/>
      <c r="W44" s="219" t="s">
        <v>12</v>
      </c>
      <c r="X44" s="111"/>
      <c r="Y44" s="111"/>
      <c r="Z44" s="111"/>
    </row>
    <row r="45" spans="1:29" s="125" customFormat="1" ht="15" customHeight="1">
      <c r="A45" s="222" t="s">
        <v>47</v>
      </c>
      <c r="S45" s="177"/>
      <c r="T45" s="223"/>
      <c r="W45" s="111"/>
      <c r="X45" s="111"/>
      <c r="Y45" s="111"/>
      <c r="Z45" s="111"/>
    </row>
    <row r="46" spans="1:29" s="125" customFormat="1" ht="15">
      <c r="G46" s="224"/>
      <c r="S46" s="177"/>
      <c r="W46" s="111"/>
      <c r="X46" s="111"/>
      <c r="Y46" s="111"/>
      <c r="Z46" s="111"/>
    </row>
    <row r="47" spans="1:29" s="125" customFormat="1">
      <c r="A47" s="125" t="s">
        <v>48</v>
      </c>
      <c r="B47" s="125">
        <v>17227597</v>
      </c>
      <c r="C47" s="125">
        <v>15898772</v>
      </c>
      <c r="D47" s="125">
        <f t="shared" ref="D47:V47" si="14">+C51</f>
        <v>14792953</v>
      </c>
      <c r="E47" s="125">
        <f t="shared" si="14"/>
        <v>11340268</v>
      </c>
      <c r="F47" s="125">
        <f t="shared" si="14"/>
        <v>10942734</v>
      </c>
      <c r="G47" s="125">
        <f>+F51</f>
        <v>12867557</v>
      </c>
      <c r="H47" s="125">
        <v>16527442</v>
      </c>
      <c r="I47" s="125">
        <f t="shared" si="14"/>
        <v>11459024</v>
      </c>
      <c r="J47" s="125">
        <f t="shared" si="14"/>
        <v>11662644</v>
      </c>
      <c r="K47" s="125">
        <f t="shared" si="14"/>
        <v>10308712</v>
      </c>
      <c r="L47" s="125">
        <f t="shared" si="14"/>
        <v>10312268</v>
      </c>
      <c r="M47" s="125">
        <f t="shared" si="14"/>
        <v>8480699</v>
      </c>
      <c r="N47" s="125">
        <f t="shared" si="14"/>
        <v>11522678</v>
      </c>
      <c r="O47" s="125">
        <f t="shared" si="14"/>
        <v>15295509</v>
      </c>
      <c r="P47" s="125">
        <v>17148926</v>
      </c>
      <c r="Q47" s="125">
        <f t="shared" si="14"/>
        <v>18169376</v>
      </c>
      <c r="R47" s="125">
        <v>13901161</v>
      </c>
      <c r="S47" s="177">
        <f t="shared" si="14"/>
        <v>13607103.649999999</v>
      </c>
      <c r="T47" s="125">
        <f t="shared" si="14"/>
        <v>12240539.649999999</v>
      </c>
      <c r="U47" s="125">
        <f>+T51-1</f>
        <v>20463105.649999999</v>
      </c>
      <c r="V47" s="125">
        <f t="shared" si="14"/>
        <v>24248786.649999999</v>
      </c>
      <c r="W47" s="125">
        <f t="shared" ref="W47:AC47" si="15">+V51</f>
        <v>27439737.649999999</v>
      </c>
      <c r="X47" s="125">
        <f t="shared" si="15"/>
        <v>29129734.649999999</v>
      </c>
      <c r="Y47" s="125">
        <f t="shared" si="15"/>
        <v>28934809.649999999</v>
      </c>
      <c r="Z47" s="125">
        <f t="shared" si="15"/>
        <v>27625977.049275003</v>
      </c>
      <c r="AA47" s="125">
        <f t="shared" si="15"/>
        <v>25629023.261609927</v>
      </c>
      <c r="AB47" s="125">
        <f t="shared" si="15"/>
        <v>22053425.522372961</v>
      </c>
      <c r="AC47" s="125">
        <f t="shared" si="15"/>
        <v>17010315.276635185</v>
      </c>
    </row>
    <row r="48" spans="1:29" s="125" customFormat="1">
      <c r="S48" s="177"/>
    </row>
    <row r="49" spans="1:29" s="125" customFormat="1" hidden="1">
      <c r="A49" s="125" t="s">
        <v>109</v>
      </c>
      <c r="H49" s="125">
        <v>-4208041</v>
      </c>
      <c r="S49" s="177"/>
    </row>
    <row r="50" spans="1:29" s="125" customFormat="1" hidden="1">
      <c r="S50" s="177"/>
    </row>
    <row r="51" spans="1:29" s="125" customFormat="1" ht="13" thickBot="1">
      <c r="A51" s="125" t="s">
        <v>41</v>
      </c>
      <c r="B51" s="129">
        <f t="shared" ref="B51:G51" si="16">+B47+B32</f>
        <v>15898772</v>
      </c>
      <c r="C51" s="129">
        <f t="shared" si="16"/>
        <v>14792953</v>
      </c>
      <c r="D51" s="129">
        <f t="shared" si="16"/>
        <v>11340268</v>
      </c>
      <c r="E51" s="129">
        <f t="shared" si="16"/>
        <v>10942734</v>
      </c>
      <c r="F51" s="129">
        <f t="shared" si="16"/>
        <v>12867557</v>
      </c>
      <c r="G51" s="129">
        <f t="shared" si="16"/>
        <v>16527442</v>
      </c>
      <c r="H51" s="129">
        <f>+H47+H43+H49</f>
        <v>11459024</v>
      </c>
      <c r="I51" s="129">
        <f t="shared" ref="I51:Q51" si="17">+I47+I43</f>
        <v>11662644</v>
      </c>
      <c r="J51" s="129">
        <f t="shared" si="17"/>
        <v>10308712</v>
      </c>
      <c r="K51" s="129">
        <f t="shared" si="17"/>
        <v>10312268</v>
      </c>
      <c r="L51" s="129">
        <f t="shared" si="17"/>
        <v>8480699</v>
      </c>
      <c r="M51" s="129">
        <f t="shared" si="17"/>
        <v>11522678</v>
      </c>
      <c r="N51" s="129">
        <f t="shared" si="17"/>
        <v>15295509</v>
      </c>
      <c r="O51" s="129">
        <f t="shared" si="17"/>
        <v>-77533097</v>
      </c>
      <c r="P51" s="129">
        <f t="shared" si="17"/>
        <v>18169376</v>
      </c>
      <c r="Q51" s="129">
        <f t="shared" si="17"/>
        <v>17058904</v>
      </c>
      <c r="R51" s="129">
        <f>+R47+R43-R38</f>
        <v>13607103.649999999</v>
      </c>
      <c r="S51" s="256">
        <f t="shared" ref="S51:X51" si="18">+S47+S43</f>
        <v>12240539.649999999</v>
      </c>
      <c r="T51" s="129">
        <f t="shared" si="18"/>
        <v>20463106.649999999</v>
      </c>
      <c r="U51" s="129">
        <f t="shared" si="18"/>
        <v>24248786.649999999</v>
      </c>
      <c r="V51" s="129">
        <f t="shared" si="18"/>
        <v>27439737.649999999</v>
      </c>
      <c r="W51" s="129">
        <f t="shared" si="18"/>
        <v>29129734.649999999</v>
      </c>
      <c r="X51" s="129">
        <f t="shared" si="18"/>
        <v>28934809.649999999</v>
      </c>
      <c r="Y51" s="129">
        <f>+Y47+Y43</f>
        <v>27625977.049275003</v>
      </c>
      <c r="Z51" s="129">
        <f>+Z47+Z43</f>
        <v>25629023.261609927</v>
      </c>
      <c r="AA51" s="129">
        <f>+AA47+AA43</f>
        <v>22053425.522372961</v>
      </c>
      <c r="AB51" s="129">
        <f>+AB47+AB43</f>
        <v>17010315.276635185</v>
      </c>
      <c r="AC51" s="129">
        <f>+AC47+AC43</f>
        <v>11960626.258326314</v>
      </c>
    </row>
    <row r="52" spans="1:29" ht="13" thickTop="1">
      <c r="E52" s="10"/>
      <c r="F52" s="10"/>
      <c r="W52" s="9"/>
      <c r="X52" s="9"/>
      <c r="Y52" s="9"/>
      <c r="Z52" s="9"/>
    </row>
    <row r="53" spans="1:29" ht="14" customHeight="1">
      <c r="A53" s="283" t="s">
        <v>165</v>
      </c>
      <c r="B53" s="269"/>
      <c r="C53" s="269"/>
      <c r="D53" s="269"/>
      <c r="E53" s="270"/>
      <c r="F53" s="270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8" t="s">
        <v>12</v>
      </c>
      <c r="S53" s="271"/>
      <c r="T53" s="272"/>
      <c r="U53" s="273">
        <f t="shared" ref="U53:W53" si="19">SUM(U51)/(U29-U22)</f>
        <v>0.5862643136039033</v>
      </c>
      <c r="V53" s="273">
        <f t="shared" si="19"/>
        <v>0.64586827710659633</v>
      </c>
      <c r="W53" s="273">
        <f t="shared" si="19"/>
        <v>0.66211266255292367</v>
      </c>
      <c r="X53" s="273">
        <f>SUM(X51)/(X29-X22)</f>
        <v>0.62538945852501571</v>
      </c>
      <c r="Y53" s="273">
        <f>SUM(Y51)/(Y29-Y22)</f>
        <v>0.58652773113378243</v>
      </c>
      <c r="Z53" s="273">
        <f t="shared" ref="Z53:AB53" si="20">SUM(Z51)/(Z29-Z22)</f>
        <v>0.53900305853530128</v>
      </c>
      <c r="AA53" s="273">
        <f t="shared" si="20"/>
        <v>0.44936986281488311</v>
      </c>
      <c r="AB53" s="273">
        <f t="shared" si="20"/>
        <v>0.33502773832847971</v>
      </c>
      <c r="AC53" s="273">
        <f t="shared" ref="AC53" si="21">SUM(AC51)/(AC29-AC22)</f>
        <v>0.22755801024180852</v>
      </c>
    </row>
    <row r="54" spans="1:29" hidden="1">
      <c r="A54" s="21"/>
      <c r="W54" s="9"/>
      <c r="X54" s="9"/>
      <c r="Y54" s="9"/>
      <c r="Z54" s="9"/>
    </row>
    <row r="55" spans="1:29" ht="16" hidden="1" thickBot="1">
      <c r="A55" s="69" t="s">
        <v>94</v>
      </c>
      <c r="B55" s="22">
        <f>+B29/12</f>
        <v>6004449.416666667</v>
      </c>
      <c r="C55" s="22">
        <f>+C29/12</f>
        <v>6371958.25</v>
      </c>
      <c r="D55" s="70">
        <f t="shared" ref="D55:V55" si="22">+D51/(+D29/365)</f>
        <v>50.562587506108997</v>
      </c>
      <c r="E55" s="70">
        <f t="shared" si="22"/>
        <v>46.385374833824173</v>
      </c>
      <c r="F55" s="70">
        <f t="shared" si="22"/>
        <v>50.194400748698023</v>
      </c>
      <c r="G55" s="70">
        <f t="shared" si="22"/>
        <v>62.308466075484432</v>
      </c>
      <c r="H55" s="70">
        <f t="shared" si="22"/>
        <v>39.516545142161227</v>
      </c>
      <c r="I55" s="70">
        <f t="shared" si="22"/>
        <v>39.423036088974534</v>
      </c>
      <c r="J55" s="70">
        <f t="shared" si="22"/>
        <v>32.415890020508087</v>
      </c>
      <c r="K55" s="70">
        <f t="shared" si="22"/>
        <v>31.606375009817221</v>
      </c>
      <c r="L55" s="70">
        <f t="shared" si="22"/>
        <v>25.008373422446031</v>
      </c>
      <c r="M55" s="70">
        <f t="shared" si="22"/>
        <v>33.354897022052683</v>
      </c>
      <c r="N55" s="70">
        <f t="shared" si="22"/>
        <v>43.056469385431349</v>
      </c>
      <c r="O55" s="70">
        <f t="shared" si="22"/>
        <v>-227.21047480708302</v>
      </c>
      <c r="P55" s="70">
        <f t="shared" si="22"/>
        <v>185.18630780850117</v>
      </c>
      <c r="Q55" s="70">
        <f t="shared" si="22"/>
        <v>158.18100154322062</v>
      </c>
      <c r="R55" s="70">
        <f t="shared" si="22"/>
        <v>108.53401993165883</v>
      </c>
      <c r="S55" s="257">
        <f t="shared" si="22"/>
        <v>99.06823009668615</v>
      </c>
      <c r="T55" s="70">
        <f t="shared" si="22"/>
        <v>161.95376121319794</v>
      </c>
      <c r="U55" s="70">
        <f t="shared" si="22"/>
        <v>179.94437739840421</v>
      </c>
      <c r="V55" s="70">
        <f t="shared" si="22"/>
        <v>190.55276931532273</v>
      </c>
      <c r="W55" s="70">
        <f>+W51/(+W29/365)</f>
        <v>197.86973924883907</v>
      </c>
      <c r="X55" s="70">
        <f>+X51/(+X29/365)</f>
        <v>184.47200918806786</v>
      </c>
      <c r="Y55" s="70">
        <f>+Y51/(+Y29/365)</f>
        <v>173.59867429521279</v>
      </c>
      <c r="Z55" s="70">
        <f>+Z51/(+Z29/365)</f>
        <v>159.81724887477222</v>
      </c>
    </row>
    <row r="56" spans="1:29" ht="24">
      <c r="A56" s="67" t="s">
        <v>88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77">
        <f t="shared" ref="P56:V56" si="23">+P51/P29</f>
        <v>0.50735974742055112</v>
      </c>
      <c r="Q56" s="76">
        <f t="shared" si="23"/>
        <v>0.43337260696772772</v>
      </c>
      <c r="R56" s="76">
        <f t="shared" si="23"/>
        <v>0.2973534792648187</v>
      </c>
      <c r="S56" s="104">
        <f t="shared" si="23"/>
        <v>0.27141980848407166</v>
      </c>
      <c r="T56" s="142">
        <f t="shared" si="23"/>
        <v>0.44370893483067925</v>
      </c>
      <c r="U56" s="76">
        <f t="shared" si="23"/>
        <v>0.49299829424220337</v>
      </c>
      <c r="V56" s="76">
        <f t="shared" si="23"/>
        <v>0.52206238168581565</v>
      </c>
      <c r="W56" s="130">
        <f t="shared" ref="W56:AB56" si="24">+W51/W29</f>
        <v>0.54210887465435353</v>
      </c>
      <c r="X56" s="130">
        <f t="shared" si="24"/>
        <v>0.50540276489881608</v>
      </c>
      <c r="Y56" s="130">
        <f t="shared" si="24"/>
        <v>0.4756128062882542</v>
      </c>
      <c r="Z56" s="130">
        <f t="shared" si="24"/>
        <v>0.43785547636923894</v>
      </c>
      <c r="AA56" s="130">
        <f t="shared" si="24"/>
        <v>0.36718708311826909</v>
      </c>
      <c r="AB56" s="130">
        <f t="shared" si="24"/>
        <v>0.27543954248956631</v>
      </c>
      <c r="AC56" s="130">
        <f t="shared" ref="AC56" si="25">+AC51/AC29</f>
        <v>0.18822321149103541</v>
      </c>
    </row>
    <row r="57" spans="1:29">
      <c r="A57" s="21"/>
    </row>
    <row r="128" spans="16:29">
      <c r="P128" s="9" t="str">
        <f>+'Operating Funds Total'!B3</f>
        <v>2006-07</v>
      </c>
      <c r="Q128" s="9" t="str">
        <f>+'Operating Funds Total'!C3</f>
        <v>2007-08</v>
      </c>
      <c r="R128" s="9" t="str">
        <f>+'Operating Funds Total'!D3</f>
        <v>FY10 Act</v>
      </c>
      <c r="S128" s="155" t="str">
        <f>+'Operating Funds Total'!E3</f>
        <v>FY11 Act</v>
      </c>
      <c r="T128" s="9" t="str">
        <f>+'Operating Funds Total'!F3</f>
        <v>FY12 Act</v>
      </c>
      <c r="U128" s="9" t="str">
        <f>+'Operating Funds Total'!G3</f>
        <v>FY13 Act</v>
      </c>
      <c r="V128" s="9" t="str">
        <f>+'Operating Funds Total'!H3</f>
        <v>FY14 Act</v>
      </c>
      <c r="W128" s="159" t="s">
        <v>169</v>
      </c>
      <c r="X128" s="159" t="s">
        <v>170</v>
      </c>
      <c r="Y128" s="159" t="s">
        <v>140</v>
      </c>
      <c r="Z128" s="159" t="s">
        <v>141</v>
      </c>
      <c r="AA128" s="159" t="s">
        <v>149</v>
      </c>
      <c r="AB128" s="159" t="s">
        <v>163</v>
      </c>
      <c r="AC128" s="159" t="s">
        <v>166</v>
      </c>
    </row>
  </sheetData>
  <phoneticPr fontId="0" type="noConversion"/>
  <printOptions horizontalCentered="1"/>
  <pageMargins left="0.2" right="0.83" top="1" bottom="0.5" header="0.5" footer="0.25"/>
  <pageSetup scale="74" orientation="landscape" cellComments="asDisplayed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ignoredErrors>
    <ignoredError sqref="Y9:Z9" formula="1"/>
    <ignoredError sqref="R29 T29:X29 S41:W41" emptyCellReference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AD131"/>
  <sheetViews>
    <sheetView view="pageLayout" topLeftCell="A18" zoomScale="125" workbookViewId="0">
      <selection activeCell="AA19" sqref="AA19"/>
    </sheetView>
  </sheetViews>
  <sheetFormatPr baseColWidth="10" defaultColWidth="9.1640625" defaultRowHeight="12" x14ac:dyDescent="0"/>
  <cols>
    <col min="1" max="1" width="29.1640625" style="9" customWidth="1"/>
    <col min="2" max="10" width="18.6640625" style="9" hidden="1" customWidth="1"/>
    <col min="11" max="11" width="19.83203125" style="9" hidden="1" customWidth="1"/>
    <col min="12" max="13" width="18.6640625" style="9" hidden="1" customWidth="1"/>
    <col min="14" max="14" width="18.83203125" style="9" hidden="1" customWidth="1"/>
    <col min="15" max="15" width="18.6640625" style="9" hidden="1" customWidth="1"/>
    <col min="16" max="16" width="18.83203125" style="9" hidden="1" customWidth="1"/>
    <col min="17" max="17" width="20.33203125" style="9" hidden="1" customWidth="1"/>
    <col min="18" max="21" width="15.83203125" style="169" hidden="1" customWidth="1"/>
    <col min="22" max="26" width="14.1640625" style="169" customWidth="1"/>
    <col min="27" max="27" width="14" style="9" customWidth="1"/>
    <col min="28" max="29" width="14.1640625" style="9" customWidth="1"/>
    <col min="30" max="16384" width="9.1640625" style="9"/>
  </cols>
  <sheetData>
    <row r="1" spans="1:29" ht="36">
      <c r="A1" s="106" t="s">
        <v>72</v>
      </c>
      <c r="B1" s="2" t="s">
        <v>44</v>
      </c>
      <c r="C1" s="3" t="s">
        <v>9</v>
      </c>
      <c r="D1" s="3" t="s">
        <v>56</v>
      </c>
      <c r="E1" s="23" t="s">
        <v>57</v>
      </c>
      <c r="F1" s="2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16</v>
      </c>
      <c r="Q1" s="23" t="s">
        <v>3</v>
      </c>
      <c r="R1" s="165" t="s">
        <v>33</v>
      </c>
      <c r="S1" s="165" t="s">
        <v>126</v>
      </c>
      <c r="T1" s="165" t="s">
        <v>111</v>
      </c>
      <c r="U1" s="166" t="s">
        <v>129</v>
      </c>
      <c r="V1" s="166" t="s">
        <v>130</v>
      </c>
      <c r="W1" s="167" t="s">
        <v>131</v>
      </c>
      <c r="X1" s="167" t="s">
        <v>132</v>
      </c>
      <c r="Y1" s="167" t="s">
        <v>134</v>
      </c>
      <c r="Z1" s="167" t="s">
        <v>137</v>
      </c>
      <c r="AA1" s="167" t="s">
        <v>151</v>
      </c>
      <c r="AB1" s="156" t="s">
        <v>162</v>
      </c>
      <c r="AC1" s="156" t="s">
        <v>168</v>
      </c>
    </row>
    <row r="2" spans="1:29">
      <c r="R2" s="166" t="s">
        <v>2</v>
      </c>
      <c r="S2" s="166" t="s">
        <v>2</v>
      </c>
      <c r="T2" s="166" t="s">
        <v>2</v>
      </c>
      <c r="U2" s="166" t="s">
        <v>2</v>
      </c>
      <c r="V2" s="166" t="s">
        <v>2</v>
      </c>
      <c r="W2" s="166" t="s">
        <v>2</v>
      </c>
      <c r="X2" s="168" t="s">
        <v>127</v>
      </c>
      <c r="Y2" s="166" t="s">
        <v>128</v>
      </c>
      <c r="Z2" s="166" t="s">
        <v>128</v>
      </c>
      <c r="AA2" s="166" t="s">
        <v>128</v>
      </c>
      <c r="AB2" s="157" t="s">
        <v>128</v>
      </c>
      <c r="AC2" s="157" t="s">
        <v>128</v>
      </c>
    </row>
    <row r="3" spans="1:29">
      <c r="A3" s="1" t="s">
        <v>92</v>
      </c>
    </row>
    <row r="5" spans="1:29" s="125" customFormat="1">
      <c r="A5" s="125" t="s">
        <v>93</v>
      </c>
      <c r="B5" s="125">
        <v>9769857</v>
      </c>
      <c r="C5" s="125">
        <v>9360362</v>
      </c>
      <c r="D5" s="125">
        <v>9682559</v>
      </c>
      <c r="E5" s="125">
        <v>10025709</v>
      </c>
      <c r="F5" s="125">
        <v>10534548</v>
      </c>
      <c r="G5" s="125">
        <v>12091451</v>
      </c>
      <c r="H5" s="125">
        <v>12318193</v>
      </c>
      <c r="I5" s="125">
        <v>11729922</v>
      </c>
      <c r="J5" s="125">
        <v>12460717</v>
      </c>
      <c r="K5" s="125">
        <v>11887570</v>
      </c>
      <c r="L5" s="125">
        <v>12406752</v>
      </c>
      <c r="M5" s="125">
        <v>12076006</v>
      </c>
      <c r="N5" s="125">
        <v>12149084</v>
      </c>
      <c r="O5" s="125">
        <v>12374650</v>
      </c>
      <c r="P5" s="124">
        <v>3782506</v>
      </c>
      <c r="Q5" s="124">
        <v>3842094</v>
      </c>
      <c r="R5" s="238">
        <v>4084017.26</v>
      </c>
      <c r="S5" s="124">
        <v>3874247</v>
      </c>
      <c r="T5" s="124">
        <v>4284150</v>
      </c>
      <c r="U5" s="238">
        <v>4549024</v>
      </c>
      <c r="V5" s="124">
        <v>5067749</v>
      </c>
      <c r="W5" s="124">
        <v>6199563</v>
      </c>
      <c r="X5" s="124">
        <v>6905128</v>
      </c>
      <c r="Y5" s="124">
        <f xml:space="preserve"> (X5*1.037)</f>
        <v>7160617.7359999996</v>
      </c>
      <c r="Z5" s="124">
        <f>Y5*1.004</f>
        <v>7189260.206944</v>
      </c>
      <c r="AA5" s="124">
        <f>(Z5*1.019)</f>
        <v>7325856.1508759353</v>
      </c>
      <c r="AB5" s="124">
        <f>(AA5*1.027)</f>
        <v>7523654.2669495847</v>
      </c>
      <c r="AC5" s="124">
        <f>(AB5*1.027)-800000</f>
        <v>6926792.9321572231</v>
      </c>
    </row>
    <row r="6" spans="1:29" s="179" customFormat="1">
      <c r="A6" s="179" t="s">
        <v>27</v>
      </c>
      <c r="B6" s="179">
        <v>0</v>
      </c>
      <c r="C6" s="179">
        <v>0</v>
      </c>
      <c r="D6" s="179">
        <v>0</v>
      </c>
      <c r="E6" s="179">
        <f t="shared" ref="E6:F8" si="0">D6*1.06</f>
        <v>0</v>
      </c>
      <c r="F6" s="179">
        <f t="shared" si="0"/>
        <v>0</v>
      </c>
      <c r="G6" s="179">
        <v>0</v>
      </c>
      <c r="H6" s="179">
        <v>0</v>
      </c>
      <c r="I6" s="179">
        <v>0</v>
      </c>
      <c r="J6" s="179">
        <v>0</v>
      </c>
      <c r="K6" s="179">
        <v>0</v>
      </c>
      <c r="L6" s="179">
        <v>0</v>
      </c>
      <c r="M6" s="179">
        <v>0</v>
      </c>
      <c r="N6" s="179">
        <v>0</v>
      </c>
      <c r="O6" s="179">
        <v>0</v>
      </c>
      <c r="P6" s="180">
        <v>0</v>
      </c>
      <c r="Q6" s="180">
        <v>0</v>
      </c>
      <c r="R6" s="228">
        <v>0</v>
      </c>
      <c r="S6" s="180">
        <v>0</v>
      </c>
      <c r="T6" s="180">
        <v>0</v>
      </c>
      <c r="U6" s="180">
        <v>0</v>
      </c>
      <c r="V6" s="180">
        <v>0</v>
      </c>
      <c r="W6" s="180">
        <v>0</v>
      </c>
      <c r="X6" s="179">
        <v>0</v>
      </c>
      <c r="Y6" s="179">
        <v>0</v>
      </c>
      <c r="Z6" s="179">
        <v>0</v>
      </c>
      <c r="AA6" s="179">
        <v>0</v>
      </c>
      <c r="AB6" s="179">
        <v>0</v>
      </c>
      <c r="AC6" s="179">
        <v>0</v>
      </c>
    </row>
    <row r="7" spans="1:29" s="179" customFormat="1">
      <c r="A7" s="179" t="s">
        <v>28</v>
      </c>
      <c r="B7" s="179">
        <v>0</v>
      </c>
      <c r="C7" s="179">
        <v>0</v>
      </c>
      <c r="D7" s="179">
        <v>0</v>
      </c>
      <c r="E7" s="179">
        <f t="shared" si="0"/>
        <v>0</v>
      </c>
      <c r="F7" s="179">
        <f t="shared" si="0"/>
        <v>0</v>
      </c>
      <c r="G7" s="179">
        <v>0</v>
      </c>
      <c r="H7" s="179">
        <v>0</v>
      </c>
      <c r="I7" s="179">
        <v>128623</v>
      </c>
      <c r="J7" s="179">
        <v>100000</v>
      </c>
      <c r="K7" s="179">
        <v>221163</v>
      </c>
      <c r="L7" s="179">
        <v>467301</v>
      </c>
      <c r="M7" s="179">
        <v>596349</v>
      </c>
      <c r="N7" s="179">
        <v>148609</v>
      </c>
      <c r="O7" s="179">
        <v>168429</v>
      </c>
      <c r="P7" s="180">
        <v>0</v>
      </c>
      <c r="Q7" s="180">
        <v>0</v>
      </c>
      <c r="R7" s="228">
        <f t="shared" ref="R7:T7" si="1">+Q7*1.01</f>
        <v>0</v>
      </c>
      <c r="S7" s="180">
        <f t="shared" si="1"/>
        <v>0</v>
      </c>
      <c r="T7" s="180">
        <f t="shared" si="1"/>
        <v>0</v>
      </c>
      <c r="U7" s="180">
        <v>50000</v>
      </c>
      <c r="V7" s="180">
        <v>0</v>
      </c>
      <c r="W7" s="180">
        <v>288969</v>
      </c>
      <c r="X7" s="179">
        <v>0</v>
      </c>
      <c r="Y7" s="179">
        <v>0</v>
      </c>
      <c r="Z7" s="179">
        <v>0</v>
      </c>
      <c r="AA7" s="179">
        <v>0</v>
      </c>
      <c r="AB7" s="179">
        <v>0</v>
      </c>
      <c r="AC7" s="179">
        <v>0</v>
      </c>
    </row>
    <row r="8" spans="1:29" s="179" customFormat="1">
      <c r="A8" s="179" t="s">
        <v>50</v>
      </c>
      <c r="B8" s="179">
        <v>0</v>
      </c>
      <c r="C8" s="179">
        <v>0</v>
      </c>
      <c r="D8" s="179">
        <v>0</v>
      </c>
      <c r="E8" s="179">
        <f t="shared" si="0"/>
        <v>0</v>
      </c>
      <c r="F8" s="179">
        <f t="shared" si="0"/>
        <v>0</v>
      </c>
      <c r="G8" s="179">
        <v>0</v>
      </c>
      <c r="H8" s="179">
        <v>0</v>
      </c>
      <c r="I8" s="179">
        <v>0</v>
      </c>
      <c r="J8" s="179">
        <v>11037</v>
      </c>
      <c r="K8" s="179">
        <v>441</v>
      </c>
      <c r="L8" s="179">
        <v>0</v>
      </c>
      <c r="M8" s="179">
        <v>903</v>
      </c>
      <c r="N8" s="179">
        <v>0</v>
      </c>
      <c r="O8" s="179">
        <v>0</v>
      </c>
      <c r="P8" s="180">
        <v>0</v>
      </c>
      <c r="Q8" s="180">
        <v>0</v>
      </c>
      <c r="R8" s="228">
        <v>0</v>
      </c>
      <c r="S8" s="180">
        <v>0</v>
      </c>
      <c r="T8" s="180">
        <v>0</v>
      </c>
      <c r="U8" s="180">
        <v>0</v>
      </c>
      <c r="V8" s="180">
        <v>0</v>
      </c>
      <c r="W8" s="180">
        <v>0</v>
      </c>
      <c r="X8" s="179">
        <v>0</v>
      </c>
      <c r="Y8" s="179">
        <v>0</v>
      </c>
      <c r="Z8" s="179">
        <v>0</v>
      </c>
      <c r="AA8" s="179">
        <v>0</v>
      </c>
      <c r="AB8" s="179">
        <v>0</v>
      </c>
      <c r="AC8" s="179">
        <v>0</v>
      </c>
    </row>
    <row r="9" spans="1:29" s="179" customFormat="1">
      <c r="A9" s="179" t="s">
        <v>112</v>
      </c>
      <c r="B9" s="179">
        <v>220646</v>
      </c>
      <c r="C9" s="179">
        <v>152433</v>
      </c>
      <c r="D9" s="179">
        <v>189861</v>
      </c>
      <c r="E9" s="179">
        <v>211812</v>
      </c>
      <c r="F9" s="179">
        <v>296332</v>
      </c>
      <c r="G9" s="179">
        <v>403164</v>
      </c>
      <c r="H9" s="179">
        <v>609516</v>
      </c>
      <c r="I9" s="179">
        <v>751733</v>
      </c>
      <c r="J9" s="179">
        <v>929500</v>
      </c>
      <c r="K9" s="179">
        <v>611274</v>
      </c>
      <c r="L9" s="179">
        <v>383439</v>
      </c>
      <c r="M9" s="179">
        <v>255697</v>
      </c>
      <c r="N9" s="179">
        <v>421383</v>
      </c>
      <c r="O9" s="179">
        <v>774198</v>
      </c>
      <c r="P9" s="180">
        <v>145834</v>
      </c>
      <c r="Q9" s="180">
        <v>83678</v>
      </c>
      <c r="R9" s="228">
        <v>26886.93</v>
      </c>
      <c r="S9" s="180">
        <v>2042</v>
      </c>
      <c r="T9" s="180">
        <v>1306</v>
      </c>
      <c r="U9" s="180">
        <v>10440</v>
      </c>
      <c r="V9" s="180">
        <v>5602</v>
      </c>
      <c r="W9" s="180">
        <v>5283</v>
      </c>
      <c r="X9" s="180">
        <v>1500</v>
      </c>
      <c r="Y9" s="180">
        <v>100</v>
      </c>
      <c r="Z9" s="180">
        <v>0</v>
      </c>
      <c r="AA9" s="180">
        <v>0</v>
      </c>
      <c r="AB9" s="180">
        <v>0</v>
      </c>
      <c r="AC9" s="180">
        <v>0</v>
      </c>
    </row>
    <row r="10" spans="1:29" s="179" customFormat="1">
      <c r="A10" s="179" t="s">
        <v>113</v>
      </c>
      <c r="B10" s="200">
        <f>115673+7400+148155+193260-B9</f>
        <v>243842</v>
      </c>
      <c r="C10" s="200">
        <f>288143+243685-C9</f>
        <v>379395</v>
      </c>
      <c r="D10" s="200">
        <f>444719-D9</f>
        <v>254858</v>
      </c>
      <c r="E10" s="200">
        <f>485291-E9</f>
        <v>273479</v>
      </c>
      <c r="F10" s="200">
        <f>534704-F9</f>
        <v>238372</v>
      </c>
      <c r="G10" s="200">
        <v>376608</v>
      </c>
      <c r="H10" s="200">
        <v>503502</v>
      </c>
      <c r="I10" s="200">
        <v>512218</v>
      </c>
      <c r="J10" s="200">
        <v>431007</v>
      </c>
      <c r="K10" s="200">
        <v>445250</v>
      </c>
      <c r="L10" s="200">
        <v>311205</v>
      </c>
      <c r="M10" s="200">
        <v>265227</v>
      </c>
      <c r="N10" s="200">
        <v>315143</v>
      </c>
      <c r="O10" s="200">
        <v>361376</v>
      </c>
      <c r="P10" s="194">
        <v>125490</v>
      </c>
      <c r="Q10" s="194">
        <f>192721+15882</f>
        <v>208603</v>
      </c>
      <c r="R10" s="239">
        <v>16499.02</v>
      </c>
      <c r="S10" s="194">
        <v>42697</v>
      </c>
      <c r="T10" s="194">
        <f>33942+36713</f>
        <v>70655</v>
      </c>
      <c r="U10" s="194">
        <v>33837</v>
      </c>
      <c r="V10" s="194">
        <f>17085+166622</f>
        <v>183707</v>
      </c>
      <c r="W10" s="194">
        <v>120252</v>
      </c>
      <c r="X10" s="194">
        <v>100000</v>
      </c>
      <c r="Y10" s="194">
        <f>X10</f>
        <v>100000</v>
      </c>
      <c r="Z10" s="194">
        <f>Y10</f>
        <v>100000</v>
      </c>
      <c r="AA10" s="194">
        <f>Z10</f>
        <v>100000</v>
      </c>
      <c r="AB10" s="194">
        <f>AA10</f>
        <v>100000</v>
      </c>
      <c r="AC10" s="194">
        <f>AB10</f>
        <v>100000</v>
      </c>
    </row>
    <row r="11" spans="1:29" s="179" customFormat="1">
      <c r="P11" s="180"/>
      <c r="Q11" s="180"/>
      <c r="R11" s="180"/>
      <c r="S11" s="180"/>
      <c r="T11" s="180"/>
      <c r="U11" s="180"/>
      <c r="V11" s="180"/>
      <c r="W11" s="180"/>
    </row>
    <row r="12" spans="1:29" s="125" customFormat="1" ht="13" thickBot="1">
      <c r="A12" s="125" t="s">
        <v>22</v>
      </c>
      <c r="B12" s="127">
        <f>SUM(B5:B11)</f>
        <v>10234345</v>
      </c>
      <c r="C12" s="127">
        <f>SUM(C5:C10)</f>
        <v>9892190</v>
      </c>
      <c r="D12" s="127">
        <f t="shared" ref="D12:M12" si="2">SUM(D5:D10)</f>
        <v>10127278</v>
      </c>
      <c r="E12" s="127">
        <f t="shared" si="2"/>
        <v>10511000</v>
      </c>
      <c r="F12" s="127">
        <f t="shared" si="2"/>
        <v>11069252</v>
      </c>
      <c r="G12" s="127">
        <f t="shared" si="2"/>
        <v>12871223</v>
      </c>
      <c r="H12" s="127">
        <f t="shared" si="2"/>
        <v>13431211</v>
      </c>
      <c r="I12" s="127">
        <f t="shared" si="2"/>
        <v>13122496</v>
      </c>
      <c r="J12" s="127">
        <f t="shared" si="2"/>
        <v>13932261</v>
      </c>
      <c r="K12" s="127">
        <f t="shared" si="2"/>
        <v>13165698</v>
      </c>
      <c r="L12" s="127">
        <f t="shared" si="2"/>
        <v>13568697</v>
      </c>
      <c r="M12" s="127">
        <f t="shared" si="2"/>
        <v>13194182</v>
      </c>
      <c r="N12" s="127">
        <f t="shared" ref="N12:S12" si="3">SUM(N5:N10)</f>
        <v>13034219</v>
      </c>
      <c r="O12" s="127">
        <f t="shared" si="3"/>
        <v>13678653</v>
      </c>
      <c r="P12" s="110">
        <f t="shared" si="3"/>
        <v>4053830</v>
      </c>
      <c r="Q12" s="110">
        <f t="shared" si="3"/>
        <v>4134375</v>
      </c>
      <c r="R12" s="110">
        <f t="shared" si="3"/>
        <v>4127403.21</v>
      </c>
      <c r="S12" s="110">
        <f t="shared" si="3"/>
        <v>3918986</v>
      </c>
      <c r="T12" s="110">
        <f t="shared" ref="T12:AA12" si="4">SUM(T5:T10)</f>
        <v>4356111</v>
      </c>
      <c r="U12" s="110">
        <f t="shared" si="4"/>
        <v>4643301</v>
      </c>
      <c r="V12" s="110">
        <f t="shared" si="4"/>
        <v>5257058</v>
      </c>
      <c r="W12" s="110">
        <f>SUM(W5:W10)</f>
        <v>6614067</v>
      </c>
      <c r="X12" s="110">
        <f t="shared" si="4"/>
        <v>7006628</v>
      </c>
      <c r="Y12" s="110">
        <f t="shared" si="4"/>
        <v>7260717.7359999996</v>
      </c>
      <c r="Z12" s="110">
        <f t="shared" si="4"/>
        <v>7289260.206944</v>
      </c>
      <c r="AA12" s="110">
        <f t="shared" si="4"/>
        <v>7425856.1508759353</v>
      </c>
      <c r="AB12" s="110">
        <f t="shared" ref="AB12:AC12" si="5">SUM(AB5:AB10)</f>
        <v>7623654.2669495847</v>
      </c>
      <c r="AC12" s="110">
        <f t="shared" si="5"/>
        <v>7026792.9321572231</v>
      </c>
    </row>
    <row r="13" spans="1:29" s="179" customFormat="1">
      <c r="P13" s="180"/>
      <c r="Q13" s="180"/>
      <c r="R13" s="180"/>
      <c r="S13" s="180"/>
      <c r="T13" s="180"/>
      <c r="U13" s="180"/>
      <c r="V13" s="180"/>
      <c r="W13" s="180"/>
    </row>
    <row r="14" spans="1:29" s="179" customFormat="1">
      <c r="A14" s="230" t="s">
        <v>102</v>
      </c>
      <c r="P14" s="180"/>
      <c r="Q14" s="180"/>
      <c r="R14" s="180"/>
      <c r="S14" s="180"/>
      <c r="T14" s="180"/>
      <c r="U14" s="258" t="s">
        <v>12</v>
      </c>
      <c r="V14" s="180"/>
      <c r="W14" s="180"/>
    </row>
    <row r="15" spans="1:29" s="179" customFormat="1">
      <c r="P15" s="180"/>
      <c r="Q15" s="180"/>
      <c r="R15" s="180"/>
      <c r="S15" s="180"/>
      <c r="T15" s="231"/>
      <c r="U15" s="180"/>
      <c r="V15" s="180"/>
      <c r="W15" s="180"/>
    </row>
    <row r="16" spans="1:29" s="125" customFormat="1">
      <c r="A16" s="125" t="s">
        <v>103</v>
      </c>
      <c r="B16" s="125">
        <v>3837782</v>
      </c>
      <c r="C16" s="125">
        <v>3932682</v>
      </c>
      <c r="D16" s="125">
        <v>3996684</v>
      </c>
      <c r="E16" s="125">
        <v>4197049</v>
      </c>
      <c r="F16" s="125">
        <v>4233252</v>
      </c>
      <c r="G16" s="125">
        <v>4644962</v>
      </c>
      <c r="H16" s="125">
        <v>4729934</v>
      </c>
      <c r="I16" s="125">
        <v>4762512</v>
      </c>
      <c r="J16" s="111">
        <v>4911481</v>
      </c>
      <c r="K16" s="111">
        <v>5478946</v>
      </c>
      <c r="L16" s="111">
        <v>5237251</v>
      </c>
      <c r="M16" s="111">
        <v>5736415</v>
      </c>
      <c r="N16" s="111">
        <v>5943757</v>
      </c>
      <c r="O16" s="111">
        <v>5614568</v>
      </c>
      <c r="P16" s="124">
        <v>1710292</v>
      </c>
      <c r="Q16" s="124">
        <v>1742515</v>
      </c>
      <c r="R16" s="238">
        <v>1716336.71</v>
      </c>
      <c r="S16" s="124">
        <v>1529782</v>
      </c>
      <c r="T16" s="124">
        <f>1125051+346294</f>
        <v>1471345</v>
      </c>
      <c r="U16" s="124">
        <v>1571277</v>
      </c>
      <c r="V16" s="163">
        <v>1605878</v>
      </c>
      <c r="W16" s="163">
        <v>1611071</v>
      </c>
      <c r="X16" s="163">
        <f>1365496+324831</f>
        <v>1690327</v>
      </c>
      <c r="Y16" s="163">
        <f>X16*1.02</f>
        <v>1724133.54</v>
      </c>
      <c r="Z16" s="163">
        <f>Y16*1.02</f>
        <v>1758616.2108</v>
      </c>
      <c r="AA16" s="163">
        <f>Z16*1.02</f>
        <v>1793788.535016</v>
      </c>
      <c r="AB16" s="163">
        <f>AA16*1.02</f>
        <v>1829664.3057163202</v>
      </c>
      <c r="AC16" s="163">
        <f>AB16*1.02</f>
        <v>1866257.5918306466</v>
      </c>
    </row>
    <row r="17" spans="1:30" s="179" customFormat="1">
      <c r="A17" s="179" t="s">
        <v>66</v>
      </c>
      <c r="B17" s="179">
        <v>368089</v>
      </c>
      <c r="C17" s="179">
        <v>461092</v>
      </c>
      <c r="D17" s="179">
        <v>542225</v>
      </c>
      <c r="E17" s="179">
        <v>599472</v>
      </c>
      <c r="F17" s="179">
        <v>576690</v>
      </c>
      <c r="G17" s="179">
        <v>599707</v>
      </c>
      <c r="H17" s="179">
        <v>669411</v>
      </c>
      <c r="I17" s="179">
        <v>708226</v>
      </c>
      <c r="J17" s="179">
        <v>858959</v>
      </c>
      <c r="K17" s="179">
        <v>1138059</v>
      </c>
      <c r="L17" s="179">
        <v>1042243</v>
      </c>
      <c r="M17" s="179">
        <v>1280768</v>
      </c>
      <c r="N17" s="179">
        <v>1281375</v>
      </c>
      <c r="O17" s="179">
        <v>1020418</v>
      </c>
      <c r="P17" s="180">
        <v>105339</v>
      </c>
      <c r="Q17" s="180">
        <v>155962</v>
      </c>
      <c r="R17" s="228">
        <v>200751.78</v>
      </c>
      <c r="S17" s="180">
        <v>231680</v>
      </c>
      <c r="T17" s="180">
        <f>219777+26339</f>
        <v>246116</v>
      </c>
      <c r="U17" s="180">
        <v>269424</v>
      </c>
      <c r="V17" s="288">
        <v>260564</v>
      </c>
      <c r="W17" s="288">
        <v>250777</v>
      </c>
      <c r="X17" s="288">
        <f>260090+22866</f>
        <v>282956</v>
      </c>
      <c r="Y17" s="288">
        <f t="shared" ref="Y17:AC17" si="6">+X17*1.1</f>
        <v>311251.60000000003</v>
      </c>
      <c r="Z17" s="288">
        <f t="shared" si="6"/>
        <v>342376.76000000007</v>
      </c>
      <c r="AA17" s="288">
        <f t="shared" si="6"/>
        <v>376614.4360000001</v>
      </c>
      <c r="AB17" s="288">
        <f t="shared" si="6"/>
        <v>414275.87960000016</v>
      </c>
      <c r="AC17" s="288">
        <f t="shared" si="6"/>
        <v>455703.46756000019</v>
      </c>
    </row>
    <row r="18" spans="1:30" s="179" customFormat="1">
      <c r="A18" s="179" t="s">
        <v>83</v>
      </c>
      <c r="B18" s="179">
        <v>2647324</v>
      </c>
      <c r="C18" s="179">
        <v>2585679</v>
      </c>
      <c r="D18" s="179">
        <v>2559779</v>
      </c>
      <c r="E18" s="179">
        <v>2756339</v>
      </c>
      <c r="F18" s="179">
        <v>2986724</v>
      </c>
      <c r="G18" s="179">
        <v>2720607</v>
      </c>
      <c r="H18" s="179">
        <v>2523231</v>
      </c>
      <c r="I18" s="179">
        <v>2468040</v>
      </c>
      <c r="J18" s="179">
        <v>2824948</v>
      </c>
      <c r="K18" s="179">
        <v>2792965</v>
      </c>
      <c r="L18" s="179">
        <v>2731639</v>
      </c>
      <c r="M18" s="179">
        <v>2516025</v>
      </c>
      <c r="N18" s="179">
        <v>2652534</v>
      </c>
      <c r="O18" s="179">
        <v>2599075</v>
      </c>
      <c r="P18" s="180">
        <f>579711+93631</f>
        <v>673342</v>
      </c>
      <c r="Q18" s="180">
        <v>867482</v>
      </c>
      <c r="R18" s="228">
        <v>671498.1</v>
      </c>
      <c r="S18" s="180">
        <v>682463</v>
      </c>
      <c r="T18" s="180">
        <f>396891+727396+1742</f>
        <v>1126029</v>
      </c>
      <c r="U18" s="262">
        <v>1137250</v>
      </c>
      <c r="V18" s="289">
        <v>1293682</v>
      </c>
      <c r="W18" s="289">
        <v>1358528</v>
      </c>
      <c r="X18" s="289">
        <f>1000020+11750+500970</f>
        <v>1512740</v>
      </c>
      <c r="Y18" s="289">
        <f t="shared" ref="Y18:AC18" si="7">X18*1.03</f>
        <v>1558122.2</v>
      </c>
      <c r="Z18" s="289">
        <f t="shared" si="7"/>
        <v>1604865.8659999999</v>
      </c>
      <c r="AA18" s="289">
        <f t="shared" si="7"/>
        <v>1653011.84198</v>
      </c>
      <c r="AB18" s="289">
        <f t="shared" si="7"/>
        <v>1702602.1972394001</v>
      </c>
      <c r="AC18" s="289">
        <f t="shared" si="7"/>
        <v>1753680.2631565821</v>
      </c>
    </row>
    <row r="19" spans="1:30" s="179" customFormat="1">
      <c r="A19" s="179" t="s">
        <v>84</v>
      </c>
      <c r="B19" s="179">
        <v>573728</v>
      </c>
      <c r="C19" s="179">
        <v>630825</v>
      </c>
      <c r="D19" s="179">
        <v>689126</v>
      </c>
      <c r="E19" s="179">
        <v>635896</v>
      </c>
      <c r="F19" s="179">
        <v>672846</v>
      </c>
      <c r="G19" s="179">
        <v>660058</v>
      </c>
      <c r="H19" s="179">
        <v>642911</v>
      </c>
      <c r="I19" s="179">
        <v>686773</v>
      </c>
      <c r="J19" s="179">
        <v>743331</v>
      </c>
      <c r="K19" s="179">
        <v>731470</v>
      </c>
      <c r="L19" s="179">
        <v>791856</v>
      </c>
      <c r="M19" s="179">
        <f>629853+58140</f>
        <v>687993</v>
      </c>
      <c r="N19" s="179">
        <v>753408</v>
      </c>
      <c r="O19" s="179">
        <v>807740</v>
      </c>
      <c r="P19" s="180">
        <v>972353</v>
      </c>
      <c r="Q19" s="180">
        <v>1159438</v>
      </c>
      <c r="R19" s="228">
        <v>863478.55</v>
      </c>
      <c r="S19" s="180">
        <f>874836</f>
        <v>874836</v>
      </c>
      <c r="T19" s="180">
        <f>704750+71640</f>
        <v>776390</v>
      </c>
      <c r="U19" s="180">
        <v>813646</v>
      </c>
      <c r="V19" s="288">
        <v>928975</v>
      </c>
      <c r="W19" s="288">
        <v>922755</v>
      </c>
      <c r="X19" s="288">
        <f>955840+127500</f>
        <v>1083340</v>
      </c>
      <c r="Y19" s="288">
        <f t="shared" ref="Y19:AC19" si="8">X19*1.03</f>
        <v>1115840.2</v>
      </c>
      <c r="Z19" s="288">
        <f t="shared" si="8"/>
        <v>1149315.406</v>
      </c>
      <c r="AA19" s="288">
        <f t="shared" si="8"/>
        <v>1183794.86818</v>
      </c>
      <c r="AB19" s="288">
        <f t="shared" si="8"/>
        <v>1219308.7142254</v>
      </c>
      <c r="AC19" s="288">
        <f t="shared" si="8"/>
        <v>1255887.975652162</v>
      </c>
    </row>
    <row r="20" spans="1:30" s="179" customFormat="1">
      <c r="A20" s="179" t="s">
        <v>85</v>
      </c>
      <c r="B20" s="179">
        <v>4215999</v>
      </c>
      <c r="C20" s="179">
        <v>689502</v>
      </c>
      <c r="D20" s="179">
        <v>806521</v>
      </c>
      <c r="E20" s="179">
        <v>728458</v>
      </c>
      <c r="F20" s="179">
        <v>1056609</v>
      </c>
      <c r="G20" s="180">
        <v>827608</v>
      </c>
      <c r="H20" s="180">
        <v>1583664</v>
      </c>
      <c r="I20" s="180">
        <v>2287286</v>
      </c>
      <c r="J20" s="180">
        <v>2091513</v>
      </c>
      <c r="K20" s="180">
        <v>3295801</v>
      </c>
      <c r="L20" s="180">
        <v>3319364</v>
      </c>
      <c r="M20" s="180">
        <v>1283181</v>
      </c>
      <c r="N20" s="180">
        <v>2122226</v>
      </c>
      <c r="O20" s="180">
        <v>1487303</v>
      </c>
      <c r="P20" s="180">
        <f>130180+432625</f>
        <v>562805</v>
      </c>
      <c r="Q20" s="180">
        <v>511229</v>
      </c>
      <c r="R20" s="228">
        <v>524685.62</v>
      </c>
      <c r="S20" s="228">
        <f>320285+28525</f>
        <v>348810</v>
      </c>
      <c r="T20" s="180">
        <v>490327</v>
      </c>
      <c r="U20" s="180">
        <f>3093787+20298</f>
        <v>3114085</v>
      </c>
      <c r="V20" s="288">
        <f>3200302+24684</f>
        <v>3224986</v>
      </c>
      <c r="W20" s="288">
        <v>2449487</v>
      </c>
      <c r="X20" s="288">
        <f>382265+50000+30000</f>
        <v>462265</v>
      </c>
      <c r="Y20" s="288">
        <v>450000</v>
      </c>
      <c r="Z20" s="288">
        <v>450000</v>
      </c>
      <c r="AA20" s="288">
        <v>650000</v>
      </c>
      <c r="AB20" s="288">
        <v>650000</v>
      </c>
      <c r="AC20" s="169">
        <v>650000</v>
      </c>
    </row>
    <row r="21" spans="1:30" s="179" customFormat="1" ht="1" hidden="1" customHeight="1">
      <c r="A21" s="179" t="s">
        <v>86</v>
      </c>
      <c r="B21" s="179">
        <v>0</v>
      </c>
      <c r="C21" s="179">
        <v>0</v>
      </c>
      <c r="D21" s="179">
        <v>0</v>
      </c>
      <c r="E21" s="179">
        <v>0</v>
      </c>
      <c r="F21" s="179">
        <f t="shared" ref="F21:M21" si="9">E21*1.06</f>
        <v>0</v>
      </c>
      <c r="G21" s="179">
        <f t="shared" si="9"/>
        <v>0</v>
      </c>
      <c r="H21" s="179">
        <f t="shared" si="9"/>
        <v>0</v>
      </c>
      <c r="I21" s="179">
        <f t="shared" si="9"/>
        <v>0</v>
      </c>
      <c r="J21" s="179">
        <f t="shared" si="9"/>
        <v>0</v>
      </c>
      <c r="K21" s="179">
        <f t="shared" si="9"/>
        <v>0</v>
      </c>
      <c r="L21" s="179">
        <f t="shared" si="9"/>
        <v>0</v>
      </c>
      <c r="M21" s="179">
        <f t="shared" si="9"/>
        <v>0</v>
      </c>
      <c r="N21" s="179">
        <f t="shared" ref="N21:S21" si="10">M21*1.06</f>
        <v>0</v>
      </c>
      <c r="O21" s="179">
        <f t="shared" si="10"/>
        <v>0</v>
      </c>
      <c r="P21" s="180">
        <f t="shared" si="10"/>
        <v>0</v>
      </c>
      <c r="Q21" s="180">
        <f t="shared" si="10"/>
        <v>0</v>
      </c>
      <c r="R21" s="228">
        <f t="shared" si="10"/>
        <v>0</v>
      </c>
      <c r="S21" s="180">
        <f t="shared" si="10"/>
        <v>0</v>
      </c>
      <c r="T21" s="180">
        <f>S21*1.06</f>
        <v>0</v>
      </c>
      <c r="U21" s="180">
        <f>T21*1.06</f>
        <v>0</v>
      </c>
      <c r="V21" s="288">
        <f>U21*1.06</f>
        <v>0</v>
      </c>
      <c r="W21" s="288">
        <f>V21*1.06</f>
        <v>0</v>
      </c>
      <c r="X21" s="288">
        <f t="shared" ref="X21:AB21" si="11">W21*1.06</f>
        <v>0</v>
      </c>
      <c r="Y21" s="288">
        <f t="shared" si="11"/>
        <v>0</v>
      </c>
      <c r="Z21" s="288">
        <f t="shared" si="11"/>
        <v>0</v>
      </c>
      <c r="AA21" s="288">
        <f t="shared" si="11"/>
        <v>0</v>
      </c>
      <c r="AB21" s="288">
        <f t="shared" si="11"/>
        <v>0</v>
      </c>
      <c r="AC21" s="169"/>
    </row>
    <row r="22" spans="1:30" s="215" customFormat="1" ht="13" customHeight="1">
      <c r="A22" s="215" t="s">
        <v>73</v>
      </c>
      <c r="B22" s="215">
        <v>40202</v>
      </c>
      <c r="C22" s="215">
        <v>0</v>
      </c>
      <c r="D22" s="215">
        <v>139142</v>
      </c>
      <c r="E22" s="215">
        <v>0</v>
      </c>
      <c r="F22" s="215">
        <v>23718</v>
      </c>
      <c r="G22" s="215">
        <v>22813</v>
      </c>
      <c r="H22" s="215">
        <v>21909</v>
      </c>
      <c r="I22" s="215">
        <v>21909</v>
      </c>
      <c r="J22" s="215">
        <v>21909</v>
      </c>
      <c r="K22" s="215">
        <v>0</v>
      </c>
      <c r="L22" s="215">
        <v>0</v>
      </c>
      <c r="M22" s="215">
        <v>0</v>
      </c>
      <c r="N22" s="215">
        <f t="shared" ref="N22:W22" si="12">+M22</f>
        <v>0</v>
      </c>
      <c r="O22" s="215">
        <f t="shared" si="12"/>
        <v>0</v>
      </c>
      <c r="P22" s="232">
        <f t="shared" si="12"/>
        <v>0</v>
      </c>
      <c r="Q22" s="232">
        <f t="shared" si="12"/>
        <v>0</v>
      </c>
      <c r="R22" s="247">
        <v>0</v>
      </c>
      <c r="S22" s="232">
        <v>0</v>
      </c>
      <c r="T22" s="232">
        <f t="shared" si="12"/>
        <v>0</v>
      </c>
      <c r="U22" s="232">
        <f t="shared" si="12"/>
        <v>0</v>
      </c>
      <c r="V22" s="290">
        <f t="shared" si="12"/>
        <v>0</v>
      </c>
      <c r="W22" s="290">
        <f t="shared" si="12"/>
        <v>0</v>
      </c>
      <c r="X22" s="291">
        <v>0</v>
      </c>
      <c r="Y22" s="291">
        <v>0</v>
      </c>
      <c r="Z22" s="291">
        <v>0</v>
      </c>
      <c r="AA22" s="291">
        <v>0</v>
      </c>
      <c r="AB22" s="291">
        <v>0</v>
      </c>
      <c r="AC22" s="170">
        <v>0</v>
      </c>
      <c r="AD22" s="274"/>
    </row>
    <row r="23" spans="1:30" s="215" customFormat="1">
      <c r="P23" s="232"/>
      <c r="Q23" s="232"/>
      <c r="R23" s="247"/>
      <c r="S23" s="232"/>
      <c r="T23" s="233">
        <f>(T17-S17)/S17</f>
        <v>6.2310082872928177E-2</v>
      </c>
      <c r="U23" s="233"/>
      <c r="V23" s="290"/>
      <c r="W23" s="292"/>
      <c r="X23" s="265" t="s">
        <v>12</v>
      </c>
      <c r="Y23" s="265" t="s">
        <v>12</v>
      </c>
      <c r="Z23" s="265" t="s">
        <v>12</v>
      </c>
      <c r="AA23" s="170"/>
      <c r="AB23" s="170"/>
      <c r="AC23" s="170"/>
    </row>
    <row r="24" spans="1:30" s="215" customFormat="1">
      <c r="A24" s="234" t="s">
        <v>17</v>
      </c>
      <c r="P24" s="232"/>
      <c r="Q24" s="232"/>
      <c r="R24" s="247"/>
      <c r="S24" s="232"/>
      <c r="T24" s="232"/>
      <c r="U24" s="232"/>
      <c r="V24" s="290"/>
      <c r="W24" s="290"/>
      <c r="X24" s="170"/>
      <c r="Y24" s="170"/>
      <c r="Z24" s="170"/>
      <c r="AA24" s="170"/>
      <c r="AB24" s="170"/>
      <c r="AC24" s="170"/>
    </row>
    <row r="25" spans="1:30" s="215" customFormat="1">
      <c r="A25" s="235" t="s">
        <v>68</v>
      </c>
      <c r="P25" s="232">
        <v>5825</v>
      </c>
      <c r="Q25" s="232">
        <v>2488</v>
      </c>
      <c r="R25" s="247">
        <v>0</v>
      </c>
      <c r="S25" s="232">
        <v>0</v>
      </c>
      <c r="T25" s="232">
        <v>0</v>
      </c>
      <c r="U25" s="232">
        <v>0</v>
      </c>
      <c r="V25" s="290">
        <v>0</v>
      </c>
      <c r="W25" s="290">
        <v>0</v>
      </c>
      <c r="X25" s="290">
        <v>0</v>
      </c>
      <c r="Y25" s="290">
        <v>0</v>
      </c>
      <c r="Z25" s="290">
        <v>0</v>
      </c>
      <c r="AA25" s="290">
        <v>0</v>
      </c>
      <c r="AB25" s="290">
        <v>0</v>
      </c>
      <c r="AC25" s="290">
        <v>0</v>
      </c>
    </row>
    <row r="26" spans="1:30" s="215" customFormat="1">
      <c r="A26" s="235" t="s">
        <v>116</v>
      </c>
      <c r="P26" s="194">
        <v>23700</v>
      </c>
      <c r="Q26" s="194">
        <v>27037</v>
      </c>
      <c r="R26" s="239">
        <v>0</v>
      </c>
      <c r="S26" s="194">
        <v>0</v>
      </c>
      <c r="T26" s="194">
        <v>0</v>
      </c>
      <c r="U26" s="194">
        <v>0</v>
      </c>
      <c r="V26" s="293">
        <v>0</v>
      </c>
      <c r="W26" s="293">
        <v>0</v>
      </c>
      <c r="X26" s="293">
        <v>0</v>
      </c>
      <c r="Y26" s="293">
        <v>0</v>
      </c>
      <c r="Z26" s="293">
        <v>0</v>
      </c>
      <c r="AA26" s="293">
        <v>0</v>
      </c>
      <c r="AB26" s="293">
        <v>0</v>
      </c>
      <c r="AC26" s="293">
        <v>0</v>
      </c>
    </row>
    <row r="27" spans="1:30" s="215" customFormat="1">
      <c r="A27" s="234" t="s">
        <v>62</v>
      </c>
      <c r="P27" s="232">
        <f>SUM(P25:P26)</f>
        <v>29525</v>
      </c>
      <c r="Q27" s="232">
        <f>SUM(Q25:Q26)</f>
        <v>29525</v>
      </c>
      <c r="R27" s="232">
        <f>SUM(R25:R26)</f>
        <v>0</v>
      </c>
      <c r="S27" s="232">
        <f>SUM(S25:S26)</f>
        <v>0</v>
      </c>
      <c r="T27" s="232">
        <f>SUM(T25:T26)</f>
        <v>0</v>
      </c>
      <c r="U27" s="232">
        <v>0</v>
      </c>
      <c r="V27" s="290">
        <v>0</v>
      </c>
      <c r="W27" s="290">
        <v>0</v>
      </c>
      <c r="X27" s="290">
        <v>0</v>
      </c>
      <c r="Y27" s="290">
        <v>0</v>
      </c>
      <c r="Z27" s="290">
        <v>0</v>
      </c>
      <c r="AA27" s="290">
        <v>0</v>
      </c>
      <c r="AB27" s="290">
        <v>0</v>
      </c>
      <c r="AC27" s="290">
        <v>0</v>
      </c>
    </row>
    <row r="28" spans="1:30" s="179" customFormat="1" ht="16" thickBot="1">
      <c r="A28" s="236"/>
      <c r="B28" s="237"/>
      <c r="C28" s="237"/>
      <c r="D28" s="237"/>
      <c r="E28" s="237"/>
      <c r="F28" s="237"/>
      <c r="G28" s="214"/>
      <c r="H28" s="214"/>
      <c r="I28" s="214"/>
      <c r="J28" s="214"/>
      <c r="K28" s="214"/>
      <c r="L28" s="214"/>
      <c r="M28" s="214"/>
      <c r="N28" s="214"/>
      <c r="O28" s="214"/>
      <c r="P28" s="229"/>
      <c r="Q28" s="229"/>
      <c r="R28" s="229"/>
      <c r="S28" s="229"/>
      <c r="T28" s="229"/>
      <c r="U28" s="229"/>
      <c r="V28" s="294" t="s">
        <v>12</v>
      </c>
      <c r="W28" s="295"/>
      <c r="X28" s="295"/>
      <c r="Y28" s="295"/>
      <c r="Z28" s="295"/>
      <c r="AA28" s="295"/>
      <c r="AB28" s="295"/>
      <c r="AC28" s="295"/>
    </row>
    <row r="29" spans="1:30" s="179" customFormat="1">
      <c r="P29" s="180"/>
      <c r="Q29" s="180"/>
      <c r="R29" s="180"/>
      <c r="S29" s="180"/>
      <c r="T29" s="180"/>
      <c r="U29" s="180"/>
      <c r="V29" s="288"/>
      <c r="W29" s="288"/>
      <c r="X29" s="288"/>
      <c r="Y29" s="288"/>
      <c r="Z29" s="288"/>
      <c r="AA29" s="288"/>
      <c r="AB29" s="288"/>
      <c r="AC29" s="288"/>
    </row>
    <row r="30" spans="1:30" s="125" customFormat="1" ht="13" thickBot="1">
      <c r="A30" s="125" t="s">
        <v>22</v>
      </c>
      <c r="B30" s="127">
        <f>SUM(B16:B29)</f>
        <v>11683124</v>
      </c>
      <c r="C30" s="127">
        <f>SUM(C16:C28)</f>
        <v>8299780</v>
      </c>
      <c r="D30" s="127">
        <f>SUM(D16:D29)</f>
        <v>8733477</v>
      </c>
      <c r="E30" s="127">
        <f t="shared" ref="E30:S30" si="13">SUM(E16:E29)</f>
        <v>8917214</v>
      </c>
      <c r="F30" s="127">
        <f t="shared" si="13"/>
        <v>9549839</v>
      </c>
      <c r="G30" s="127">
        <f t="shared" si="13"/>
        <v>9475755</v>
      </c>
      <c r="H30" s="127">
        <f t="shared" si="13"/>
        <v>10171060</v>
      </c>
      <c r="I30" s="127">
        <f t="shared" si="13"/>
        <v>10934746</v>
      </c>
      <c r="J30" s="127">
        <f t="shared" si="13"/>
        <v>11452141</v>
      </c>
      <c r="K30" s="127">
        <f t="shared" si="13"/>
        <v>13437241</v>
      </c>
      <c r="L30" s="127">
        <f t="shared" si="13"/>
        <v>13122353</v>
      </c>
      <c r="M30" s="127">
        <f t="shared" si="13"/>
        <v>11504382</v>
      </c>
      <c r="N30" s="127">
        <f t="shared" si="13"/>
        <v>12753300</v>
      </c>
      <c r="O30" s="127">
        <f t="shared" si="13"/>
        <v>11529104</v>
      </c>
      <c r="P30" s="110">
        <f>SUM(P16:P26)</f>
        <v>4053656</v>
      </c>
      <c r="Q30" s="110">
        <f>SUM(Q16:Q26)</f>
        <v>4466151</v>
      </c>
      <c r="R30" s="110">
        <f t="shared" si="13"/>
        <v>3976750.76</v>
      </c>
      <c r="S30" s="110">
        <f t="shared" si="13"/>
        <v>3667571</v>
      </c>
      <c r="T30" s="110">
        <f>SUM(T16:T26)-2</f>
        <v>4110205.0623100828</v>
      </c>
      <c r="U30" s="110">
        <f t="shared" ref="U30:Z30" si="14">SUM(U16:U29)</f>
        <v>6905682</v>
      </c>
      <c r="V30" s="297">
        <f t="shared" si="14"/>
        <v>7314085</v>
      </c>
      <c r="W30" s="297">
        <f t="shared" si="14"/>
        <v>6592618</v>
      </c>
      <c r="X30" s="297">
        <f t="shared" si="14"/>
        <v>5031628</v>
      </c>
      <c r="Y30" s="297">
        <f t="shared" si="14"/>
        <v>5159347.54</v>
      </c>
      <c r="Z30" s="297">
        <f t="shared" si="14"/>
        <v>5305174.2428000001</v>
      </c>
      <c r="AA30" s="297">
        <f t="shared" ref="AA30:AB30" si="15">SUM(AA16:AA29)</f>
        <v>5657209.6811760003</v>
      </c>
      <c r="AB30" s="297">
        <f t="shared" si="15"/>
        <v>5815851.0967811206</v>
      </c>
      <c r="AC30" s="297">
        <f t="shared" ref="AC30" si="16">SUM(AC16:AC29)</f>
        <v>5981529.298199391</v>
      </c>
    </row>
    <row r="31" spans="1:30" s="125" customFormat="1" ht="1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95"/>
      <c r="Q31" s="95"/>
      <c r="R31" s="95"/>
      <c r="S31" s="95"/>
      <c r="T31" s="95"/>
      <c r="U31" s="95"/>
      <c r="V31" s="296"/>
      <c r="W31" s="296"/>
      <c r="X31" s="296"/>
      <c r="Y31" s="296"/>
      <c r="Z31" s="296"/>
      <c r="AA31" s="169"/>
      <c r="AB31" s="169"/>
      <c r="AC31" s="169"/>
    </row>
    <row r="32" spans="1:30" s="125" customFormat="1" ht="13">
      <c r="A32" s="26" t="s">
        <v>74</v>
      </c>
      <c r="B32" s="128">
        <f>+B12-B30</f>
        <v>-1448779</v>
      </c>
      <c r="C32" s="128">
        <f>+C12-C30</f>
        <v>1592410</v>
      </c>
      <c r="D32" s="128">
        <f>+D12-D30</f>
        <v>1393801</v>
      </c>
      <c r="E32" s="128">
        <f t="shared" ref="E32:M32" si="17">+E12-E30</f>
        <v>1593786</v>
      </c>
      <c r="F32" s="128">
        <f t="shared" si="17"/>
        <v>1519413</v>
      </c>
      <c r="G32" s="128">
        <f t="shared" si="17"/>
        <v>3395468</v>
      </c>
      <c r="H32" s="128">
        <f t="shared" si="17"/>
        <v>3260151</v>
      </c>
      <c r="I32" s="128">
        <f t="shared" si="17"/>
        <v>2187750</v>
      </c>
      <c r="J32" s="128">
        <f t="shared" si="17"/>
        <v>2480120</v>
      </c>
      <c r="K32" s="128">
        <f t="shared" si="17"/>
        <v>-271543</v>
      </c>
      <c r="L32" s="128">
        <f t="shared" si="17"/>
        <v>446344</v>
      </c>
      <c r="M32" s="128">
        <f t="shared" si="17"/>
        <v>1689800</v>
      </c>
      <c r="N32" s="128">
        <f t="shared" ref="N32:S32" si="18">+N12-N30</f>
        <v>280919</v>
      </c>
      <c r="O32" s="128">
        <f t="shared" si="18"/>
        <v>2149549</v>
      </c>
      <c r="P32" s="114">
        <f t="shared" si="18"/>
        <v>174</v>
      </c>
      <c r="Q32" s="114">
        <f t="shared" si="18"/>
        <v>-331776</v>
      </c>
      <c r="R32" s="114">
        <f t="shared" si="18"/>
        <v>150652.45000000019</v>
      </c>
      <c r="S32" s="114">
        <f t="shared" si="18"/>
        <v>251415</v>
      </c>
      <c r="T32" s="114">
        <f t="shared" ref="T32:AA32" si="19">+T12-T30</f>
        <v>245905.93768991716</v>
      </c>
      <c r="U32" s="114">
        <f t="shared" si="19"/>
        <v>-2262381</v>
      </c>
      <c r="V32" s="298">
        <f t="shared" si="19"/>
        <v>-2057027</v>
      </c>
      <c r="W32" s="298">
        <f t="shared" si="19"/>
        <v>21449</v>
      </c>
      <c r="X32" s="298">
        <f t="shared" si="19"/>
        <v>1975000</v>
      </c>
      <c r="Y32" s="298">
        <f t="shared" si="19"/>
        <v>2101370.1959999995</v>
      </c>
      <c r="Z32" s="298">
        <f t="shared" si="19"/>
        <v>1984085.9641439999</v>
      </c>
      <c r="AA32" s="298">
        <f t="shared" si="19"/>
        <v>1768646.4696999351</v>
      </c>
      <c r="AB32" s="298">
        <f t="shared" ref="AB32:AC32" si="20">+AB12-AB30</f>
        <v>1807803.1701684641</v>
      </c>
      <c r="AC32" s="298">
        <f t="shared" si="20"/>
        <v>1045263.6339578321</v>
      </c>
    </row>
    <row r="33" spans="1:30" s="125" customFormat="1" ht="14" customHeight="1">
      <c r="A33" s="13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14"/>
      <c r="Q33" s="114"/>
      <c r="R33" s="114"/>
      <c r="S33" s="114"/>
      <c r="T33" s="114"/>
      <c r="U33" s="114"/>
      <c r="V33" s="114"/>
      <c r="W33" s="114"/>
    </row>
    <row r="34" spans="1:30" s="125" customFormat="1" ht="20" customHeight="1">
      <c r="A34" s="220" t="s">
        <v>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96"/>
      <c r="Q34" s="96"/>
      <c r="R34" s="96"/>
      <c r="S34" s="96"/>
      <c r="T34" s="96"/>
      <c r="U34" s="96"/>
      <c r="V34" s="97"/>
      <c r="W34" s="96"/>
    </row>
    <row r="35" spans="1:30" s="125" customFormat="1" ht="20" customHeight="1">
      <c r="A35" s="220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96"/>
      <c r="Q35" s="96"/>
      <c r="R35" s="96"/>
      <c r="S35" s="96"/>
      <c r="T35" s="96"/>
      <c r="U35" s="96"/>
      <c r="V35" s="96"/>
      <c r="W35" s="96"/>
    </row>
    <row r="36" spans="1:30" s="125" customFormat="1">
      <c r="A36" s="125" t="s">
        <v>77</v>
      </c>
      <c r="P36" s="124">
        <v>85391</v>
      </c>
      <c r="Q36" s="124"/>
      <c r="R36" s="124">
        <v>0</v>
      </c>
      <c r="S36" s="124">
        <v>1300</v>
      </c>
      <c r="T36" s="124">
        <v>0</v>
      </c>
      <c r="U36" s="124">
        <v>0</v>
      </c>
      <c r="V36" s="124">
        <v>0</v>
      </c>
      <c r="W36" s="124">
        <v>4500</v>
      </c>
      <c r="X36" s="125">
        <v>0</v>
      </c>
      <c r="Y36" s="125">
        <v>0</v>
      </c>
      <c r="Z36" s="125">
        <v>0</v>
      </c>
      <c r="AA36" s="125">
        <v>0</v>
      </c>
      <c r="AB36" s="125">
        <v>0</v>
      </c>
      <c r="AC36" s="125">
        <v>0</v>
      </c>
    </row>
    <row r="37" spans="1:30" s="125" customFormat="1">
      <c r="A37" s="177" t="s">
        <v>133</v>
      </c>
      <c r="P37" s="124"/>
      <c r="Q37" s="124"/>
      <c r="R37" s="124"/>
      <c r="S37" s="124"/>
      <c r="T37" s="124">
        <v>7500000</v>
      </c>
      <c r="U37" s="124"/>
      <c r="V37" s="124"/>
      <c r="W37" s="124"/>
    </row>
    <row r="38" spans="1:30" s="125" customFormat="1">
      <c r="A38" s="125" t="s">
        <v>121</v>
      </c>
      <c r="P38" s="124"/>
      <c r="Q38" s="124"/>
      <c r="R38" s="124">
        <v>0</v>
      </c>
      <c r="S38" s="124">
        <v>0</v>
      </c>
      <c r="T38" s="124"/>
      <c r="U38" s="124">
        <v>0</v>
      </c>
      <c r="V38" s="124">
        <v>0</v>
      </c>
      <c r="W38" s="124">
        <v>0</v>
      </c>
      <c r="X38" s="281">
        <v>-4136703</v>
      </c>
      <c r="Y38" s="281">
        <v>-1417317</v>
      </c>
      <c r="Z38" s="281">
        <v>-2765422</v>
      </c>
      <c r="AA38" s="281">
        <v>0</v>
      </c>
      <c r="AB38" s="281">
        <v>0</v>
      </c>
      <c r="AC38" s="281">
        <v>0</v>
      </c>
      <c r="AD38" s="282"/>
    </row>
    <row r="39" spans="1:30" s="125" customFormat="1" ht="16" thickBot="1">
      <c r="A39" s="125" t="s">
        <v>26</v>
      </c>
      <c r="B39" s="24"/>
      <c r="C39" s="127">
        <v>-1384596</v>
      </c>
      <c r="D39" s="127">
        <v>-3126846</v>
      </c>
      <c r="E39" s="127">
        <v>-1500000</v>
      </c>
      <c r="F39" s="127">
        <v>-699882</v>
      </c>
      <c r="G39" s="24"/>
      <c r="H39" s="24"/>
      <c r="I39" s="24"/>
      <c r="J39" s="24"/>
      <c r="K39" s="127"/>
      <c r="L39" s="127">
        <v>0</v>
      </c>
      <c r="M39" s="127">
        <v>0</v>
      </c>
      <c r="N39" s="127">
        <v>0</v>
      </c>
      <c r="O39" s="127">
        <v>0</v>
      </c>
      <c r="P39" s="110">
        <v>0</v>
      </c>
      <c r="Q39" s="110">
        <v>0</v>
      </c>
      <c r="R39" s="110">
        <v>0</v>
      </c>
      <c r="S39" s="110">
        <v>0</v>
      </c>
      <c r="T39" s="110">
        <v>-412500</v>
      </c>
      <c r="U39" s="110">
        <v>-800700</v>
      </c>
      <c r="V39" s="110">
        <v>-801100</v>
      </c>
      <c r="W39" s="110">
        <v>-884888</v>
      </c>
      <c r="X39" s="110">
        <v>-798943</v>
      </c>
      <c r="Y39" s="110">
        <v>-797218</v>
      </c>
      <c r="Z39" s="110">
        <v>-762743</v>
      </c>
      <c r="AA39" s="110">
        <v>-799543</v>
      </c>
      <c r="AB39" s="110">
        <v>-799643</v>
      </c>
      <c r="AC39" s="110">
        <v>-798743</v>
      </c>
    </row>
    <row r="40" spans="1:30" s="177" customFormat="1" ht="33" customHeight="1" thickBot="1">
      <c r="A40" s="203" t="s">
        <v>96</v>
      </c>
      <c r="B40" s="29"/>
      <c r="C40" s="160"/>
      <c r="D40" s="160"/>
      <c r="E40" s="160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04">
        <f>SUM(P36:P39)</f>
        <v>85391</v>
      </c>
      <c r="Q40" s="204">
        <f t="shared" ref="Q40:V40" si="21">SUM(Q36:Q39)</f>
        <v>0</v>
      </c>
      <c r="R40" s="204">
        <f t="shared" si="21"/>
        <v>0</v>
      </c>
      <c r="S40" s="204">
        <f t="shared" si="21"/>
        <v>1300</v>
      </c>
      <c r="T40" s="204">
        <f t="shared" si="21"/>
        <v>7087500</v>
      </c>
      <c r="U40" s="204">
        <f t="shared" si="21"/>
        <v>-800700</v>
      </c>
      <c r="V40" s="204">
        <f t="shared" si="21"/>
        <v>-801100</v>
      </c>
      <c r="W40" s="204">
        <f t="shared" ref="W40:AB40" si="22">SUM(W36:W39)</f>
        <v>-880388</v>
      </c>
      <c r="X40" s="204">
        <f t="shared" si="22"/>
        <v>-4935646</v>
      </c>
      <c r="Y40" s="204">
        <f t="shared" si="22"/>
        <v>-2214535</v>
      </c>
      <c r="Z40" s="204">
        <f t="shared" si="22"/>
        <v>-3528165</v>
      </c>
      <c r="AA40" s="204">
        <f t="shared" si="22"/>
        <v>-799543</v>
      </c>
      <c r="AB40" s="204">
        <f t="shared" si="22"/>
        <v>-799643</v>
      </c>
      <c r="AC40" s="204">
        <f t="shared" ref="AC40" si="23">SUM(AC36:AC39)</f>
        <v>-798743</v>
      </c>
    </row>
    <row r="41" spans="1:30" s="125" customFormat="1" ht="15">
      <c r="A41" s="136"/>
      <c r="B41" s="29"/>
      <c r="C41" s="128"/>
      <c r="D41" s="128"/>
      <c r="E41" s="1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</row>
    <row r="42" spans="1:30" s="125" customFormat="1">
      <c r="A42" s="13" t="s">
        <v>89</v>
      </c>
      <c r="B42" s="125">
        <f>SUM(B32:B39)</f>
        <v>-1448779</v>
      </c>
      <c r="C42" s="125">
        <f t="shared" ref="C42:M42" si="24">SUM(C32:C39)</f>
        <v>207814</v>
      </c>
      <c r="D42" s="125">
        <f t="shared" si="24"/>
        <v>-1733045</v>
      </c>
      <c r="E42" s="125">
        <f t="shared" si="24"/>
        <v>93786</v>
      </c>
      <c r="F42" s="125">
        <f t="shared" si="24"/>
        <v>819531</v>
      </c>
      <c r="G42" s="125">
        <f t="shared" si="24"/>
        <v>3395468</v>
      </c>
      <c r="H42" s="125">
        <f t="shared" si="24"/>
        <v>3260151</v>
      </c>
      <c r="I42" s="125">
        <f t="shared" si="24"/>
        <v>2187750</v>
      </c>
      <c r="J42" s="125">
        <f t="shared" si="24"/>
        <v>2480120</v>
      </c>
      <c r="K42" s="125">
        <f t="shared" si="24"/>
        <v>-271543</v>
      </c>
      <c r="L42" s="125">
        <f t="shared" si="24"/>
        <v>446344</v>
      </c>
      <c r="M42" s="125">
        <f t="shared" si="24"/>
        <v>1689800</v>
      </c>
      <c r="N42" s="125">
        <f t="shared" ref="N42:V42" si="25">SUM(N32:N39)</f>
        <v>280919</v>
      </c>
      <c r="O42" s="125">
        <f t="shared" si="25"/>
        <v>2149549</v>
      </c>
      <c r="P42" s="124">
        <f t="shared" si="25"/>
        <v>85565</v>
      </c>
      <c r="Q42" s="124">
        <f t="shared" si="25"/>
        <v>-331776</v>
      </c>
      <c r="R42" s="124">
        <f>SUM(R32:R39)</f>
        <v>150652.45000000019</v>
      </c>
      <c r="S42" s="124">
        <f t="shared" si="25"/>
        <v>252715</v>
      </c>
      <c r="T42" s="124">
        <f t="shared" si="25"/>
        <v>7333405.9376899172</v>
      </c>
      <c r="U42" s="124">
        <f t="shared" si="25"/>
        <v>-3063081</v>
      </c>
      <c r="V42" s="124">
        <f t="shared" si="25"/>
        <v>-2858127</v>
      </c>
      <c r="W42" s="124">
        <f t="shared" ref="W42:AB42" si="26">SUM(W32:W39)</f>
        <v>-858939</v>
      </c>
      <c r="X42" s="124">
        <f t="shared" si="26"/>
        <v>-2960646</v>
      </c>
      <c r="Y42" s="124">
        <f t="shared" si="26"/>
        <v>-113164.80400000047</v>
      </c>
      <c r="Z42" s="124">
        <f t="shared" si="26"/>
        <v>-1544079.0358560001</v>
      </c>
      <c r="AA42" s="124">
        <f t="shared" si="26"/>
        <v>969103.46969993506</v>
      </c>
      <c r="AB42" s="124">
        <f t="shared" si="26"/>
        <v>1008160.1701684641</v>
      </c>
      <c r="AC42" s="124">
        <f t="shared" ref="AC42" si="27">SUM(AC32:AC39)</f>
        <v>246520.63395783212</v>
      </c>
    </row>
    <row r="43" spans="1:30" s="125" customFormat="1"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</row>
    <row r="44" spans="1:30" s="125" customFormat="1">
      <c r="A44" s="222" t="s">
        <v>47</v>
      </c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</row>
    <row r="45" spans="1:30" s="125" customFormat="1" ht="15">
      <c r="G45" s="2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</row>
    <row r="46" spans="1:30" s="125" customFormat="1">
      <c r="A46" s="125" t="s">
        <v>48</v>
      </c>
      <c r="B46" s="125">
        <v>6950810</v>
      </c>
      <c r="C46" s="125">
        <f>+B48</f>
        <v>5502031</v>
      </c>
      <c r="D46" s="125">
        <f t="shared" ref="D46:W46" si="28">+C48</f>
        <v>5709845</v>
      </c>
      <c r="E46" s="125">
        <f t="shared" si="28"/>
        <v>3976800</v>
      </c>
      <c r="F46" s="125">
        <f t="shared" si="28"/>
        <v>4070586</v>
      </c>
      <c r="G46" s="125">
        <v>4890116</v>
      </c>
      <c r="H46" s="125">
        <f t="shared" si="28"/>
        <v>8285584</v>
      </c>
      <c r="I46" s="125">
        <f t="shared" si="28"/>
        <v>11545735</v>
      </c>
      <c r="J46" s="125">
        <f t="shared" si="28"/>
        <v>13733485</v>
      </c>
      <c r="K46" s="125">
        <f t="shared" si="28"/>
        <v>16213605</v>
      </c>
      <c r="L46" s="125">
        <f t="shared" si="28"/>
        <v>15942062</v>
      </c>
      <c r="M46" s="125">
        <f t="shared" si="28"/>
        <v>16388406</v>
      </c>
      <c r="N46" s="125">
        <f t="shared" si="28"/>
        <v>18078206</v>
      </c>
      <c r="O46" s="125">
        <f t="shared" si="28"/>
        <v>18359125</v>
      </c>
      <c r="P46" s="124">
        <v>2996971</v>
      </c>
      <c r="Q46" s="124">
        <f t="shared" si="28"/>
        <v>3082536</v>
      </c>
      <c r="R46" s="238">
        <f>2033790.49</f>
        <v>2033790.49</v>
      </c>
      <c r="S46" s="124">
        <f t="shared" si="28"/>
        <v>2184441.9400000004</v>
      </c>
      <c r="T46" s="124">
        <f t="shared" si="28"/>
        <v>2437156.9400000004</v>
      </c>
      <c r="U46" s="124">
        <f>+T48+2</f>
        <v>9770564.8776899166</v>
      </c>
      <c r="V46" s="124">
        <f t="shared" si="28"/>
        <v>6707483.8776899166</v>
      </c>
      <c r="W46" s="124">
        <f t="shared" si="28"/>
        <v>3849356.8776899166</v>
      </c>
      <c r="X46" s="124">
        <f t="shared" ref="X46:AC46" si="29">+W48</f>
        <v>2990417.8776899166</v>
      </c>
      <c r="Y46" s="124">
        <f t="shared" si="29"/>
        <v>29771.877689916641</v>
      </c>
      <c r="Z46" s="124">
        <f t="shared" si="29"/>
        <v>-83392.926310083829</v>
      </c>
      <c r="AA46" s="124">
        <f t="shared" si="29"/>
        <v>-1627471.962166084</v>
      </c>
      <c r="AB46" s="124">
        <f t="shared" si="29"/>
        <v>-658368.49246614892</v>
      </c>
      <c r="AC46" s="124">
        <f t="shared" si="29"/>
        <v>349791.67770231515</v>
      </c>
    </row>
    <row r="47" spans="1:30" s="125" customFormat="1"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</row>
    <row r="48" spans="1:30" s="125" customFormat="1" ht="13" thickBot="1">
      <c r="A48" s="125" t="s">
        <v>41</v>
      </c>
      <c r="B48" s="129">
        <f>+B42+B46</f>
        <v>5502031</v>
      </c>
      <c r="C48" s="129">
        <f t="shared" ref="C48:M48" si="30">+C42+C46</f>
        <v>5709845</v>
      </c>
      <c r="D48" s="129">
        <f t="shared" si="30"/>
        <v>3976800</v>
      </c>
      <c r="E48" s="129">
        <f t="shared" si="30"/>
        <v>4070586</v>
      </c>
      <c r="F48" s="129">
        <f t="shared" si="30"/>
        <v>4890117</v>
      </c>
      <c r="G48" s="129">
        <f t="shared" si="30"/>
        <v>8285584</v>
      </c>
      <c r="H48" s="129">
        <f t="shared" si="30"/>
        <v>11545735</v>
      </c>
      <c r="I48" s="129">
        <f t="shared" si="30"/>
        <v>13733485</v>
      </c>
      <c r="J48" s="129">
        <f t="shared" si="30"/>
        <v>16213605</v>
      </c>
      <c r="K48" s="129">
        <f t="shared" si="30"/>
        <v>15942062</v>
      </c>
      <c r="L48" s="129">
        <f t="shared" si="30"/>
        <v>16388406</v>
      </c>
      <c r="M48" s="129">
        <f t="shared" si="30"/>
        <v>18078206</v>
      </c>
      <c r="N48" s="129">
        <f>+N42+N46</f>
        <v>18359125</v>
      </c>
      <c r="O48" s="129">
        <f>+O42+O46</f>
        <v>20508674</v>
      </c>
      <c r="P48" s="116">
        <f>+P42+P46</f>
        <v>3082536</v>
      </c>
      <c r="Q48" s="116">
        <f>+Q42+Q46</f>
        <v>2750760</v>
      </c>
      <c r="R48" s="116">
        <f>R42+R46-1</f>
        <v>2184441.9400000004</v>
      </c>
      <c r="S48" s="116">
        <f>S42+S46</f>
        <v>2437156.9400000004</v>
      </c>
      <c r="T48" s="116">
        <f t="shared" ref="T48:Z48" si="31">+T42+T46</f>
        <v>9770562.8776899166</v>
      </c>
      <c r="U48" s="116">
        <f t="shared" si="31"/>
        <v>6707483.8776899166</v>
      </c>
      <c r="V48" s="116">
        <f t="shared" si="31"/>
        <v>3849356.8776899166</v>
      </c>
      <c r="W48" s="116">
        <f t="shared" si="31"/>
        <v>2990417.8776899166</v>
      </c>
      <c r="X48" s="116">
        <f t="shared" si="31"/>
        <v>29771.877689916641</v>
      </c>
      <c r="Y48" s="116">
        <f t="shared" si="31"/>
        <v>-83392.926310083829</v>
      </c>
      <c r="Z48" s="116">
        <f t="shared" si="31"/>
        <v>-1627471.962166084</v>
      </c>
      <c r="AA48" s="116">
        <f t="shared" ref="AA48:AB48" si="32">+AA42+AA46</f>
        <v>-658368.49246614892</v>
      </c>
      <c r="AB48" s="116">
        <f t="shared" si="32"/>
        <v>349791.67770231515</v>
      </c>
      <c r="AC48" s="116">
        <f t="shared" ref="AC48" si="33">+AC42+AC46</f>
        <v>596312.31166014727</v>
      </c>
    </row>
    <row r="49" spans="1:29" ht="13" thickTop="1">
      <c r="B49" s="10"/>
      <c r="C49" s="10"/>
      <c r="D49" s="10"/>
      <c r="E49" s="10"/>
      <c r="F49" s="10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29" ht="36">
      <c r="A50" s="67" t="s">
        <v>29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77">
        <f>+P48/P30</f>
        <v>0.76043354443494959</v>
      </c>
      <c r="Q50" s="77">
        <f>+Q48/Q30</f>
        <v>0.61591289680980332</v>
      </c>
      <c r="R50" s="77">
        <f>R48/R30</f>
        <v>0.54930320551444378</v>
      </c>
      <c r="S50" s="77">
        <f t="shared" ref="S50:X50" si="34">S48/S30</f>
        <v>0.66451527182432202</v>
      </c>
      <c r="T50" s="77">
        <f t="shared" si="34"/>
        <v>2.3771473027670571</v>
      </c>
      <c r="U50" s="77">
        <f>U48/(U30-U39)</f>
        <v>0.87038040388990801</v>
      </c>
      <c r="V50" s="77">
        <f t="shared" si="34"/>
        <v>0.52629370286097532</v>
      </c>
      <c r="W50" s="77">
        <f t="shared" si="34"/>
        <v>0.45360096363689156</v>
      </c>
      <c r="X50" s="77">
        <f t="shared" si="34"/>
        <v>5.9169472961666959E-3</v>
      </c>
      <c r="Y50" s="77">
        <f>Y48/Y30</f>
        <v>-1.6163463628597469E-2</v>
      </c>
      <c r="Z50" s="77">
        <f>Z48/Z30</f>
        <v>-0.3067706898364051</v>
      </c>
      <c r="AA50" s="77">
        <f>AA48/AA30</f>
        <v>-0.11637689418810612</v>
      </c>
      <c r="AB50" s="77">
        <f>AB48/AB30</f>
        <v>6.0144538070431887E-2</v>
      </c>
      <c r="AC50" s="77">
        <f>AC48/AC30</f>
        <v>9.969228301525733E-2</v>
      </c>
    </row>
    <row r="51" spans="1:29">
      <c r="A51" s="21"/>
      <c r="E51" s="10"/>
      <c r="F51" s="10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U51" s="155" t="s">
        <v>148</v>
      </c>
      <c r="V51" s="155" t="s">
        <v>160</v>
      </c>
      <c r="W51" s="159" t="s">
        <v>169</v>
      </c>
      <c r="X51" s="159" t="s">
        <v>175</v>
      </c>
      <c r="Y51" s="159" t="s">
        <v>140</v>
      </c>
      <c r="Z51" s="159" t="s">
        <v>141</v>
      </c>
      <c r="AA51" s="159" t="s">
        <v>149</v>
      </c>
      <c r="AB51" s="159" t="s">
        <v>163</v>
      </c>
      <c r="AC51" s="159" t="s">
        <v>166</v>
      </c>
    </row>
    <row r="52" spans="1:29" hidden="1">
      <c r="A52" s="21"/>
      <c r="E52" s="10"/>
      <c r="F52" s="10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29" ht="31" hidden="1" thickBot="1">
      <c r="A53" s="69" t="s">
        <v>24</v>
      </c>
      <c r="B53" s="22">
        <f>+B39/12</f>
        <v>0</v>
      </c>
      <c r="C53" s="22">
        <f>+C39/12</f>
        <v>-115383</v>
      </c>
      <c r="D53" s="70">
        <f>+D48/(+D30/365)</f>
        <v>166.20322009206643</v>
      </c>
      <c r="E53" s="70">
        <f t="shared" ref="E53:M53" si="35">+E48/(+E30/365)</f>
        <v>166.61749846981354</v>
      </c>
      <c r="F53" s="70">
        <f t="shared" si="35"/>
        <v>186.90291061451401</v>
      </c>
      <c r="G53" s="70">
        <f t="shared" si="35"/>
        <v>319.15537706494098</v>
      </c>
      <c r="H53" s="70">
        <f t="shared" si="35"/>
        <v>414.33176827194018</v>
      </c>
      <c r="I53" s="70">
        <f t="shared" si="35"/>
        <v>458.42144161373295</v>
      </c>
      <c r="J53" s="70">
        <f t="shared" si="35"/>
        <v>516.75628382500702</v>
      </c>
      <c r="K53" s="70">
        <f t="shared" si="35"/>
        <v>433.03923997493234</v>
      </c>
      <c r="L53" s="70">
        <f t="shared" si="35"/>
        <v>455.84570008138024</v>
      </c>
      <c r="M53" s="70">
        <f t="shared" si="35"/>
        <v>573.56798392125711</v>
      </c>
      <c r="N53" s="70">
        <f t="shared" ref="N53:S53" si="36">+N48/(+N30/365)</f>
        <v>525.4389550155646</v>
      </c>
      <c r="O53" s="70">
        <f t="shared" si="36"/>
        <v>649.28428176205193</v>
      </c>
      <c r="P53" s="70">
        <f t="shared" si="36"/>
        <v>277.55824371875661</v>
      </c>
      <c r="Q53" s="70">
        <f t="shared" si="36"/>
        <v>224.80820733557823</v>
      </c>
      <c r="R53" s="158">
        <f t="shared" si="36"/>
        <v>200.495670012772</v>
      </c>
      <c r="S53" s="158">
        <f t="shared" si="36"/>
        <v>242.54807421587753</v>
      </c>
      <c r="T53" s="158">
        <f>+T48/(+T30/365)</f>
        <v>867.65876550997575</v>
      </c>
      <c r="U53" s="158">
        <f>+U48/(+U30/365)</f>
        <v>354.52423313972747</v>
      </c>
    </row>
    <row r="54" spans="1:29" hidden="1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29" hidden="1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29" hidden="1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29" hidden="1"/>
    <row r="58" spans="1:29" hidden="1"/>
    <row r="59" spans="1:29" hidden="1"/>
    <row r="60" spans="1:29" hidden="1"/>
    <row r="61" spans="1:29" hidden="1"/>
    <row r="62" spans="1:29" hidden="1"/>
    <row r="63" spans="1:29" hidden="1"/>
    <row r="64" spans="1:29" hidden="1"/>
    <row r="65" hidden="1"/>
    <row r="66" hidden="1"/>
    <row r="67" hidden="1"/>
    <row r="68" hidden="1"/>
    <row r="131" spans="16:27">
      <c r="P131" s="9" t="s">
        <v>99</v>
      </c>
      <c r="Q131" s="131" t="s">
        <v>100</v>
      </c>
      <c r="R131" s="171" t="s">
        <v>101</v>
      </c>
      <c r="S131" s="171" t="s">
        <v>104</v>
      </c>
      <c r="T131" s="171" t="s">
        <v>106</v>
      </c>
      <c r="U131" s="171" t="s">
        <v>14</v>
      </c>
      <c r="V131" s="169" t="s">
        <v>21</v>
      </c>
      <c r="W131" s="178" t="s">
        <v>153</v>
      </c>
      <c r="X131" s="178" t="s">
        <v>154</v>
      </c>
      <c r="Y131" s="178" t="s">
        <v>134</v>
      </c>
      <c r="Z131" s="178" t="s">
        <v>137</v>
      </c>
      <c r="AA131" s="178" t="s">
        <v>151</v>
      </c>
    </row>
  </sheetData>
  <phoneticPr fontId="0" type="noConversion"/>
  <pageMargins left="0.4" right="0.4" top="1.25" bottom="0.5" header="0.5" footer="0.25"/>
  <pageSetup scale="69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Projections_x000D__x000D_</oddHeader>
  </headerFooter>
  <ignoredErrors>
    <ignoredError sqref="R40:X40" emptyCellReference="1"/>
    <ignoredError sqref="T30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AC131"/>
  <sheetViews>
    <sheetView view="pageLayout" zoomScale="125" zoomScaleNormal="125" zoomScalePageLayoutView="125" workbookViewId="0">
      <selection activeCell="AC41" sqref="AC41"/>
    </sheetView>
  </sheetViews>
  <sheetFormatPr baseColWidth="10" defaultColWidth="9.1640625" defaultRowHeight="12" x14ac:dyDescent="0"/>
  <cols>
    <col min="1" max="1" width="29" style="9" customWidth="1"/>
    <col min="2" max="10" width="18.6640625" style="9" hidden="1" customWidth="1"/>
    <col min="11" max="11" width="19.83203125" style="9" hidden="1" customWidth="1"/>
    <col min="12" max="15" width="18.6640625" style="9" hidden="1" customWidth="1"/>
    <col min="16" max="16" width="19" style="9" hidden="1" customWidth="1"/>
    <col min="17" max="17" width="21.33203125" style="9" hidden="1" customWidth="1"/>
    <col min="18" max="21" width="15" style="9" hidden="1" customWidth="1"/>
    <col min="22" max="28" width="14" style="9" customWidth="1"/>
    <col min="29" max="29" width="13.83203125" style="9" customWidth="1"/>
    <col min="30" max="16384" width="9.1640625" style="9"/>
  </cols>
  <sheetData>
    <row r="1" spans="1:29" ht="38" customHeight="1">
      <c r="A1" s="106" t="s">
        <v>13</v>
      </c>
      <c r="B1" s="2" t="s">
        <v>44</v>
      </c>
      <c r="C1" s="3" t="s">
        <v>9</v>
      </c>
      <c r="D1" s="3" t="s">
        <v>56</v>
      </c>
      <c r="E1" s="3" t="s">
        <v>57</v>
      </c>
      <c r="F1" s="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3" t="s">
        <v>33</v>
      </c>
      <c r="S1" s="3" t="s">
        <v>39</v>
      </c>
      <c r="T1" s="3" t="s">
        <v>111</v>
      </c>
      <c r="U1" s="153" t="s">
        <v>129</v>
      </c>
      <c r="V1" s="153" t="s">
        <v>130</v>
      </c>
      <c r="W1" s="156" t="s">
        <v>131</v>
      </c>
      <c r="X1" s="156" t="s">
        <v>132</v>
      </c>
      <c r="Y1" s="156" t="s">
        <v>134</v>
      </c>
      <c r="Z1" s="156" t="s">
        <v>137</v>
      </c>
      <c r="AA1" s="156" t="s">
        <v>151</v>
      </c>
      <c r="AB1" s="156" t="s">
        <v>159</v>
      </c>
      <c r="AC1" s="156" t="s">
        <v>167</v>
      </c>
    </row>
    <row r="2" spans="1:29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4" t="s">
        <v>127</v>
      </c>
      <c r="Y2" s="157" t="s">
        <v>128</v>
      </c>
      <c r="Z2" s="157" t="s">
        <v>128</v>
      </c>
      <c r="AA2" s="157" t="s">
        <v>128</v>
      </c>
      <c r="AB2" s="157" t="s">
        <v>128</v>
      </c>
      <c r="AC2" s="157" t="s">
        <v>128</v>
      </c>
    </row>
    <row r="3" spans="1:29">
      <c r="A3" s="1" t="s">
        <v>92</v>
      </c>
    </row>
    <row r="5" spans="1:29" s="162" customFormat="1">
      <c r="A5" s="162" t="s">
        <v>93</v>
      </c>
      <c r="B5" s="162">
        <v>2990569</v>
      </c>
      <c r="C5" s="162">
        <v>3637787</v>
      </c>
      <c r="D5" s="162">
        <v>3418782</v>
      </c>
      <c r="E5" s="162">
        <v>3631101</v>
      </c>
      <c r="F5" s="162">
        <v>3780560</v>
      </c>
      <c r="G5" s="163">
        <v>4112568</v>
      </c>
      <c r="H5" s="163">
        <v>4104944</v>
      </c>
      <c r="I5" s="163">
        <v>3798549</v>
      </c>
      <c r="J5" s="163">
        <v>3839127</v>
      </c>
      <c r="K5" s="163">
        <v>4084105</v>
      </c>
      <c r="L5" s="163">
        <v>3667529</v>
      </c>
      <c r="M5" s="163">
        <v>3615172</v>
      </c>
      <c r="N5" s="163">
        <v>3915915</v>
      </c>
      <c r="O5" s="163">
        <v>4402325</v>
      </c>
      <c r="P5" s="163">
        <v>253752</v>
      </c>
      <c r="Q5" s="163">
        <v>220301</v>
      </c>
      <c r="R5" s="238">
        <v>170264.39</v>
      </c>
      <c r="S5" s="163">
        <v>114444</v>
      </c>
      <c r="T5" s="164">
        <v>220969</v>
      </c>
      <c r="U5" s="163">
        <v>327959</v>
      </c>
      <c r="V5" s="163">
        <v>687187</v>
      </c>
      <c r="W5" s="163">
        <v>861271</v>
      </c>
      <c r="X5" s="163">
        <v>762268</v>
      </c>
      <c r="Y5" s="163">
        <f>(X5*1.029)</f>
        <v>784373.77199999988</v>
      </c>
      <c r="Z5" s="163">
        <f>Y5*1.019</f>
        <v>799276.87366799975</v>
      </c>
      <c r="AA5" s="163">
        <f>Z5*1.025</f>
        <v>819258.79550969973</v>
      </c>
      <c r="AB5" s="163">
        <f>AA5*1.0275</f>
        <v>841788.41238621657</v>
      </c>
      <c r="AC5" s="163">
        <f>AB5*1.0275</f>
        <v>864937.59372683754</v>
      </c>
    </row>
    <row r="6" spans="1:29" s="169" customFormat="1">
      <c r="A6" s="169" t="s">
        <v>27</v>
      </c>
      <c r="B6" s="169">
        <v>0</v>
      </c>
      <c r="C6" s="169">
        <v>0</v>
      </c>
      <c r="D6" s="169">
        <v>0</v>
      </c>
      <c r="E6" s="169">
        <f t="shared" ref="E6:M6" si="0">D6*1.06</f>
        <v>0</v>
      </c>
      <c r="F6" s="169">
        <f t="shared" si="0"/>
        <v>0</v>
      </c>
      <c r="G6" s="169">
        <f t="shared" si="0"/>
        <v>0</v>
      </c>
      <c r="H6" s="169">
        <f t="shared" si="0"/>
        <v>0</v>
      </c>
      <c r="I6" s="169">
        <f t="shared" si="0"/>
        <v>0</v>
      </c>
      <c r="J6" s="169">
        <f t="shared" si="0"/>
        <v>0</v>
      </c>
      <c r="K6" s="169">
        <v>0</v>
      </c>
      <c r="L6" s="169">
        <f t="shared" si="0"/>
        <v>0</v>
      </c>
      <c r="M6" s="169">
        <f t="shared" si="0"/>
        <v>0</v>
      </c>
      <c r="N6" s="169">
        <f t="shared" ref="N6:S6" si="1">M6*1.06</f>
        <v>0</v>
      </c>
      <c r="O6" s="169">
        <f t="shared" si="1"/>
        <v>0</v>
      </c>
      <c r="P6" s="169">
        <f t="shared" si="1"/>
        <v>0</v>
      </c>
      <c r="Q6" s="169">
        <f t="shared" si="1"/>
        <v>0</v>
      </c>
      <c r="R6" s="198">
        <f t="shared" si="1"/>
        <v>0</v>
      </c>
      <c r="S6" s="169">
        <f t="shared" si="1"/>
        <v>0</v>
      </c>
      <c r="T6" s="173">
        <f>S6*1.06</f>
        <v>0</v>
      </c>
      <c r="U6" s="169">
        <f>T6*1.06</f>
        <v>0</v>
      </c>
      <c r="V6" s="169">
        <f>U6*1.06</f>
        <v>0</v>
      </c>
      <c r="W6" s="169">
        <f>V6*1.06</f>
        <v>0</v>
      </c>
      <c r="X6" s="169">
        <v>0</v>
      </c>
      <c r="Y6" s="169">
        <v>0</v>
      </c>
      <c r="Z6" s="169">
        <v>0</v>
      </c>
      <c r="AA6" s="169">
        <v>0</v>
      </c>
      <c r="AB6" s="169">
        <v>0</v>
      </c>
      <c r="AC6" s="169">
        <v>0</v>
      </c>
    </row>
    <row r="7" spans="1:29" s="169" customFormat="1">
      <c r="A7" s="169" t="s">
        <v>28</v>
      </c>
      <c r="B7" s="169">
        <v>2773707</v>
      </c>
      <c r="C7" s="169">
        <v>3749968</v>
      </c>
      <c r="D7" s="169">
        <v>4111192</v>
      </c>
      <c r="E7" s="169">
        <v>4478470</v>
      </c>
      <c r="F7" s="169">
        <v>4109504</v>
      </c>
      <c r="G7" s="169">
        <v>3989531</v>
      </c>
      <c r="H7" s="169">
        <v>4434327</v>
      </c>
      <c r="I7" s="169">
        <v>4896470</v>
      </c>
      <c r="J7" s="169">
        <v>5423251</v>
      </c>
      <c r="K7" s="169">
        <v>5639025</v>
      </c>
      <c r="L7" s="169">
        <v>5262685</v>
      </c>
      <c r="M7" s="169">
        <v>5879977</v>
      </c>
      <c r="N7" s="169">
        <v>6088968</v>
      </c>
      <c r="O7" s="169">
        <v>6088823</v>
      </c>
      <c r="P7" s="169">
        <v>218387</v>
      </c>
      <c r="Q7" s="169">
        <v>206806</v>
      </c>
      <c r="R7" s="198">
        <v>72449.86</v>
      </c>
      <c r="S7" s="169">
        <f>6966+162558</f>
        <v>169524</v>
      </c>
      <c r="T7" s="173">
        <v>206602</v>
      </c>
      <c r="U7" s="169">
        <v>291935</v>
      </c>
      <c r="V7" s="169">
        <v>359955</v>
      </c>
      <c r="W7" s="169">
        <v>461571</v>
      </c>
      <c r="X7" s="169">
        <v>258000</v>
      </c>
      <c r="Y7" s="169">
        <v>408000</v>
      </c>
      <c r="Z7" s="169">
        <f>Y7</f>
        <v>408000</v>
      </c>
      <c r="AA7" s="169">
        <f>Z7</f>
        <v>408000</v>
      </c>
      <c r="AB7" s="169">
        <f>AA7</f>
        <v>408000</v>
      </c>
      <c r="AC7" s="169">
        <f>AB7</f>
        <v>408000</v>
      </c>
    </row>
    <row r="8" spans="1:29" s="169" customFormat="1">
      <c r="A8" s="169" t="s">
        <v>50</v>
      </c>
      <c r="B8" s="169">
        <v>0</v>
      </c>
      <c r="C8" s="169">
        <v>0</v>
      </c>
      <c r="D8" s="169">
        <v>0</v>
      </c>
      <c r="E8" s="169">
        <f t="shared" ref="E8:M8" si="2">D8*1.06</f>
        <v>0</v>
      </c>
      <c r="F8" s="169">
        <f t="shared" si="2"/>
        <v>0</v>
      </c>
      <c r="G8" s="169">
        <f t="shared" si="2"/>
        <v>0</v>
      </c>
      <c r="H8" s="169">
        <f t="shared" si="2"/>
        <v>0</v>
      </c>
      <c r="I8" s="169">
        <f t="shared" si="2"/>
        <v>0</v>
      </c>
      <c r="J8" s="169">
        <f t="shared" si="2"/>
        <v>0</v>
      </c>
      <c r="K8" s="169">
        <f t="shared" si="2"/>
        <v>0</v>
      </c>
      <c r="L8" s="169">
        <f t="shared" si="2"/>
        <v>0</v>
      </c>
      <c r="M8" s="169">
        <f t="shared" si="2"/>
        <v>0</v>
      </c>
      <c r="N8" s="169">
        <f>M8*1.06</f>
        <v>0</v>
      </c>
      <c r="O8" s="169">
        <f>N8*1.06</f>
        <v>0</v>
      </c>
      <c r="P8" s="169">
        <f>O8*1.06</f>
        <v>0</v>
      </c>
      <c r="Q8" s="169">
        <f>P8*1.06</f>
        <v>0</v>
      </c>
      <c r="R8" s="198">
        <v>63600</v>
      </c>
      <c r="S8" s="169">
        <v>0</v>
      </c>
      <c r="T8" s="173">
        <f>S8*1.06</f>
        <v>0</v>
      </c>
      <c r="U8" s="169">
        <f>T8*1.06</f>
        <v>0</v>
      </c>
      <c r="V8" s="169">
        <f>U8*1.06</f>
        <v>0</v>
      </c>
      <c r="W8" s="169">
        <f>V8*1.06</f>
        <v>0</v>
      </c>
      <c r="X8" s="169">
        <v>0</v>
      </c>
      <c r="Y8" s="169">
        <v>0</v>
      </c>
      <c r="Z8" s="169">
        <v>0</v>
      </c>
      <c r="AA8" s="169">
        <v>0</v>
      </c>
      <c r="AB8" s="169">
        <v>0</v>
      </c>
      <c r="AC8" s="169">
        <v>0</v>
      </c>
    </row>
    <row r="9" spans="1:29" s="169" customFormat="1">
      <c r="A9" s="169" t="s">
        <v>112</v>
      </c>
      <c r="B9" s="169">
        <v>40385</v>
      </c>
      <c r="C9" s="169">
        <v>3468</v>
      </c>
      <c r="D9" s="169">
        <v>8111</v>
      </c>
      <c r="E9" s="169">
        <v>4509</v>
      </c>
      <c r="F9" s="169">
        <v>35561</v>
      </c>
      <c r="G9" s="169">
        <v>51637</v>
      </c>
      <c r="H9" s="169">
        <v>34632</v>
      </c>
      <c r="I9" s="169">
        <v>85842</v>
      </c>
      <c r="J9" s="169">
        <v>130624</v>
      </c>
      <c r="K9" s="169">
        <v>108502</v>
      </c>
      <c r="L9" s="169">
        <v>62426</v>
      </c>
      <c r="M9" s="169">
        <v>43107</v>
      </c>
      <c r="N9" s="169">
        <v>60989</v>
      </c>
      <c r="O9" s="169">
        <v>203818</v>
      </c>
      <c r="P9" s="169">
        <v>39026</v>
      </c>
      <c r="Q9" s="169">
        <v>21847</v>
      </c>
      <c r="R9" s="198">
        <v>23812.21</v>
      </c>
      <c r="S9" s="169">
        <v>598</v>
      </c>
      <c r="T9" s="173">
        <v>202</v>
      </c>
      <c r="U9" s="169">
        <v>911</v>
      </c>
      <c r="V9" s="169">
        <v>946</v>
      </c>
      <c r="W9" s="169">
        <v>1927</v>
      </c>
      <c r="X9" s="169">
        <v>500</v>
      </c>
      <c r="Y9" s="169">
        <f>SUM(X40*0.003)</f>
        <v>2379.6085200000002</v>
      </c>
      <c r="Z9" s="169">
        <f>SUM(Y40*0.003)</f>
        <v>2383.1252715599994</v>
      </c>
      <c r="AA9" s="169">
        <f>SUM(Z40*0.003)</f>
        <v>2271.6207640786779</v>
      </c>
      <c r="AB9" s="169">
        <f>SUM(AA40*0.003)</f>
        <v>2054.9434774990123</v>
      </c>
      <c r="AC9" s="169">
        <f>SUM(AB40*0.003)</f>
        <v>1735.1991799036896</v>
      </c>
    </row>
    <row r="10" spans="1:29" s="169" customFormat="1">
      <c r="A10" s="169" t="s">
        <v>113</v>
      </c>
      <c r="B10" s="174">
        <f>243858+30946-B9</f>
        <v>234419</v>
      </c>
      <c r="C10" s="174">
        <f>3468+240996-C9</f>
        <v>240996</v>
      </c>
      <c r="D10" s="174">
        <f>322336-D9</f>
        <v>314225</v>
      </c>
      <c r="E10" s="174">
        <f>348308-E9</f>
        <v>343799</v>
      </c>
      <c r="F10" s="174">
        <f>389340-F9</f>
        <v>353779</v>
      </c>
      <c r="G10" s="174">
        <v>399422</v>
      </c>
      <c r="H10" s="174">
        <v>393000</v>
      </c>
      <c r="I10" s="174">
        <v>391419</v>
      </c>
      <c r="J10" s="174">
        <v>401721</v>
      </c>
      <c r="K10" s="174">
        <v>375469</v>
      </c>
      <c r="L10" s="174">
        <v>372643</v>
      </c>
      <c r="M10" s="174">
        <v>418331</v>
      </c>
      <c r="N10" s="174">
        <v>423853</v>
      </c>
      <c r="O10" s="174">
        <v>443948</v>
      </c>
      <c r="P10" s="174">
        <v>463145</v>
      </c>
      <c r="Q10" s="174">
        <v>514038</v>
      </c>
      <c r="R10" s="226">
        <v>506142.05</v>
      </c>
      <c r="S10" s="174">
        <v>535483</v>
      </c>
      <c r="T10" s="175">
        <f>546040</f>
        <v>546040</v>
      </c>
      <c r="U10" s="174">
        <v>561038</v>
      </c>
      <c r="V10" s="174">
        <v>562623</v>
      </c>
      <c r="W10" s="174">
        <v>540405</v>
      </c>
      <c r="X10" s="174">
        <v>567500</v>
      </c>
      <c r="Y10" s="174">
        <f>X10</f>
        <v>567500</v>
      </c>
      <c r="Z10" s="174">
        <f>Y10</f>
        <v>567500</v>
      </c>
      <c r="AA10" s="174">
        <f>Z10</f>
        <v>567500</v>
      </c>
      <c r="AB10" s="174">
        <f>AA10</f>
        <v>567500</v>
      </c>
      <c r="AC10" s="174">
        <f>AB10</f>
        <v>567500</v>
      </c>
    </row>
    <row r="11" spans="1:29" s="169" customFormat="1">
      <c r="T11" s="173"/>
    </row>
    <row r="12" spans="1:29" s="162" customFormat="1" ht="13" thickBot="1">
      <c r="A12" s="162" t="s">
        <v>22</v>
      </c>
      <c r="B12" s="172">
        <f t="shared" ref="B12:U12" si="3">SUM(B5:B11)</f>
        <v>6039080</v>
      </c>
      <c r="C12" s="172">
        <f t="shared" si="3"/>
        <v>7632219</v>
      </c>
      <c r="D12" s="172">
        <f t="shared" si="3"/>
        <v>7852310</v>
      </c>
      <c r="E12" s="172">
        <f t="shared" si="3"/>
        <v>8457879</v>
      </c>
      <c r="F12" s="172">
        <f t="shared" si="3"/>
        <v>8279404</v>
      </c>
      <c r="G12" s="172">
        <f t="shared" si="3"/>
        <v>8553158</v>
      </c>
      <c r="H12" s="172">
        <f t="shared" si="3"/>
        <v>8966903</v>
      </c>
      <c r="I12" s="172">
        <f t="shared" si="3"/>
        <v>9172280</v>
      </c>
      <c r="J12" s="172">
        <f t="shared" si="3"/>
        <v>9794723</v>
      </c>
      <c r="K12" s="172">
        <f t="shared" si="3"/>
        <v>10207101</v>
      </c>
      <c r="L12" s="172">
        <f t="shared" si="3"/>
        <v>9365283</v>
      </c>
      <c r="M12" s="172">
        <f t="shared" si="3"/>
        <v>9956587</v>
      </c>
      <c r="N12" s="172">
        <f t="shared" si="3"/>
        <v>10489725</v>
      </c>
      <c r="O12" s="172">
        <f t="shared" si="3"/>
        <v>11138914</v>
      </c>
      <c r="P12" s="172">
        <f t="shared" si="3"/>
        <v>974310</v>
      </c>
      <c r="Q12" s="172">
        <f t="shared" si="3"/>
        <v>962992</v>
      </c>
      <c r="R12" s="172">
        <f>SUM(R5:R11)</f>
        <v>836268.51</v>
      </c>
      <c r="S12" s="172">
        <f>SUM(S5:S11)</f>
        <v>820049</v>
      </c>
      <c r="T12" s="205">
        <f t="shared" si="3"/>
        <v>973813</v>
      </c>
      <c r="U12" s="172">
        <f t="shared" si="3"/>
        <v>1181843</v>
      </c>
      <c r="V12" s="172">
        <f t="shared" ref="V12:AC12" si="4">SUM(V5:V11)</f>
        <v>1610711</v>
      </c>
      <c r="W12" s="172">
        <f t="shared" si="4"/>
        <v>1865174</v>
      </c>
      <c r="X12" s="172">
        <f t="shared" si="4"/>
        <v>1588268</v>
      </c>
      <c r="Y12" s="172">
        <f t="shared" si="4"/>
        <v>1762253.3805199999</v>
      </c>
      <c r="Z12" s="172">
        <f t="shared" si="4"/>
        <v>1777159.9989395596</v>
      </c>
      <c r="AA12" s="172">
        <f t="shared" si="4"/>
        <v>1797030.4162737783</v>
      </c>
      <c r="AB12" s="172">
        <f t="shared" si="4"/>
        <v>1819343.3558637158</v>
      </c>
      <c r="AC12" s="172">
        <f t="shared" si="4"/>
        <v>1842172.7929067411</v>
      </c>
    </row>
    <row r="13" spans="1:29"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25"/>
      <c r="Q13" s="125"/>
      <c r="R13" s="125"/>
      <c r="S13" s="125"/>
      <c r="T13" s="148"/>
      <c r="U13" s="125"/>
      <c r="V13" s="125"/>
      <c r="W13" s="125"/>
    </row>
    <row r="14" spans="1:29"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25"/>
      <c r="Q14" s="125"/>
      <c r="R14" s="125"/>
      <c r="S14" s="125"/>
      <c r="T14" s="148"/>
      <c r="U14" s="125"/>
      <c r="V14" s="125"/>
      <c r="W14" s="125"/>
    </row>
    <row r="15" spans="1:29">
      <c r="A15" s="1" t="s">
        <v>102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25"/>
      <c r="Q15" s="125"/>
      <c r="R15" s="125"/>
      <c r="S15" s="125"/>
      <c r="T15" s="148"/>
      <c r="U15" s="125"/>
      <c r="V15" s="125"/>
      <c r="W15" s="125"/>
    </row>
    <row r="16" spans="1:29">
      <c r="B16" s="10"/>
      <c r="C16" s="10"/>
      <c r="D16" s="10"/>
      <c r="E16" s="10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25"/>
      <c r="Q16" s="125"/>
      <c r="R16" s="125"/>
      <c r="S16" s="125"/>
      <c r="T16" s="148"/>
      <c r="U16" s="125"/>
      <c r="V16" s="125"/>
      <c r="W16" s="125"/>
    </row>
    <row r="17" spans="1:29" s="162" customFormat="1">
      <c r="A17" s="162" t="s">
        <v>103</v>
      </c>
      <c r="B17" s="162">
        <v>144761</v>
      </c>
      <c r="C17" s="162">
        <v>173953</v>
      </c>
      <c r="D17" s="162">
        <v>180660</v>
      </c>
      <c r="E17" s="162">
        <v>192110</v>
      </c>
      <c r="F17" s="162">
        <v>180573</v>
      </c>
      <c r="G17" s="162">
        <v>213921</v>
      </c>
      <c r="H17" s="162">
        <v>190720</v>
      </c>
      <c r="I17" s="162">
        <v>219350</v>
      </c>
      <c r="J17" s="162">
        <v>189748</v>
      </c>
      <c r="K17" s="162">
        <v>165330</v>
      </c>
      <c r="L17" s="162">
        <v>162785</v>
      </c>
      <c r="M17" s="162">
        <v>181872</v>
      </c>
      <c r="N17" s="162">
        <v>166266</v>
      </c>
      <c r="O17" s="162">
        <v>169246</v>
      </c>
      <c r="P17" s="162">
        <v>450744</v>
      </c>
      <c r="Q17" s="162">
        <v>431591</v>
      </c>
      <c r="R17" s="148">
        <v>459359.23</v>
      </c>
      <c r="S17" s="176">
        <v>449292</v>
      </c>
      <c r="T17" s="176">
        <v>484063</v>
      </c>
      <c r="U17" s="162">
        <v>134164</v>
      </c>
      <c r="V17" s="162">
        <v>49252</v>
      </c>
      <c r="W17" s="162">
        <v>55102</v>
      </c>
      <c r="X17" s="162">
        <v>51594</v>
      </c>
      <c r="Y17" s="162">
        <f>X17*1.02</f>
        <v>52625.88</v>
      </c>
      <c r="Z17" s="162">
        <f t="shared" ref="Z17:AC17" si="5">Y17*1.02</f>
        <v>53678.397599999997</v>
      </c>
      <c r="AA17" s="162">
        <f t="shared" si="5"/>
        <v>54751.965551999994</v>
      </c>
      <c r="AB17" s="162">
        <f t="shared" si="5"/>
        <v>55847.004863039998</v>
      </c>
      <c r="AC17" s="162">
        <f t="shared" si="5"/>
        <v>56963.944960300796</v>
      </c>
    </row>
    <row r="18" spans="1:29" s="169" customFormat="1">
      <c r="A18" s="169" t="s">
        <v>66</v>
      </c>
      <c r="B18" s="169">
        <v>0</v>
      </c>
      <c r="C18" s="169">
        <v>0</v>
      </c>
      <c r="D18" s="169">
        <v>0</v>
      </c>
      <c r="E18" s="169">
        <f>D18*1.06</f>
        <v>0</v>
      </c>
      <c r="F18" s="169">
        <v>19762</v>
      </c>
      <c r="G18" s="169">
        <v>30047</v>
      </c>
      <c r="H18" s="169">
        <v>28686</v>
      </c>
      <c r="I18" s="169">
        <v>476</v>
      </c>
      <c r="J18" s="169">
        <v>28634</v>
      </c>
      <c r="K18" s="169">
        <v>39140</v>
      </c>
      <c r="L18" s="169">
        <v>43400</v>
      </c>
      <c r="M18" s="169">
        <v>43658</v>
      </c>
      <c r="N18" s="169">
        <v>45494</v>
      </c>
      <c r="O18" s="169">
        <v>46046</v>
      </c>
      <c r="P18" s="169">
        <v>12151</v>
      </c>
      <c r="Q18" s="169">
        <v>19230</v>
      </c>
      <c r="R18" s="198">
        <v>24328.55</v>
      </c>
      <c r="S18" s="173">
        <v>53931</v>
      </c>
      <c r="T18" s="173">
        <v>63335</v>
      </c>
      <c r="U18" s="169">
        <v>13684</v>
      </c>
      <c r="V18" s="169">
        <v>8318</v>
      </c>
      <c r="W18" s="169">
        <v>11607</v>
      </c>
      <c r="X18" s="169">
        <v>12219</v>
      </c>
      <c r="Y18" s="169">
        <f t="shared" ref="Y18:AC18" si="6">X18*1.1</f>
        <v>13440.900000000001</v>
      </c>
      <c r="Z18" s="169">
        <f t="shared" si="6"/>
        <v>14784.990000000003</v>
      </c>
      <c r="AA18" s="169">
        <f t="shared" si="6"/>
        <v>16263.489000000005</v>
      </c>
      <c r="AB18" s="169">
        <f t="shared" si="6"/>
        <v>17889.837900000006</v>
      </c>
      <c r="AC18" s="169">
        <f t="shared" si="6"/>
        <v>19678.821690000008</v>
      </c>
    </row>
    <row r="19" spans="1:29" s="169" customFormat="1">
      <c r="A19" s="169" t="s">
        <v>83</v>
      </c>
      <c r="B19" s="169">
        <v>7211450</v>
      </c>
      <c r="C19" s="169">
        <v>7584939</v>
      </c>
      <c r="D19" s="169">
        <v>8006177</v>
      </c>
      <c r="E19" s="169">
        <v>8116804</v>
      </c>
      <c r="F19" s="169">
        <v>7899284</v>
      </c>
      <c r="G19" s="169">
        <v>8271408</v>
      </c>
      <c r="H19" s="169">
        <v>7907607</v>
      </c>
      <c r="I19" s="169">
        <v>8376088</v>
      </c>
      <c r="J19" s="169">
        <v>8524170</v>
      </c>
      <c r="K19" s="169">
        <v>9246386</v>
      </c>
      <c r="L19" s="169">
        <v>9270118</v>
      </c>
      <c r="M19" s="169">
        <v>9477144</v>
      </c>
      <c r="N19" s="169">
        <v>9859064</v>
      </c>
      <c r="O19" s="169">
        <v>8486328</v>
      </c>
      <c r="P19" s="169">
        <v>292739</v>
      </c>
      <c r="Q19" s="169">
        <v>287153</v>
      </c>
      <c r="R19" s="198">
        <v>350985.55</v>
      </c>
      <c r="S19" s="178">
        <f>399743+1</f>
        <v>399744</v>
      </c>
      <c r="T19" s="173">
        <v>454021</v>
      </c>
      <c r="U19" s="169">
        <v>1209496</v>
      </c>
      <c r="V19" s="169">
        <v>1375984</v>
      </c>
      <c r="W19" s="169">
        <v>1435570</v>
      </c>
      <c r="X19" s="169">
        <v>1641200</v>
      </c>
      <c r="Y19" s="169">
        <f t="shared" ref="Y19:AC19" si="7">X19*1.03</f>
        <v>1690436</v>
      </c>
      <c r="Z19" s="169">
        <f t="shared" si="7"/>
        <v>1741149.08</v>
      </c>
      <c r="AA19" s="169">
        <f t="shared" si="7"/>
        <v>1793383.5524000002</v>
      </c>
      <c r="AB19" s="169">
        <f t="shared" si="7"/>
        <v>1847185.0589720001</v>
      </c>
      <c r="AC19" s="169">
        <f t="shared" si="7"/>
        <v>1902600.6107411601</v>
      </c>
    </row>
    <row r="20" spans="1:29" s="169" customFormat="1">
      <c r="A20" s="169" t="s">
        <v>84</v>
      </c>
      <c r="B20" s="169">
        <v>7448</v>
      </c>
      <c r="C20" s="169">
        <v>7351</v>
      </c>
      <c r="D20" s="169">
        <v>6908</v>
      </c>
      <c r="E20" s="169">
        <v>2139</v>
      </c>
      <c r="F20" s="169">
        <v>5927</v>
      </c>
      <c r="G20" s="169">
        <v>17439</v>
      </c>
      <c r="H20" s="169">
        <v>14965</v>
      </c>
      <c r="I20" s="169">
        <v>7709</v>
      </c>
      <c r="J20" s="169">
        <v>9274</v>
      </c>
      <c r="K20" s="169">
        <v>6376</v>
      </c>
      <c r="L20" s="169">
        <v>8964</v>
      </c>
      <c r="M20" s="169">
        <v>8829</v>
      </c>
      <c r="N20" s="169">
        <v>8721</v>
      </c>
      <c r="O20" s="169">
        <v>6163</v>
      </c>
      <c r="P20" s="169">
        <v>67531</v>
      </c>
      <c r="Q20" s="169">
        <v>69029</v>
      </c>
      <c r="R20" s="206">
        <v>41046.339999999997</v>
      </c>
      <c r="S20" s="173">
        <v>54235</v>
      </c>
      <c r="T20" s="173">
        <v>60588</v>
      </c>
      <c r="U20" s="169">
        <v>2325</v>
      </c>
      <c r="V20" s="169">
        <v>1417</v>
      </c>
      <c r="W20" s="169">
        <v>2047</v>
      </c>
      <c r="X20" s="169">
        <v>3945</v>
      </c>
      <c r="Y20" s="169">
        <f t="shared" ref="Y20:AC22" si="8">X20*1.03</f>
        <v>4063.35</v>
      </c>
      <c r="Z20" s="169">
        <f t="shared" si="8"/>
        <v>4185.2505000000001</v>
      </c>
      <c r="AA20" s="169">
        <f t="shared" si="8"/>
        <v>4310.8080150000005</v>
      </c>
      <c r="AB20" s="169">
        <f t="shared" si="8"/>
        <v>4440.1322554500002</v>
      </c>
      <c r="AC20" s="169">
        <f t="shared" si="8"/>
        <v>4573.3362231135006</v>
      </c>
    </row>
    <row r="21" spans="1:29" s="169" customFormat="1">
      <c r="A21" s="169" t="s">
        <v>85</v>
      </c>
      <c r="B21" s="169">
        <v>5270</v>
      </c>
      <c r="C21" s="169">
        <v>1729</v>
      </c>
      <c r="D21" s="169">
        <v>839</v>
      </c>
      <c r="E21" s="169">
        <v>33839</v>
      </c>
      <c r="F21" s="169">
        <v>181</v>
      </c>
      <c r="G21" s="169">
        <v>8230</v>
      </c>
      <c r="H21" s="169">
        <v>2969</v>
      </c>
      <c r="I21" s="169">
        <v>1659</v>
      </c>
      <c r="J21" s="169">
        <v>1004</v>
      </c>
      <c r="K21" s="169">
        <v>0</v>
      </c>
      <c r="L21" s="169">
        <v>7219</v>
      </c>
      <c r="M21" s="169">
        <v>3963</v>
      </c>
      <c r="N21" s="169">
        <v>3719</v>
      </c>
      <c r="O21" s="169">
        <v>4832</v>
      </c>
      <c r="P21" s="169">
        <v>133954</v>
      </c>
      <c r="Q21" s="169">
        <v>186768</v>
      </c>
      <c r="R21" s="198">
        <v>140683</v>
      </c>
      <c r="S21" s="173">
        <v>0</v>
      </c>
      <c r="T21" s="173">
        <v>0</v>
      </c>
      <c r="U21" s="169">
        <f>+T21*1.05</f>
        <v>0</v>
      </c>
      <c r="V21" s="169">
        <f>+U21*1.05</f>
        <v>0</v>
      </c>
      <c r="W21" s="169">
        <f>+V21*1.05</f>
        <v>0</v>
      </c>
      <c r="X21" s="169">
        <f t="shared" ref="X21:AB21" si="9">+W21*1.05</f>
        <v>0</v>
      </c>
      <c r="Y21" s="169">
        <f t="shared" si="9"/>
        <v>0</v>
      </c>
      <c r="Z21" s="169">
        <f t="shared" si="9"/>
        <v>0</v>
      </c>
      <c r="AA21" s="169">
        <f t="shared" si="9"/>
        <v>0</v>
      </c>
      <c r="AB21" s="169">
        <f t="shared" si="9"/>
        <v>0</v>
      </c>
    </row>
    <row r="22" spans="1:29" s="169" customFormat="1">
      <c r="A22" s="169" t="s">
        <v>73</v>
      </c>
      <c r="B22" s="174">
        <v>0</v>
      </c>
      <c r="C22" s="174">
        <v>0</v>
      </c>
      <c r="D22" s="174">
        <v>0</v>
      </c>
      <c r="E22" s="174">
        <f>D22*1.06</f>
        <v>0</v>
      </c>
      <c r="F22" s="174">
        <v>6116</v>
      </c>
      <c r="G22" s="174">
        <v>9826</v>
      </c>
      <c r="H22" s="174">
        <v>9610</v>
      </c>
      <c r="I22" s="174">
        <v>7414</v>
      </c>
      <c r="J22" s="174">
        <v>7778</v>
      </c>
      <c r="K22" s="174">
        <v>10923</v>
      </c>
      <c r="L22" s="174">
        <v>13596</v>
      </c>
      <c r="M22" s="174">
        <v>9098</v>
      </c>
      <c r="N22" s="174">
        <v>12560</v>
      </c>
      <c r="O22" s="174">
        <v>13334</v>
      </c>
      <c r="P22" s="174">
        <v>1563</v>
      </c>
      <c r="Q22" s="174">
        <v>1050</v>
      </c>
      <c r="R22" s="226">
        <v>1080</v>
      </c>
      <c r="S22" s="175">
        <v>1355</v>
      </c>
      <c r="T22" s="175">
        <v>878</v>
      </c>
      <c r="U22" s="174">
        <v>305</v>
      </c>
      <c r="V22" s="174">
        <v>166</v>
      </c>
      <c r="W22" s="174">
        <v>65</v>
      </c>
      <c r="X22" s="174">
        <v>500</v>
      </c>
      <c r="Y22" s="174">
        <f t="shared" si="8"/>
        <v>515</v>
      </c>
      <c r="Z22" s="174">
        <f t="shared" ref="Z22" si="10">Y22*1.03</f>
        <v>530.45000000000005</v>
      </c>
      <c r="AA22" s="174">
        <f t="shared" ref="AA22" si="11">Z22*1.03</f>
        <v>546.36350000000004</v>
      </c>
      <c r="AB22" s="174">
        <f t="shared" ref="AB22" si="12">AA22*1.03</f>
        <v>562.75440500000002</v>
      </c>
      <c r="AC22" s="174">
        <f t="shared" ref="AC22" si="13">AB22*1.03</f>
        <v>579.63703715000008</v>
      </c>
    </row>
    <row r="23" spans="1:29">
      <c r="B23" s="10"/>
      <c r="C23" s="10"/>
      <c r="D23" s="10"/>
      <c r="E23" s="10"/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9" ht="13" thickBot="1">
      <c r="A24" s="9" t="s">
        <v>22</v>
      </c>
      <c r="B24" s="7">
        <f t="shared" ref="B24:U24" si="14">SUM(B17:B23)</f>
        <v>7368929</v>
      </c>
      <c r="C24" s="7">
        <f t="shared" si="14"/>
        <v>7767972</v>
      </c>
      <c r="D24" s="7">
        <f t="shared" si="14"/>
        <v>8194584</v>
      </c>
      <c r="E24" s="7">
        <f t="shared" si="14"/>
        <v>8344892</v>
      </c>
      <c r="F24" s="7">
        <f t="shared" si="14"/>
        <v>8111843</v>
      </c>
      <c r="G24" s="7">
        <f t="shared" si="14"/>
        <v>8550871</v>
      </c>
      <c r="H24" s="7">
        <f t="shared" si="14"/>
        <v>8154557</v>
      </c>
      <c r="I24" s="7">
        <f t="shared" si="14"/>
        <v>8612696</v>
      </c>
      <c r="J24" s="7">
        <f t="shared" si="14"/>
        <v>8760608</v>
      </c>
      <c r="K24" s="7">
        <f t="shared" si="14"/>
        <v>9468155</v>
      </c>
      <c r="L24" s="7">
        <f t="shared" si="14"/>
        <v>9506082</v>
      </c>
      <c r="M24" s="7">
        <f t="shared" si="14"/>
        <v>9724564</v>
      </c>
      <c r="N24" s="7">
        <f t="shared" si="14"/>
        <v>10095824</v>
      </c>
      <c r="O24" s="7">
        <f t="shared" si="14"/>
        <v>8725949</v>
      </c>
      <c r="P24" s="127">
        <f t="shared" si="14"/>
        <v>958682</v>
      </c>
      <c r="Q24" s="127">
        <f t="shared" si="14"/>
        <v>994821</v>
      </c>
      <c r="R24" s="127">
        <f t="shared" si="14"/>
        <v>1017482.6699999999</v>
      </c>
      <c r="S24" s="127">
        <f t="shared" si="14"/>
        <v>958557</v>
      </c>
      <c r="T24" s="127">
        <f>SUM(T17:T23)-1</f>
        <v>1062884</v>
      </c>
      <c r="U24" s="127">
        <f t="shared" si="14"/>
        <v>1359974</v>
      </c>
      <c r="V24" s="127">
        <f t="shared" ref="V24:AA24" si="15">SUM(V17:V23)</f>
        <v>1435137</v>
      </c>
      <c r="W24" s="127">
        <f t="shared" si="15"/>
        <v>1504391</v>
      </c>
      <c r="X24" s="127">
        <f t="shared" si="15"/>
        <v>1709458</v>
      </c>
      <c r="Y24" s="127">
        <f t="shared" si="15"/>
        <v>1761081.1300000001</v>
      </c>
      <c r="Z24" s="127">
        <f t="shared" si="15"/>
        <v>1814328.1681000001</v>
      </c>
      <c r="AA24" s="127">
        <f t="shared" si="15"/>
        <v>1869256.1784670001</v>
      </c>
      <c r="AB24" s="127">
        <f t="shared" ref="AB24:AC24" si="16">SUM(AB17:AB23)</f>
        <v>1925924.78839549</v>
      </c>
      <c r="AC24" s="127">
        <f t="shared" si="16"/>
        <v>1984396.3506517245</v>
      </c>
    </row>
    <row r="25" spans="1:29">
      <c r="B25" s="10"/>
      <c r="C25" s="10"/>
      <c r="D25" s="10"/>
      <c r="E25" s="10"/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25"/>
      <c r="Q25" s="125"/>
      <c r="R25" s="125"/>
      <c r="S25" s="125"/>
      <c r="T25" s="125"/>
      <c r="U25" s="125"/>
      <c r="V25" s="125"/>
      <c r="W25" s="125"/>
    </row>
    <row r="26" spans="1:29">
      <c r="B26" s="10"/>
      <c r="C26" s="10"/>
      <c r="D26" s="10"/>
      <c r="E26" s="10"/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25"/>
      <c r="Q26" s="125"/>
      <c r="R26" s="125"/>
      <c r="S26" s="125"/>
      <c r="T26" s="125"/>
      <c r="U26" s="125"/>
      <c r="V26" s="125"/>
      <c r="W26" s="125"/>
    </row>
    <row r="27" spans="1:29" ht="26">
      <c r="A27" s="60" t="s">
        <v>46</v>
      </c>
      <c r="B27" s="14">
        <f t="shared" ref="B27:X27" si="17">+B12-B24</f>
        <v>-1329849</v>
      </c>
      <c r="C27" s="14">
        <f t="shared" si="17"/>
        <v>-135753</v>
      </c>
      <c r="D27" s="14">
        <f t="shared" si="17"/>
        <v>-342274</v>
      </c>
      <c r="E27" s="14">
        <f t="shared" si="17"/>
        <v>112987</v>
      </c>
      <c r="F27" s="14">
        <f t="shared" si="17"/>
        <v>167561</v>
      </c>
      <c r="G27" s="27">
        <f t="shared" si="17"/>
        <v>2287</v>
      </c>
      <c r="H27" s="27">
        <f t="shared" si="17"/>
        <v>812346</v>
      </c>
      <c r="I27" s="27">
        <f t="shared" si="17"/>
        <v>559584</v>
      </c>
      <c r="J27" s="27">
        <f t="shared" si="17"/>
        <v>1034115</v>
      </c>
      <c r="K27" s="27">
        <f t="shared" si="17"/>
        <v>738946</v>
      </c>
      <c r="L27" s="27">
        <f t="shared" si="17"/>
        <v>-140799</v>
      </c>
      <c r="M27" s="27">
        <f t="shared" si="17"/>
        <v>232023</v>
      </c>
      <c r="N27" s="27">
        <f t="shared" si="17"/>
        <v>393901</v>
      </c>
      <c r="O27" s="27">
        <f t="shared" si="17"/>
        <v>2412965</v>
      </c>
      <c r="P27" s="128">
        <f t="shared" si="17"/>
        <v>15628</v>
      </c>
      <c r="Q27" s="128">
        <f t="shared" si="17"/>
        <v>-31829</v>
      </c>
      <c r="R27" s="128">
        <f t="shared" si="17"/>
        <v>-181214.15999999992</v>
      </c>
      <c r="S27" s="128">
        <f t="shared" si="17"/>
        <v>-138508</v>
      </c>
      <c r="T27" s="128">
        <f t="shared" si="17"/>
        <v>-89071</v>
      </c>
      <c r="U27" s="128">
        <f>+U12-U24</f>
        <v>-178131</v>
      </c>
      <c r="V27" s="128">
        <f t="shared" si="17"/>
        <v>175574</v>
      </c>
      <c r="W27" s="128">
        <f t="shared" si="17"/>
        <v>360783</v>
      </c>
      <c r="X27" s="128">
        <f t="shared" si="17"/>
        <v>-121190</v>
      </c>
      <c r="Y27" s="128">
        <f>+Y12-Y24</f>
        <v>1172.2505199997686</v>
      </c>
      <c r="Z27" s="128">
        <f>+Z12-Z24</f>
        <v>-37168.169160440564</v>
      </c>
      <c r="AA27" s="128">
        <f>+AA12-AA24</f>
        <v>-72225.762193221832</v>
      </c>
      <c r="AB27" s="128">
        <f>+AB12-AB24</f>
        <v>-106581.43253177428</v>
      </c>
      <c r="AC27" s="128">
        <f>+AC12-AC24</f>
        <v>-142223.55774498335</v>
      </c>
    </row>
    <row r="28" spans="1:29">
      <c r="B28" s="10"/>
      <c r="C28" s="10"/>
      <c r="D28" s="10"/>
      <c r="E28" s="10"/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9" ht="13" thickBot="1">
      <c r="A29" s="148" t="s">
        <v>77</v>
      </c>
      <c r="B29" s="125"/>
      <c r="C29" s="125"/>
      <c r="D29" s="125"/>
      <c r="E29" s="125"/>
      <c r="F29" s="125"/>
      <c r="G29" s="11"/>
      <c r="H29" s="11"/>
      <c r="I29" s="11"/>
      <c r="J29" s="11"/>
      <c r="K29" s="11"/>
      <c r="L29" s="11"/>
      <c r="M29" s="11"/>
      <c r="N29" s="11"/>
      <c r="O29" s="11"/>
      <c r="P29" s="125"/>
      <c r="Q29" s="125"/>
      <c r="R29" s="238">
        <v>0</v>
      </c>
      <c r="S29" s="238">
        <v>0</v>
      </c>
      <c r="T29" s="238">
        <v>0</v>
      </c>
      <c r="U29" s="238">
        <v>359200</v>
      </c>
      <c r="V29" s="238">
        <v>37000</v>
      </c>
      <c r="W29" s="238">
        <v>0</v>
      </c>
      <c r="X29" s="238">
        <v>0</v>
      </c>
      <c r="Y29" s="238">
        <v>0</v>
      </c>
      <c r="Z29" s="238">
        <v>0</v>
      </c>
      <c r="AA29" s="238">
        <v>0</v>
      </c>
      <c r="AB29" s="238">
        <v>0</v>
      </c>
      <c r="AC29" s="238">
        <v>0</v>
      </c>
    </row>
    <row r="30" spans="1:29" ht="21" customHeight="1" thickBot="1">
      <c r="A30" s="203" t="s">
        <v>96</v>
      </c>
      <c r="B30" s="125"/>
      <c r="C30" s="125"/>
      <c r="D30" s="125"/>
      <c r="E30" s="125"/>
      <c r="F30" s="125"/>
      <c r="G30" s="11"/>
      <c r="H30" s="11"/>
      <c r="I30" s="11"/>
      <c r="J30" s="11"/>
      <c r="K30" s="11"/>
      <c r="L30" s="11"/>
      <c r="M30" s="11"/>
      <c r="N30" s="11"/>
      <c r="O30" s="11"/>
      <c r="P30" s="125"/>
      <c r="Q30" s="125"/>
      <c r="R30" s="259">
        <f t="shared" ref="R30:X30" si="18">SUM(R29:R29)</f>
        <v>0</v>
      </c>
      <c r="S30" s="259">
        <f t="shared" si="18"/>
        <v>0</v>
      </c>
      <c r="T30" s="259">
        <f t="shared" si="18"/>
        <v>0</v>
      </c>
      <c r="U30" s="259">
        <f t="shared" si="18"/>
        <v>359200</v>
      </c>
      <c r="V30" s="259">
        <f t="shared" si="18"/>
        <v>37000</v>
      </c>
      <c r="W30" s="259">
        <f t="shared" si="18"/>
        <v>0</v>
      </c>
      <c r="X30" s="259">
        <f t="shared" si="18"/>
        <v>0</v>
      </c>
      <c r="Y30" s="259">
        <f>SUM(Y29:Y29)</f>
        <v>0</v>
      </c>
      <c r="Z30" s="259">
        <f>SUM(Z29:Z29)</f>
        <v>0</v>
      </c>
      <c r="AA30" s="259">
        <f>SUM(AA29:AA29)</f>
        <v>0</v>
      </c>
      <c r="AB30" s="259">
        <f>SUM(AB29:AB29)</f>
        <v>0</v>
      </c>
      <c r="AC30" s="259">
        <f>SUM(AC29:AC29)</f>
        <v>0</v>
      </c>
    </row>
    <row r="31" spans="1:29">
      <c r="A31" s="203"/>
      <c r="B31" s="125"/>
      <c r="C31" s="125"/>
      <c r="D31" s="125"/>
      <c r="E31" s="125"/>
      <c r="F31" s="125"/>
      <c r="G31" s="11"/>
      <c r="H31" s="11"/>
      <c r="I31" s="11"/>
      <c r="J31" s="11"/>
      <c r="K31" s="11"/>
      <c r="L31" s="11"/>
      <c r="M31" s="11"/>
      <c r="N31" s="11"/>
      <c r="O31" s="11"/>
      <c r="P31" s="125"/>
      <c r="Q31" s="125"/>
      <c r="R31" s="252"/>
      <c r="S31" s="252"/>
      <c r="T31" s="125"/>
      <c r="U31" s="252"/>
      <c r="V31" s="125"/>
      <c r="W31" s="125"/>
      <c r="X31" s="125"/>
      <c r="Y31" s="125"/>
      <c r="Z31" s="125"/>
    </row>
    <row r="32" spans="1:29">
      <c r="A32" s="75" t="s">
        <v>89</v>
      </c>
      <c r="B32" s="125"/>
      <c r="C32" s="125"/>
      <c r="D32" s="125"/>
      <c r="E32" s="125"/>
      <c r="F32" s="125"/>
      <c r="G32" s="11"/>
      <c r="H32" s="11"/>
      <c r="I32" s="11"/>
      <c r="J32" s="11"/>
      <c r="K32" s="11"/>
      <c r="L32" s="11"/>
      <c r="M32" s="11"/>
      <c r="N32" s="11"/>
      <c r="O32" s="11"/>
      <c r="P32" s="125"/>
      <c r="Q32" s="125"/>
      <c r="R32" s="125"/>
      <c r="S32" s="125"/>
      <c r="T32" s="125"/>
      <c r="U32" s="238">
        <f>SUM(U25:U29)</f>
        <v>181069</v>
      </c>
      <c r="V32" s="125">
        <f>SUM(V27+V30)</f>
        <v>212574</v>
      </c>
      <c r="W32" s="125">
        <f>SUM(W27+W30)</f>
        <v>360783</v>
      </c>
      <c r="X32" s="125">
        <f t="shared" ref="X32:AC32" si="19">SUM(X27+X30)</f>
        <v>-121190</v>
      </c>
      <c r="Y32" s="125">
        <f t="shared" si="19"/>
        <v>1172.2505199997686</v>
      </c>
      <c r="Z32" s="125">
        <f t="shared" si="19"/>
        <v>-37168.169160440564</v>
      </c>
      <c r="AA32" s="125">
        <f t="shared" si="19"/>
        <v>-72225.762193221832</v>
      </c>
      <c r="AB32" s="125">
        <f t="shared" si="19"/>
        <v>-106581.43253177428</v>
      </c>
      <c r="AC32" s="125">
        <f t="shared" si="19"/>
        <v>-142223.55774498335</v>
      </c>
    </row>
    <row r="33" spans="1:29">
      <c r="B33" s="125"/>
      <c r="C33" s="125"/>
      <c r="D33" s="125"/>
      <c r="E33" s="125"/>
      <c r="F33" s="125"/>
      <c r="G33" s="11"/>
      <c r="H33" s="11"/>
      <c r="I33" s="11"/>
      <c r="J33" s="11"/>
      <c r="K33" s="11"/>
      <c r="L33" s="11"/>
      <c r="M33" s="11"/>
      <c r="N33" s="11"/>
      <c r="O33" s="11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spans="1:29">
      <c r="A34" s="8" t="s">
        <v>47</v>
      </c>
      <c r="B34" s="10"/>
      <c r="C34" s="10"/>
      <c r="D34" s="10"/>
      <c r="E34" s="10"/>
      <c r="F34" s="10"/>
      <c r="G34" s="11"/>
      <c r="H34" s="11"/>
      <c r="I34" s="11"/>
      <c r="J34" s="11"/>
      <c r="K34" s="11"/>
      <c r="L34" s="11"/>
      <c r="M34" s="11"/>
      <c r="N34" s="11"/>
      <c r="O34" s="11"/>
      <c r="P34" s="125"/>
      <c r="Q34" s="125"/>
      <c r="R34" s="125"/>
      <c r="S34" s="125"/>
      <c r="T34" s="125"/>
      <c r="U34" s="125"/>
      <c r="V34" s="125"/>
      <c r="W34" s="177" t="s">
        <v>12</v>
      </c>
      <c r="X34" s="125"/>
      <c r="Y34" s="125"/>
      <c r="Z34" s="125"/>
    </row>
    <row r="35" spans="1:29">
      <c r="B35" s="10"/>
      <c r="C35" s="10"/>
      <c r="D35" s="10"/>
      <c r="E35" s="10"/>
      <c r="F35" s="10"/>
      <c r="G35" s="11"/>
      <c r="H35" s="11"/>
      <c r="I35" s="11"/>
      <c r="J35" s="11"/>
      <c r="K35" s="11"/>
      <c r="L35" s="11"/>
      <c r="M35" s="11"/>
      <c r="N35" s="11"/>
      <c r="O35" s="11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spans="1:29">
      <c r="A36" s="9" t="s">
        <v>48</v>
      </c>
      <c r="B36" s="10">
        <v>5346974</v>
      </c>
      <c r="C36" s="10">
        <v>4017125</v>
      </c>
      <c r="D36" s="10">
        <f>+C40</f>
        <v>3881372</v>
      </c>
      <c r="E36" s="10">
        <f t="shared" ref="E36:AC36" si="20">+D40</f>
        <v>3539098</v>
      </c>
      <c r="F36" s="10">
        <f t="shared" si="20"/>
        <v>3652085</v>
      </c>
      <c r="G36" s="11">
        <f>+F40</f>
        <v>-628091</v>
      </c>
      <c r="H36" s="11">
        <v>-386639</v>
      </c>
      <c r="I36" s="11">
        <f t="shared" si="20"/>
        <v>425707</v>
      </c>
      <c r="J36" s="11">
        <f t="shared" si="20"/>
        <v>985291</v>
      </c>
      <c r="K36" s="11">
        <f t="shared" si="20"/>
        <v>2019406</v>
      </c>
      <c r="L36" s="11">
        <f t="shared" si="20"/>
        <v>2758352</v>
      </c>
      <c r="M36" s="11">
        <f t="shared" si="20"/>
        <v>2617553</v>
      </c>
      <c r="N36" s="11">
        <f t="shared" si="20"/>
        <v>2849576</v>
      </c>
      <c r="O36" s="11">
        <f t="shared" si="20"/>
        <v>3243477</v>
      </c>
      <c r="P36" s="125">
        <v>565841</v>
      </c>
      <c r="Q36" s="125">
        <f>+P40</f>
        <v>581469</v>
      </c>
      <c r="R36" s="125">
        <v>568763</v>
      </c>
      <c r="S36" s="125">
        <f t="shared" si="20"/>
        <v>387548.84000000008</v>
      </c>
      <c r="T36" s="125">
        <f>+S40</f>
        <v>249040.84000000008</v>
      </c>
      <c r="U36" s="125">
        <f>+T40-3</f>
        <v>159966.84000000008</v>
      </c>
      <c r="V36" s="125">
        <f t="shared" si="20"/>
        <v>341035.84000000008</v>
      </c>
      <c r="W36" s="125">
        <f t="shared" si="20"/>
        <v>553609.84000000008</v>
      </c>
      <c r="X36" s="125">
        <f t="shared" si="20"/>
        <v>914392.84000000008</v>
      </c>
      <c r="Y36" s="125">
        <f t="shared" si="20"/>
        <v>793202.84000000008</v>
      </c>
      <c r="Z36" s="125">
        <f t="shared" si="20"/>
        <v>794375.09051999985</v>
      </c>
      <c r="AA36" s="125">
        <f t="shared" si="20"/>
        <v>757206.92135955929</v>
      </c>
      <c r="AB36" s="125">
        <f t="shared" si="20"/>
        <v>684981.15916633746</v>
      </c>
      <c r="AC36" s="125">
        <f t="shared" si="20"/>
        <v>578399.72663456318</v>
      </c>
    </row>
    <row r="37" spans="1:29" hidden="1">
      <c r="B37" s="10"/>
      <c r="C37" s="10"/>
      <c r="D37" s="10"/>
      <c r="E37" s="10"/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</row>
    <row r="38" spans="1:29" hidden="1">
      <c r="A38" s="9" t="s">
        <v>109</v>
      </c>
      <c r="B38" s="10"/>
      <c r="C38" s="10"/>
      <c r="D38" s="10"/>
      <c r="E38" s="10"/>
      <c r="F38" s="10">
        <v>-4447737</v>
      </c>
      <c r="G38" s="11">
        <v>239165</v>
      </c>
      <c r="H38" s="11"/>
      <c r="I38" s="11"/>
      <c r="J38" s="11"/>
      <c r="K38" s="11"/>
      <c r="L38" s="11"/>
      <c r="M38" s="11"/>
      <c r="N38" s="11"/>
      <c r="O38" s="11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</row>
    <row r="39" spans="1:29">
      <c r="B39" s="10"/>
      <c r="C39" s="10"/>
      <c r="D39" s="10"/>
      <c r="E39" s="10"/>
      <c r="F39" s="10"/>
      <c r="G39" s="11"/>
      <c r="H39" s="11"/>
      <c r="I39" s="11"/>
      <c r="J39" s="11"/>
      <c r="K39" s="11"/>
      <c r="L39" s="11"/>
      <c r="M39" s="11"/>
      <c r="N39" s="11"/>
      <c r="O39" s="11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</row>
    <row r="40" spans="1:29" ht="13" thickBot="1">
      <c r="A40" s="9" t="s">
        <v>41</v>
      </c>
      <c r="B40" s="20">
        <f>+B27+B36</f>
        <v>4017125</v>
      </c>
      <c r="C40" s="20">
        <f>+C27+C36</f>
        <v>3881372</v>
      </c>
      <c r="D40" s="20">
        <f>+D27+D36</f>
        <v>3539098</v>
      </c>
      <c r="E40" s="20">
        <f>+E27+E36</f>
        <v>3652085</v>
      </c>
      <c r="F40" s="20">
        <f>+F27+F36+F38</f>
        <v>-628091</v>
      </c>
      <c r="G40" s="31">
        <f>+G27+G36+G38</f>
        <v>-386639</v>
      </c>
      <c r="H40" s="31">
        <f>+H27+H36+H38</f>
        <v>425707</v>
      </c>
      <c r="I40" s="31">
        <f t="shared" ref="I40:Q40" si="21">+I27+I36</f>
        <v>985291</v>
      </c>
      <c r="J40" s="31">
        <f t="shared" si="21"/>
        <v>2019406</v>
      </c>
      <c r="K40" s="31">
        <f t="shared" si="21"/>
        <v>2758352</v>
      </c>
      <c r="L40" s="31">
        <f t="shared" si="21"/>
        <v>2617553</v>
      </c>
      <c r="M40" s="31">
        <f t="shared" si="21"/>
        <v>2849576</v>
      </c>
      <c r="N40" s="31">
        <f t="shared" si="21"/>
        <v>3243477</v>
      </c>
      <c r="O40" s="31">
        <f t="shared" si="21"/>
        <v>5656442</v>
      </c>
      <c r="P40" s="129">
        <f t="shared" si="21"/>
        <v>581469</v>
      </c>
      <c r="Q40" s="129">
        <f t="shared" si="21"/>
        <v>549640</v>
      </c>
      <c r="R40" s="129">
        <f>+R27+R36</f>
        <v>387548.84000000008</v>
      </c>
      <c r="S40" s="129">
        <f>+S27+S36</f>
        <v>249040.84000000008</v>
      </c>
      <c r="T40" s="129">
        <f>+T27+T36</f>
        <v>159969.84000000008</v>
      </c>
      <c r="U40" s="129">
        <f>+(U27+U29)+U36</f>
        <v>341035.84000000008</v>
      </c>
      <c r="V40" s="129">
        <f>+V32+V36</f>
        <v>553609.84000000008</v>
      </c>
      <c r="W40" s="129">
        <f t="shared" ref="W40:AB40" si="22">+W32+W36</f>
        <v>914392.84000000008</v>
      </c>
      <c r="X40" s="129">
        <f t="shared" si="22"/>
        <v>793202.84000000008</v>
      </c>
      <c r="Y40" s="129">
        <f t="shared" si="22"/>
        <v>794375.09051999985</v>
      </c>
      <c r="Z40" s="129">
        <f t="shared" si="22"/>
        <v>757206.92135955929</v>
      </c>
      <c r="AA40" s="129">
        <f t="shared" si="22"/>
        <v>684981.15916633746</v>
      </c>
      <c r="AB40" s="129">
        <f t="shared" si="22"/>
        <v>578399.72663456318</v>
      </c>
      <c r="AC40" s="129">
        <f>+AC32+AC36</f>
        <v>436176.16888957983</v>
      </c>
    </row>
    <row r="41" spans="1:29" ht="13" thickTop="1">
      <c r="B41" s="10"/>
      <c r="C41" s="10"/>
      <c r="D41" s="10"/>
      <c r="E41" s="10"/>
      <c r="F41" s="10"/>
      <c r="G41" s="11"/>
      <c r="H41" s="11"/>
      <c r="I41" s="11"/>
      <c r="J41" s="11"/>
      <c r="K41" s="11"/>
      <c r="L41" s="11"/>
      <c r="M41" s="11"/>
      <c r="N41" s="11"/>
      <c r="O41" s="11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42" spans="1:29" ht="24">
      <c r="A42" s="67" t="s">
        <v>42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130">
        <f t="shared" ref="P42:X42" si="23">+P40/P24</f>
        <v>0.60652958958236414</v>
      </c>
      <c r="Q42" s="130">
        <f t="shared" si="23"/>
        <v>0.55250140477533149</v>
      </c>
      <c r="R42" s="130">
        <f t="shared" si="23"/>
        <v>0.3808898681291546</v>
      </c>
      <c r="S42" s="130">
        <f t="shared" si="23"/>
        <v>0.25980806566537001</v>
      </c>
      <c r="T42" s="130">
        <f t="shared" si="23"/>
        <v>0.15050545496968634</v>
      </c>
      <c r="U42" s="130">
        <f t="shared" si="23"/>
        <v>0.25076644112313917</v>
      </c>
      <c r="V42" s="130">
        <f t="shared" si="23"/>
        <v>0.38575400118594955</v>
      </c>
      <c r="W42" s="130">
        <f t="shared" si="23"/>
        <v>0.60781594678511108</v>
      </c>
      <c r="X42" s="130">
        <f t="shared" si="23"/>
        <v>0.46400838160399382</v>
      </c>
      <c r="Y42" s="130">
        <f>+Y40/Y24</f>
        <v>0.45107239921422576</v>
      </c>
      <c r="Z42" s="130">
        <f>+Z40/Z24</f>
        <v>0.41734837978761097</v>
      </c>
      <c r="AA42" s="130">
        <f>+AA40/AA24</f>
        <v>0.36644584463971058</v>
      </c>
      <c r="AB42" s="130">
        <f>+AB40/AB24</f>
        <v>0.30032311236641518</v>
      </c>
      <c r="AC42" s="130">
        <f>+AC40/AC24</f>
        <v>0.21980294851193857</v>
      </c>
    </row>
    <row r="43" spans="1:29" hidden="1">
      <c r="A43" s="21"/>
      <c r="E43" s="10"/>
      <c r="F43" s="10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9" ht="31" hidden="1" thickBot="1">
      <c r="A44" s="69" t="s">
        <v>94</v>
      </c>
      <c r="B44" s="22">
        <f>+B24/12</f>
        <v>614077.41666666663</v>
      </c>
      <c r="C44" s="22">
        <f>+C24/12</f>
        <v>647331</v>
      </c>
      <c r="D44" s="70">
        <f t="shared" ref="D44:U44" si="24">+D40/(+D24/365)</f>
        <v>157.63713813904403</v>
      </c>
      <c r="E44" s="70">
        <f t="shared" si="24"/>
        <v>159.73975756666474</v>
      </c>
      <c r="F44" s="70">
        <f t="shared" si="24"/>
        <v>-28.261544879505188</v>
      </c>
      <c r="G44" s="70">
        <f t="shared" si="24"/>
        <v>-16.503960239839895</v>
      </c>
      <c r="H44" s="70">
        <f t="shared" si="24"/>
        <v>19.054751226829367</v>
      </c>
      <c r="I44" s="70">
        <f t="shared" si="24"/>
        <v>41.755939719688236</v>
      </c>
      <c r="J44" s="70">
        <f t="shared" si="24"/>
        <v>84.136077085060762</v>
      </c>
      <c r="K44" s="70">
        <f t="shared" si="24"/>
        <v>106.33523426686614</v>
      </c>
      <c r="L44" s="70">
        <f t="shared" si="24"/>
        <v>100.50479734973884</v>
      </c>
      <c r="M44" s="70">
        <f t="shared" si="24"/>
        <v>106.95546247626115</v>
      </c>
      <c r="N44" s="70">
        <f t="shared" si="24"/>
        <v>117.26324716041009</v>
      </c>
      <c r="O44" s="70">
        <f t="shared" si="24"/>
        <v>236.60478992027112</v>
      </c>
      <c r="P44" s="70">
        <f t="shared" si="24"/>
        <v>221.3833001975629</v>
      </c>
      <c r="Q44" s="70">
        <f t="shared" si="24"/>
        <v>201.66301274299599</v>
      </c>
      <c r="R44" s="70">
        <f t="shared" si="24"/>
        <v>139.02480186714141</v>
      </c>
      <c r="S44" s="70">
        <f t="shared" si="24"/>
        <v>94.829943967860046</v>
      </c>
      <c r="T44" s="70">
        <f t="shared" si="24"/>
        <v>54.934491063935511</v>
      </c>
      <c r="U44" s="70">
        <f t="shared" si="24"/>
        <v>91.529751009945798</v>
      </c>
    </row>
    <row r="45" spans="1:29" hidden="1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9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9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9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7:21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7:21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7:2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7:21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7:21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7:21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7:21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7:21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7:21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7:21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7:21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7:21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7:2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7:21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7:21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7:21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7:21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7:21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7:21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7:21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7:21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7:21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7:2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7:21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131" spans="16:29">
      <c r="P131" s="9" t="s">
        <v>99</v>
      </c>
      <c r="Q131" s="131" t="s">
        <v>100</v>
      </c>
      <c r="R131" s="131" t="s">
        <v>101</v>
      </c>
      <c r="S131" s="131" t="s">
        <v>104</v>
      </c>
      <c r="T131" s="131" t="s">
        <v>106</v>
      </c>
      <c r="U131" s="155" t="s">
        <v>148</v>
      </c>
      <c r="V131" s="155" t="s">
        <v>160</v>
      </c>
      <c r="W131" s="159" t="s">
        <v>169</v>
      </c>
      <c r="X131" s="159" t="s">
        <v>175</v>
      </c>
      <c r="Y131" s="159" t="s">
        <v>140</v>
      </c>
      <c r="Z131" s="159" t="s">
        <v>141</v>
      </c>
      <c r="AA131" s="159" t="s">
        <v>149</v>
      </c>
      <c r="AB131" s="159" t="s">
        <v>163</v>
      </c>
      <c r="AC131" s="159" t="s">
        <v>166</v>
      </c>
    </row>
  </sheetData>
  <phoneticPr fontId="0" type="noConversion"/>
  <pageMargins left="0.4" right="0.4" top="1.25" bottom="0.5" header="0.5" footer="0.25"/>
  <pageSetup scale="85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ignoredErrors>
    <ignoredError sqref="W12:X12 U32" emptyCellReference="1"/>
    <ignoredError sqref="U40" formula="1"/>
  </ignoredErrors>
  <extLst>
    <ext xmlns:mx="http://schemas.microsoft.com/office/mac/excel/2008/main" uri="{64002731-A6B0-56B0-2670-7721B7C09600}">
      <mx:PLV Mode="1" OnePage="0" WScale="9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C52"/>
  <sheetViews>
    <sheetView view="pageLayout" topLeftCell="A9" zoomScale="125" zoomScaleNormal="125" zoomScalePageLayoutView="125" workbookViewId="0">
      <selection activeCell="Y27" sqref="Y27"/>
    </sheetView>
  </sheetViews>
  <sheetFormatPr baseColWidth="10" defaultColWidth="9.1640625" defaultRowHeight="12" x14ac:dyDescent="0"/>
  <cols>
    <col min="1" max="1" width="24.1640625" style="9" customWidth="1"/>
    <col min="2" max="6" width="18.6640625" style="10" hidden="1" customWidth="1"/>
    <col min="7" max="10" width="18.6640625" style="9" hidden="1" customWidth="1"/>
    <col min="11" max="11" width="20.1640625" style="9" hidden="1" customWidth="1"/>
    <col min="12" max="16" width="18.6640625" style="9" hidden="1" customWidth="1"/>
    <col min="17" max="17" width="3.83203125" style="9" hidden="1" customWidth="1"/>
    <col min="18" max="19" width="11.5" style="9" hidden="1" customWidth="1"/>
    <col min="20" max="20" width="12.5" style="9" hidden="1" customWidth="1"/>
    <col min="21" max="21" width="12.1640625" style="9" hidden="1" customWidth="1"/>
    <col min="22" max="23" width="12.1640625" style="9" customWidth="1"/>
    <col min="24" max="25" width="12" style="9" customWidth="1"/>
    <col min="26" max="29" width="12.1640625" style="9" customWidth="1"/>
    <col min="30" max="16384" width="9.1640625" style="9"/>
  </cols>
  <sheetData>
    <row r="1" spans="1:29" ht="61">
      <c r="A1" s="106" t="s">
        <v>65</v>
      </c>
      <c r="B1" s="49" t="s">
        <v>44</v>
      </c>
      <c r="C1" s="49" t="s">
        <v>9</v>
      </c>
      <c r="D1" s="49" t="s">
        <v>56</v>
      </c>
      <c r="E1" s="49" t="s">
        <v>57</v>
      </c>
      <c r="F1" s="49" t="s">
        <v>23</v>
      </c>
      <c r="G1" s="49" t="s">
        <v>91</v>
      </c>
      <c r="H1" s="49" t="s">
        <v>64</v>
      </c>
      <c r="I1" s="50" t="s">
        <v>110</v>
      </c>
      <c r="J1" s="49" t="s">
        <v>95</v>
      </c>
      <c r="K1" s="74" t="s">
        <v>15</v>
      </c>
      <c r="L1" s="74" t="s">
        <v>58</v>
      </c>
      <c r="M1" s="74" t="s">
        <v>60</v>
      </c>
      <c r="N1" s="74" t="s">
        <v>119</v>
      </c>
      <c r="O1" s="74" t="s">
        <v>70</v>
      </c>
      <c r="P1" s="74" t="s">
        <v>63</v>
      </c>
      <c r="Q1" s="23" t="s">
        <v>3</v>
      </c>
      <c r="R1" s="3" t="s">
        <v>33</v>
      </c>
      <c r="S1" s="3" t="s">
        <v>39</v>
      </c>
      <c r="T1" s="3" t="s">
        <v>111</v>
      </c>
      <c r="U1" s="153" t="s">
        <v>129</v>
      </c>
      <c r="V1" s="153" t="s">
        <v>130</v>
      </c>
      <c r="W1" s="156" t="s">
        <v>131</v>
      </c>
      <c r="X1" s="156" t="s">
        <v>132</v>
      </c>
      <c r="Y1" s="156" t="s">
        <v>135</v>
      </c>
      <c r="Z1" s="156" t="s">
        <v>136</v>
      </c>
      <c r="AA1" s="156" t="s">
        <v>150</v>
      </c>
      <c r="AB1" s="156" t="s">
        <v>159</v>
      </c>
      <c r="AC1" s="156" t="s">
        <v>167</v>
      </c>
    </row>
    <row r="2" spans="1:29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4" t="s">
        <v>127</v>
      </c>
      <c r="Y2" s="157" t="s">
        <v>128</v>
      </c>
      <c r="Z2" s="157" t="s">
        <v>128</v>
      </c>
      <c r="AA2" s="157" t="s">
        <v>128</v>
      </c>
      <c r="AB2" s="157" t="s">
        <v>128</v>
      </c>
      <c r="AC2" s="157" t="s">
        <v>128</v>
      </c>
    </row>
    <row r="3" spans="1:29">
      <c r="A3" s="59" t="s">
        <v>92</v>
      </c>
    </row>
    <row r="5" spans="1:29" s="169" customFormat="1">
      <c r="A5" s="169" t="s">
        <v>93</v>
      </c>
      <c r="B5" s="169">
        <f>1209632+1076784+462805</f>
        <v>2749221</v>
      </c>
      <c r="C5" s="169">
        <f>2343328-54148</f>
        <v>2289180</v>
      </c>
      <c r="D5" s="169">
        <v>2486274</v>
      </c>
      <c r="E5" s="169">
        <v>3629468</v>
      </c>
      <c r="F5" s="169">
        <v>3149698</v>
      </c>
      <c r="G5" s="169">
        <v>1424925</v>
      </c>
      <c r="H5" s="169">
        <v>2528497</v>
      </c>
      <c r="I5" s="169">
        <v>3097722</v>
      </c>
      <c r="J5" s="169">
        <v>1627358</v>
      </c>
      <c r="K5" s="169">
        <v>1431316</v>
      </c>
      <c r="L5" s="169">
        <v>2663961</v>
      </c>
      <c r="M5" s="169">
        <v>2784363</v>
      </c>
      <c r="N5" s="169">
        <v>3548899</v>
      </c>
      <c r="O5" s="169">
        <v>4180654</v>
      </c>
      <c r="P5" s="169">
        <v>993093</v>
      </c>
      <c r="Q5" s="169">
        <v>1009862</v>
      </c>
      <c r="R5" s="148">
        <v>1585960.09</v>
      </c>
      <c r="S5" s="125">
        <v>1424953</v>
      </c>
      <c r="T5" s="125">
        <v>1759020</v>
      </c>
      <c r="U5" s="125">
        <v>1783629</v>
      </c>
      <c r="V5" s="162">
        <v>1732261</v>
      </c>
      <c r="W5" s="162">
        <v>1607484</v>
      </c>
      <c r="X5" s="162">
        <v>1478079</v>
      </c>
      <c r="Y5" s="162">
        <f>(X5*1.015)+20000</f>
        <v>1520250.1849999998</v>
      </c>
      <c r="Z5" s="162">
        <f>Y5*1.009</f>
        <v>1533932.4366649997</v>
      </c>
      <c r="AA5" s="162">
        <f>Z5*1.001</f>
        <v>1535466.3691016645</v>
      </c>
      <c r="AB5" s="162">
        <f>AA5*1.027</f>
        <v>1576923.9610674093</v>
      </c>
      <c r="AC5" s="162">
        <f>AB5*1.027</f>
        <v>1619500.9080162293</v>
      </c>
    </row>
    <row r="6" spans="1:29" s="169" customFormat="1">
      <c r="A6" s="169" t="s">
        <v>27</v>
      </c>
      <c r="B6" s="169">
        <v>131776</v>
      </c>
      <c r="C6" s="169">
        <v>54148</v>
      </c>
      <c r="D6" s="169">
        <v>0</v>
      </c>
      <c r="E6" s="169">
        <f t="shared" ref="E6:M21" si="0">D6*1.06</f>
        <v>0</v>
      </c>
      <c r="F6" s="169">
        <f t="shared" si="0"/>
        <v>0</v>
      </c>
      <c r="G6" s="169">
        <f t="shared" si="0"/>
        <v>0</v>
      </c>
      <c r="H6" s="169">
        <f t="shared" si="0"/>
        <v>0</v>
      </c>
      <c r="I6" s="169">
        <f t="shared" si="0"/>
        <v>0</v>
      </c>
      <c r="J6" s="169">
        <f t="shared" si="0"/>
        <v>0</v>
      </c>
      <c r="K6" s="169">
        <f t="shared" si="0"/>
        <v>0</v>
      </c>
      <c r="L6" s="169">
        <f t="shared" si="0"/>
        <v>0</v>
      </c>
      <c r="M6" s="169">
        <f t="shared" si="0"/>
        <v>0</v>
      </c>
      <c r="N6" s="169">
        <f t="shared" ref="N6:O8" si="1">M6*1.06</f>
        <v>0</v>
      </c>
      <c r="O6" s="169">
        <f t="shared" si="1"/>
        <v>0</v>
      </c>
      <c r="P6" s="169">
        <v>22000</v>
      </c>
      <c r="Q6" s="169">
        <v>44486</v>
      </c>
      <c r="R6" s="149">
        <v>22000</v>
      </c>
      <c r="S6" s="179">
        <v>54834</v>
      </c>
      <c r="T6" s="179">
        <v>17600</v>
      </c>
      <c r="U6" s="179">
        <f>+T6</f>
        <v>17600</v>
      </c>
      <c r="V6" s="169">
        <f>U6</f>
        <v>17600</v>
      </c>
      <c r="W6" s="169">
        <f>SUM(V6)</f>
        <v>17600</v>
      </c>
      <c r="X6" s="169">
        <f t="shared" ref="X6:AC6" si="2">SUM(W6)</f>
        <v>17600</v>
      </c>
      <c r="Y6" s="169">
        <f t="shared" si="2"/>
        <v>17600</v>
      </c>
      <c r="Z6" s="169">
        <f t="shared" si="2"/>
        <v>17600</v>
      </c>
      <c r="AA6" s="169">
        <f t="shared" si="2"/>
        <v>17600</v>
      </c>
      <c r="AB6" s="169">
        <f t="shared" si="2"/>
        <v>17600</v>
      </c>
      <c r="AC6" s="169">
        <f t="shared" si="2"/>
        <v>17600</v>
      </c>
    </row>
    <row r="7" spans="1:29" s="169" customFormat="1">
      <c r="A7" s="169" t="s">
        <v>28</v>
      </c>
      <c r="B7" s="169">
        <v>0</v>
      </c>
      <c r="C7" s="169">
        <v>0</v>
      </c>
      <c r="D7" s="169">
        <v>0</v>
      </c>
      <c r="E7" s="169">
        <f t="shared" si="0"/>
        <v>0</v>
      </c>
      <c r="F7" s="169">
        <f t="shared" si="0"/>
        <v>0</v>
      </c>
      <c r="G7" s="169">
        <f t="shared" si="0"/>
        <v>0</v>
      </c>
      <c r="H7" s="169">
        <f t="shared" si="0"/>
        <v>0</v>
      </c>
      <c r="I7" s="169">
        <f t="shared" si="0"/>
        <v>0</v>
      </c>
      <c r="J7" s="169">
        <f t="shared" si="0"/>
        <v>0</v>
      </c>
      <c r="K7" s="169">
        <f t="shared" si="0"/>
        <v>0</v>
      </c>
      <c r="L7" s="169">
        <f t="shared" si="0"/>
        <v>0</v>
      </c>
      <c r="M7" s="169">
        <f t="shared" si="0"/>
        <v>0</v>
      </c>
      <c r="N7" s="169">
        <f t="shared" si="1"/>
        <v>0</v>
      </c>
      <c r="O7" s="169">
        <f t="shared" si="1"/>
        <v>0</v>
      </c>
      <c r="P7" s="169">
        <f t="shared" ref="P7:S8" si="3">O7*1.06</f>
        <v>0</v>
      </c>
      <c r="Q7" s="169">
        <f t="shared" si="3"/>
        <v>0</v>
      </c>
      <c r="R7" s="149">
        <f t="shared" si="3"/>
        <v>0</v>
      </c>
      <c r="S7" s="179">
        <f t="shared" si="3"/>
        <v>0</v>
      </c>
      <c r="T7" s="179">
        <f t="shared" ref="T7:W8" si="4">S7*1.06</f>
        <v>0</v>
      </c>
      <c r="U7" s="179">
        <f t="shared" si="4"/>
        <v>0</v>
      </c>
      <c r="V7" s="169">
        <f>U7*1.1</f>
        <v>0</v>
      </c>
      <c r="W7" s="169">
        <f t="shared" si="4"/>
        <v>0</v>
      </c>
      <c r="X7" s="169">
        <f t="shared" ref="X7:X8" si="5">W7*1.06</f>
        <v>0</v>
      </c>
      <c r="Y7" s="169">
        <f t="shared" ref="Y7:Y8" si="6">X7*1.06</f>
        <v>0</v>
      </c>
      <c r="Z7" s="169">
        <f t="shared" ref="Z7:Z8" si="7">Y7*1.06</f>
        <v>0</v>
      </c>
      <c r="AA7" s="169">
        <f t="shared" ref="AA7:AC8" si="8">Z7*1.06</f>
        <v>0</v>
      </c>
      <c r="AB7" s="169">
        <f t="shared" si="8"/>
        <v>0</v>
      </c>
      <c r="AC7" s="169">
        <f t="shared" si="8"/>
        <v>0</v>
      </c>
    </row>
    <row r="8" spans="1:29" s="169" customFormat="1">
      <c r="A8" s="169" t="s">
        <v>50</v>
      </c>
      <c r="B8" s="169">
        <v>0</v>
      </c>
      <c r="C8" s="169">
        <v>0</v>
      </c>
      <c r="D8" s="169">
        <v>0</v>
      </c>
      <c r="E8" s="169">
        <f t="shared" si="0"/>
        <v>0</v>
      </c>
      <c r="F8" s="169">
        <f t="shared" si="0"/>
        <v>0</v>
      </c>
      <c r="G8" s="169">
        <f t="shared" si="0"/>
        <v>0</v>
      </c>
      <c r="H8" s="169">
        <f t="shared" si="0"/>
        <v>0</v>
      </c>
      <c r="I8" s="169">
        <f t="shared" si="0"/>
        <v>0</v>
      </c>
      <c r="J8" s="169">
        <f t="shared" si="0"/>
        <v>0</v>
      </c>
      <c r="K8" s="169">
        <f t="shared" si="0"/>
        <v>0</v>
      </c>
      <c r="L8" s="169">
        <f t="shared" si="0"/>
        <v>0</v>
      </c>
      <c r="M8" s="169">
        <f t="shared" si="0"/>
        <v>0</v>
      </c>
      <c r="N8" s="169">
        <f t="shared" si="1"/>
        <v>0</v>
      </c>
      <c r="O8" s="169">
        <f t="shared" si="1"/>
        <v>0</v>
      </c>
      <c r="P8" s="169">
        <f t="shared" si="3"/>
        <v>0</v>
      </c>
      <c r="Q8" s="169">
        <f t="shared" si="3"/>
        <v>0</v>
      </c>
      <c r="R8" s="149">
        <f t="shared" si="3"/>
        <v>0</v>
      </c>
      <c r="S8" s="179">
        <f t="shared" si="3"/>
        <v>0</v>
      </c>
      <c r="T8" s="179">
        <f t="shared" si="4"/>
        <v>0</v>
      </c>
      <c r="U8" s="179">
        <f t="shared" si="4"/>
        <v>0</v>
      </c>
      <c r="V8" s="169">
        <f t="shared" si="4"/>
        <v>0</v>
      </c>
      <c r="W8" s="169">
        <f t="shared" si="4"/>
        <v>0</v>
      </c>
      <c r="X8" s="169">
        <f t="shared" si="5"/>
        <v>0</v>
      </c>
      <c r="Y8" s="169">
        <f t="shared" si="6"/>
        <v>0</v>
      </c>
      <c r="Z8" s="169">
        <f t="shared" si="7"/>
        <v>0</v>
      </c>
      <c r="AA8" s="169">
        <f t="shared" si="8"/>
        <v>0</v>
      </c>
      <c r="AB8" s="169">
        <f t="shared" si="8"/>
        <v>0</v>
      </c>
      <c r="AC8" s="169">
        <f t="shared" si="8"/>
        <v>0</v>
      </c>
    </row>
    <row r="9" spans="1:29" s="169" customFormat="1">
      <c r="A9" s="169" t="s">
        <v>112</v>
      </c>
      <c r="B9" s="174">
        <v>73209</v>
      </c>
      <c r="C9" s="174">
        <v>128142</v>
      </c>
      <c r="D9" s="174">
        <v>196555</v>
      </c>
      <c r="E9" s="174">
        <v>258284</v>
      </c>
      <c r="F9" s="174">
        <v>382992</v>
      </c>
      <c r="G9" s="174">
        <v>333010</v>
      </c>
      <c r="H9" s="174">
        <v>262562</v>
      </c>
      <c r="I9" s="174">
        <v>290391</v>
      </c>
      <c r="J9" s="174">
        <v>282552</v>
      </c>
      <c r="K9" s="174">
        <v>146844</v>
      </c>
      <c r="L9" s="174">
        <v>54705</v>
      </c>
      <c r="M9" s="174">
        <v>27747</v>
      </c>
      <c r="N9" s="174">
        <v>35313</v>
      </c>
      <c r="O9" s="174">
        <v>56637</v>
      </c>
      <c r="P9" s="174">
        <v>16985</v>
      </c>
      <c r="Q9" s="174">
        <v>1385</v>
      </c>
      <c r="R9" s="147">
        <v>729.63</v>
      </c>
      <c r="S9" s="200">
        <v>225</v>
      </c>
      <c r="T9" s="200">
        <v>250</v>
      </c>
      <c r="U9" s="200">
        <v>1333</v>
      </c>
      <c r="V9" s="174">
        <v>1550</v>
      </c>
      <c r="W9" s="174">
        <v>1960</v>
      </c>
      <c r="X9" s="174">
        <v>700</v>
      </c>
      <c r="Y9" s="174">
        <f>+X34*0.003</f>
        <v>2487.5377800000001</v>
      </c>
      <c r="Z9" s="174">
        <f>+Y34*0.003</f>
        <v>2051.2284683399994</v>
      </c>
      <c r="AA9" s="174">
        <f>+Z34*0.003</f>
        <v>1634.427693820018</v>
      </c>
      <c r="AB9" s="174">
        <f>+AA34*0.003</f>
        <v>1119.4272788880717</v>
      </c>
      <c r="AC9" s="174">
        <f>+AB34*0.003</f>
        <v>613.31437689155882</v>
      </c>
    </row>
    <row r="10" spans="1:29" s="169" customFormat="1">
      <c r="R10" s="125"/>
      <c r="S10" s="125"/>
      <c r="T10" s="125"/>
      <c r="U10" s="125"/>
    </row>
    <row r="11" spans="1:29" s="169" customFormat="1" ht="13" thickBot="1">
      <c r="A11" s="169" t="s">
        <v>22</v>
      </c>
      <c r="B11" s="240">
        <f>SUM(B5:B10)</f>
        <v>2954206</v>
      </c>
      <c r="C11" s="240">
        <f>SUM(C5:C10)</f>
        <v>2471470</v>
      </c>
      <c r="D11" s="240">
        <f>SUM(D5:D10)</f>
        <v>2682829</v>
      </c>
      <c r="E11" s="240">
        <f t="shared" ref="E11:M11" si="9">SUM(E5:E9)</f>
        <v>3887752</v>
      </c>
      <c r="F11" s="240">
        <f t="shared" si="9"/>
        <v>3532690</v>
      </c>
      <c r="G11" s="240">
        <f t="shared" si="9"/>
        <v>1757935</v>
      </c>
      <c r="H11" s="240">
        <f t="shared" si="9"/>
        <v>2791059</v>
      </c>
      <c r="I11" s="240">
        <f t="shared" si="9"/>
        <v>3388113</v>
      </c>
      <c r="J11" s="240">
        <f t="shared" si="9"/>
        <v>1909910</v>
      </c>
      <c r="K11" s="240">
        <f t="shared" si="9"/>
        <v>1578160</v>
      </c>
      <c r="L11" s="240">
        <f t="shared" si="9"/>
        <v>2718666</v>
      </c>
      <c r="M11" s="240">
        <f t="shared" si="9"/>
        <v>2812110</v>
      </c>
      <c r="N11" s="240">
        <f t="shared" ref="N11:S11" si="10">SUM(N5:N9)</f>
        <v>3584212</v>
      </c>
      <c r="O11" s="240">
        <f t="shared" si="10"/>
        <v>4237291</v>
      </c>
      <c r="P11" s="240">
        <f t="shared" si="10"/>
        <v>1032078</v>
      </c>
      <c r="Q11" s="240">
        <f t="shared" si="10"/>
        <v>1055733</v>
      </c>
      <c r="R11" s="127">
        <f t="shared" si="10"/>
        <v>1608689.72</v>
      </c>
      <c r="S11" s="127">
        <f t="shared" si="10"/>
        <v>1480012</v>
      </c>
      <c r="T11" s="127">
        <f>SUM(T5:T9)-1</f>
        <v>1776869</v>
      </c>
      <c r="U11" s="127">
        <f t="shared" ref="U11:W11" si="11">SUM(U5:U9)</f>
        <v>1802562</v>
      </c>
      <c r="V11" s="172">
        <f t="shared" si="11"/>
        <v>1751411</v>
      </c>
      <c r="W11" s="172">
        <f t="shared" si="11"/>
        <v>1627044</v>
      </c>
      <c r="X11" s="172">
        <f t="shared" ref="X11:AA11" si="12">SUM(X5:X9)</f>
        <v>1496379</v>
      </c>
      <c r="Y11" s="172">
        <f t="shared" si="12"/>
        <v>1540337.7227799997</v>
      </c>
      <c r="Z11" s="172">
        <f t="shared" si="12"/>
        <v>1553583.6651333396</v>
      </c>
      <c r="AA11" s="172">
        <f t="shared" si="12"/>
        <v>1554700.7967954846</v>
      </c>
      <c r="AB11" s="172">
        <f t="shared" ref="AB11:AC11" si="13">SUM(AB5:AB9)</f>
        <v>1595643.3883462974</v>
      </c>
      <c r="AC11" s="172">
        <f t="shared" si="13"/>
        <v>1637714.2223931209</v>
      </c>
    </row>
    <row r="12" spans="1:29" s="169" customFormat="1"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9" s="169" customFormat="1" ht="9" customHeight="1"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9" s="169" customFormat="1">
      <c r="A14" s="241" t="s">
        <v>102</v>
      </c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9" s="169" customFormat="1"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9" s="169" customFormat="1">
      <c r="A16" s="169" t="s">
        <v>103</v>
      </c>
      <c r="B16" s="169">
        <v>0</v>
      </c>
      <c r="C16" s="169">
        <v>0</v>
      </c>
      <c r="D16" s="169">
        <v>0</v>
      </c>
      <c r="E16" s="169">
        <f t="shared" si="0"/>
        <v>0</v>
      </c>
      <c r="F16" s="169">
        <f t="shared" si="0"/>
        <v>0</v>
      </c>
      <c r="G16" s="169">
        <f t="shared" si="0"/>
        <v>0</v>
      </c>
      <c r="H16" s="169">
        <f t="shared" si="0"/>
        <v>0</v>
      </c>
      <c r="I16" s="169">
        <f t="shared" si="0"/>
        <v>0</v>
      </c>
      <c r="J16" s="169">
        <f t="shared" si="0"/>
        <v>0</v>
      </c>
      <c r="K16" s="169">
        <f t="shared" si="0"/>
        <v>0</v>
      </c>
      <c r="L16" s="169">
        <f t="shared" si="0"/>
        <v>0</v>
      </c>
      <c r="M16" s="169">
        <f t="shared" si="0"/>
        <v>0</v>
      </c>
      <c r="N16" s="169">
        <f t="shared" ref="N16:S16" si="14">M16*1.06</f>
        <v>0</v>
      </c>
      <c r="O16" s="169">
        <f t="shared" si="14"/>
        <v>0</v>
      </c>
      <c r="P16" s="169">
        <f t="shared" si="14"/>
        <v>0</v>
      </c>
      <c r="Q16" s="169">
        <f t="shared" si="14"/>
        <v>0</v>
      </c>
      <c r="R16" s="148">
        <f t="shared" si="14"/>
        <v>0</v>
      </c>
      <c r="S16" s="125">
        <f t="shared" si="14"/>
        <v>0</v>
      </c>
      <c r="T16" s="125">
        <f>S16*1.06</f>
        <v>0</v>
      </c>
      <c r="U16" s="125">
        <f>T16*1.06</f>
        <v>0</v>
      </c>
      <c r="V16" s="125">
        <f>U16*1.06</f>
        <v>0</v>
      </c>
      <c r="W16" s="125">
        <f>V16*1.06</f>
        <v>0</v>
      </c>
      <c r="X16" s="125">
        <v>0</v>
      </c>
      <c r="Y16" s="125">
        <v>0</v>
      </c>
      <c r="Z16" s="125">
        <v>0</v>
      </c>
      <c r="AA16" s="125">
        <v>0</v>
      </c>
      <c r="AB16" s="125">
        <v>0</v>
      </c>
      <c r="AC16" s="125">
        <v>0</v>
      </c>
    </row>
    <row r="17" spans="1:29" s="169" customFormat="1">
      <c r="A17" s="169" t="s">
        <v>66</v>
      </c>
      <c r="B17" s="169">
        <v>2117196</v>
      </c>
      <c r="C17" s="169">
        <v>2117508</v>
      </c>
      <c r="D17" s="169">
        <v>2561727</v>
      </c>
      <c r="E17" s="169">
        <v>2454176</v>
      </c>
      <c r="F17" s="169">
        <v>2755339</v>
      </c>
      <c r="G17" s="169">
        <v>2744120</v>
      </c>
      <c r="H17" s="169">
        <v>2950822</v>
      </c>
      <c r="I17" s="169">
        <v>2977129</v>
      </c>
      <c r="J17" s="169">
        <v>3128358</v>
      </c>
      <c r="K17" s="169">
        <v>3181296</v>
      </c>
      <c r="L17" s="169">
        <v>3150521</v>
      </c>
      <c r="M17" s="169">
        <v>3432794</v>
      </c>
      <c r="N17" s="169">
        <v>3903939</v>
      </c>
      <c r="O17" s="169">
        <v>4269539</v>
      </c>
      <c r="P17" s="169">
        <v>1270568</v>
      </c>
      <c r="Q17" s="169">
        <v>1266857</v>
      </c>
      <c r="R17" s="149">
        <v>1403586.46</v>
      </c>
      <c r="S17" s="179">
        <f>1497087+1</f>
        <v>1497088</v>
      </c>
      <c r="T17" s="198">
        <v>1516453</v>
      </c>
      <c r="U17" s="179">
        <v>1513371</v>
      </c>
      <c r="V17" s="179">
        <v>1524283</v>
      </c>
      <c r="W17" s="179">
        <v>1569088</v>
      </c>
      <c r="X17" s="179">
        <v>1672395</v>
      </c>
      <c r="Y17" s="179">
        <f>SUM(X17*100.8%)</f>
        <v>1685774.16</v>
      </c>
      <c r="Z17" s="179">
        <f>SUM(Y17*100.4%)</f>
        <v>1692517.25664</v>
      </c>
      <c r="AA17" s="179">
        <f>SUM(Z17*102%)</f>
        <v>1726367.6017728001</v>
      </c>
      <c r="AB17" s="179">
        <f>SUM(AA17*102.2%)</f>
        <v>1764347.6890118017</v>
      </c>
      <c r="AC17" s="179">
        <f>SUM(AB17*102.2%)</f>
        <v>1803163.3381700614</v>
      </c>
    </row>
    <row r="18" spans="1:29" s="169" customFormat="1">
      <c r="A18" s="169" t="s">
        <v>83</v>
      </c>
      <c r="B18" s="169">
        <v>0</v>
      </c>
      <c r="C18" s="169">
        <v>0</v>
      </c>
      <c r="D18" s="169">
        <v>0</v>
      </c>
      <c r="E18" s="169">
        <f t="shared" si="0"/>
        <v>0</v>
      </c>
      <c r="F18" s="169">
        <f t="shared" si="0"/>
        <v>0</v>
      </c>
      <c r="G18" s="169">
        <f t="shared" si="0"/>
        <v>0</v>
      </c>
      <c r="H18" s="169">
        <f t="shared" si="0"/>
        <v>0</v>
      </c>
      <c r="I18" s="169">
        <f t="shared" si="0"/>
        <v>0</v>
      </c>
      <c r="J18" s="169">
        <f t="shared" si="0"/>
        <v>0</v>
      </c>
      <c r="K18" s="169">
        <f t="shared" si="0"/>
        <v>0</v>
      </c>
      <c r="L18" s="169">
        <f t="shared" si="0"/>
        <v>0</v>
      </c>
      <c r="M18" s="169">
        <f t="shared" si="0"/>
        <v>0</v>
      </c>
      <c r="N18" s="169">
        <f t="shared" ref="N18:O21" si="15">M18*1.06</f>
        <v>0</v>
      </c>
      <c r="O18" s="169">
        <f t="shared" si="15"/>
        <v>0</v>
      </c>
      <c r="P18" s="169">
        <f t="shared" ref="P18:R21" si="16">O18*1.06</f>
        <v>0</v>
      </c>
      <c r="Q18" s="169">
        <f t="shared" si="16"/>
        <v>0</v>
      </c>
      <c r="R18" s="149">
        <f t="shared" si="16"/>
        <v>0</v>
      </c>
      <c r="S18" s="179">
        <f>R18*1.06</f>
        <v>0</v>
      </c>
      <c r="T18" s="179">
        <f t="shared" ref="T18:W21" si="17">S18*1.06</f>
        <v>0</v>
      </c>
      <c r="U18" s="179">
        <f t="shared" si="17"/>
        <v>0</v>
      </c>
      <c r="V18" s="308">
        <f t="shared" si="17"/>
        <v>0</v>
      </c>
      <c r="W18" s="308">
        <f t="shared" si="17"/>
        <v>0</v>
      </c>
      <c r="X18" s="309">
        <v>0</v>
      </c>
      <c r="Y18" s="309">
        <v>0</v>
      </c>
      <c r="Z18" s="309">
        <v>0</v>
      </c>
      <c r="AA18" s="309">
        <v>0</v>
      </c>
      <c r="AB18" s="309">
        <v>0</v>
      </c>
      <c r="AC18" s="309">
        <v>0</v>
      </c>
    </row>
    <row r="19" spans="1:29" s="169" customFormat="1">
      <c r="A19" s="169" t="s">
        <v>84</v>
      </c>
      <c r="B19" s="169">
        <v>0</v>
      </c>
      <c r="C19" s="169">
        <v>0</v>
      </c>
      <c r="D19" s="169">
        <v>0</v>
      </c>
      <c r="E19" s="169">
        <f t="shared" si="0"/>
        <v>0</v>
      </c>
      <c r="F19" s="169">
        <f t="shared" si="0"/>
        <v>0</v>
      </c>
      <c r="G19" s="169">
        <f t="shared" si="0"/>
        <v>0</v>
      </c>
      <c r="H19" s="169">
        <f t="shared" si="0"/>
        <v>0</v>
      </c>
      <c r="I19" s="169">
        <f t="shared" si="0"/>
        <v>0</v>
      </c>
      <c r="J19" s="169">
        <f t="shared" si="0"/>
        <v>0</v>
      </c>
      <c r="K19" s="169">
        <f t="shared" si="0"/>
        <v>0</v>
      </c>
      <c r="L19" s="169">
        <f t="shared" si="0"/>
        <v>0</v>
      </c>
      <c r="M19" s="169">
        <f t="shared" si="0"/>
        <v>0</v>
      </c>
      <c r="N19" s="169">
        <f t="shared" si="15"/>
        <v>0</v>
      </c>
      <c r="O19" s="169">
        <f t="shared" si="15"/>
        <v>0</v>
      </c>
      <c r="P19" s="169">
        <f t="shared" si="16"/>
        <v>0</v>
      </c>
      <c r="Q19" s="169">
        <f t="shared" si="16"/>
        <v>0</v>
      </c>
      <c r="R19" s="149">
        <f t="shared" si="16"/>
        <v>0</v>
      </c>
      <c r="S19" s="179">
        <f>R19*1.06</f>
        <v>0</v>
      </c>
      <c r="T19" s="179">
        <f t="shared" si="17"/>
        <v>0</v>
      </c>
      <c r="U19" s="179">
        <f t="shared" si="17"/>
        <v>0</v>
      </c>
      <c r="V19" s="308">
        <f t="shared" si="17"/>
        <v>0</v>
      </c>
      <c r="W19" s="308">
        <f t="shared" si="17"/>
        <v>0</v>
      </c>
      <c r="X19" s="308">
        <v>0</v>
      </c>
      <c r="Y19" s="308">
        <v>0</v>
      </c>
      <c r="Z19" s="308">
        <v>0</v>
      </c>
      <c r="AA19" s="308">
        <v>0</v>
      </c>
      <c r="AB19" s="308">
        <v>0</v>
      </c>
      <c r="AC19" s="308">
        <v>0</v>
      </c>
    </row>
    <row r="20" spans="1:29" s="169" customFormat="1">
      <c r="A20" s="169" t="s">
        <v>85</v>
      </c>
      <c r="B20" s="169">
        <v>0</v>
      </c>
      <c r="C20" s="169">
        <v>0</v>
      </c>
      <c r="D20" s="169">
        <v>0</v>
      </c>
      <c r="E20" s="169">
        <f t="shared" si="0"/>
        <v>0</v>
      </c>
      <c r="F20" s="169">
        <f t="shared" si="0"/>
        <v>0</v>
      </c>
      <c r="G20" s="169">
        <f t="shared" si="0"/>
        <v>0</v>
      </c>
      <c r="H20" s="169">
        <f t="shared" si="0"/>
        <v>0</v>
      </c>
      <c r="I20" s="169">
        <f t="shared" si="0"/>
        <v>0</v>
      </c>
      <c r="J20" s="169">
        <f t="shared" si="0"/>
        <v>0</v>
      </c>
      <c r="K20" s="169">
        <f t="shared" si="0"/>
        <v>0</v>
      </c>
      <c r="L20" s="169">
        <f t="shared" si="0"/>
        <v>0</v>
      </c>
      <c r="M20" s="169">
        <f t="shared" si="0"/>
        <v>0</v>
      </c>
      <c r="N20" s="169">
        <f t="shared" si="15"/>
        <v>0</v>
      </c>
      <c r="O20" s="169">
        <f t="shared" si="15"/>
        <v>0</v>
      </c>
      <c r="P20" s="169">
        <f t="shared" si="16"/>
        <v>0</v>
      </c>
      <c r="Q20" s="169">
        <f t="shared" si="16"/>
        <v>0</v>
      </c>
      <c r="R20" s="149">
        <f t="shared" si="16"/>
        <v>0</v>
      </c>
      <c r="S20" s="179">
        <f>R20*1.06</f>
        <v>0</v>
      </c>
      <c r="T20" s="179">
        <f t="shared" si="17"/>
        <v>0</v>
      </c>
      <c r="U20" s="179">
        <f t="shared" si="17"/>
        <v>0</v>
      </c>
      <c r="V20" s="308">
        <f t="shared" si="17"/>
        <v>0</v>
      </c>
      <c r="W20" s="308">
        <f t="shared" si="17"/>
        <v>0</v>
      </c>
      <c r="X20" s="309">
        <v>0</v>
      </c>
      <c r="Y20" s="309">
        <v>0</v>
      </c>
      <c r="Z20" s="309">
        <v>0</v>
      </c>
      <c r="AA20" s="309">
        <v>0</v>
      </c>
      <c r="AB20" s="309">
        <v>0</v>
      </c>
      <c r="AC20" s="309">
        <v>0</v>
      </c>
    </row>
    <row r="21" spans="1:29" s="169" customFormat="1">
      <c r="A21" s="169" t="s">
        <v>86</v>
      </c>
      <c r="B21" s="169">
        <v>0</v>
      </c>
      <c r="C21" s="169">
        <v>0</v>
      </c>
      <c r="D21" s="169">
        <v>0</v>
      </c>
      <c r="E21" s="169">
        <f t="shared" si="0"/>
        <v>0</v>
      </c>
      <c r="F21" s="169">
        <f t="shared" si="0"/>
        <v>0</v>
      </c>
      <c r="G21" s="169">
        <f t="shared" si="0"/>
        <v>0</v>
      </c>
      <c r="H21" s="169">
        <f t="shared" si="0"/>
        <v>0</v>
      </c>
      <c r="I21" s="169">
        <f t="shared" si="0"/>
        <v>0</v>
      </c>
      <c r="J21" s="169">
        <f t="shared" si="0"/>
        <v>0</v>
      </c>
      <c r="K21" s="169">
        <f t="shared" si="0"/>
        <v>0</v>
      </c>
      <c r="L21" s="169">
        <f t="shared" si="0"/>
        <v>0</v>
      </c>
      <c r="M21" s="169">
        <f t="shared" si="0"/>
        <v>0</v>
      </c>
      <c r="N21" s="169">
        <f t="shared" si="15"/>
        <v>0</v>
      </c>
      <c r="O21" s="169">
        <f t="shared" si="15"/>
        <v>0</v>
      </c>
      <c r="P21" s="169">
        <f t="shared" si="16"/>
        <v>0</v>
      </c>
      <c r="Q21" s="169">
        <f t="shared" si="16"/>
        <v>0</v>
      </c>
      <c r="R21" s="149">
        <f t="shared" si="16"/>
        <v>0</v>
      </c>
      <c r="S21" s="179">
        <f>R21*1.06</f>
        <v>0</v>
      </c>
      <c r="T21" s="179">
        <f t="shared" si="17"/>
        <v>0</v>
      </c>
      <c r="U21" s="179">
        <f t="shared" si="17"/>
        <v>0</v>
      </c>
      <c r="V21" s="308">
        <f t="shared" si="17"/>
        <v>0</v>
      </c>
      <c r="W21" s="308">
        <f t="shared" si="17"/>
        <v>0</v>
      </c>
      <c r="X21" s="309">
        <v>0</v>
      </c>
      <c r="Y21" s="309">
        <v>0</v>
      </c>
      <c r="Z21" s="309">
        <v>0</v>
      </c>
      <c r="AA21" s="309">
        <v>0</v>
      </c>
      <c r="AB21" s="309">
        <v>0</v>
      </c>
      <c r="AC21" s="309">
        <v>0</v>
      </c>
    </row>
    <row r="22" spans="1:29" s="169" customFormat="1">
      <c r="A22" s="178" t="s">
        <v>156</v>
      </c>
      <c r="B22" s="174">
        <v>0</v>
      </c>
      <c r="C22" s="174">
        <v>0</v>
      </c>
      <c r="D22" s="174">
        <v>0</v>
      </c>
      <c r="E22" s="174">
        <f>D22*1.06</f>
        <v>0</v>
      </c>
      <c r="F22" s="174">
        <f>E22*1.06</f>
        <v>0</v>
      </c>
      <c r="G22" s="174">
        <f>F22*1.06</f>
        <v>0</v>
      </c>
      <c r="H22" s="174">
        <v>0</v>
      </c>
      <c r="I22" s="174">
        <v>0</v>
      </c>
      <c r="J22" s="174">
        <v>0</v>
      </c>
      <c r="K22" s="174">
        <v>0</v>
      </c>
      <c r="L22" s="174">
        <v>0</v>
      </c>
      <c r="M22" s="174">
        <v>0</v>
      </c>
      <c r="N22" s="174">
        <v>0</v>
      </c>
      <c r="O22" s="174">
        <v>0</v>
      </c>
      <c r="P22" s="174">
        <v>0</v>
      </c>
      <c r="Q22" s="174">
        <v>0</v>
      </c>
      <c r="R22" s="147">
        <v>0</v>
      </c>
      <c r="S22" s="200">
        <v>0</v>
      </c>
      <c r="T22" s="200">
        <v>0</v>
      </c>
      <c r="U22" s="200">
        <v>0</v>
      </c>
      <c r="V22" s="310">
        <v>0</v>
      </c>
      <c r="W22" s="310">
        <v>0</v>
      </c>
      <c r="X22" s="310">
        <v>0</v>
      </c>
      <c r="Y22" s="310">
        <v>0</v>
      </c>
      <c r="Z22" s="310">
        <v>0</v>
      </c>
      <c r="AA22" s="310">
        <v>0</v>
      </c>
      <c r="AB22" s="310">
        <v>0</v>
      </c>
      <c r="AC22" s="310">
        <v>0</v>
      </c>
    </row>
    <row r="23" spans="1:29" s="169" customFormat="1"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</row>
    <row r="24" spans="1:29" s="169" customFormat="1" ht="13" thickBot="1">
      <c r="A24" s="169" t="s">
        <v>22</v>
      </c>
      <c r="B24" s="240">
        <f t="shared" ref="B24:U24" si="18">SUM(B16:B23)</f>
        <v>2117196</v>
      </c>
      <c r="C24" s="240">
        <f t="shared" si="18"/>
        <v>2117508</v>
      </c>
      <c r="D24" s="240">
        <f t="shared" si="18"/>
        <v>2561727</v>
      </c>
      <c r="E24" s="240">
        <f t="shared" si="18"/>
        <v>2454176</v>
      </c>
      <c r="F24" s="240">
        <f t="shared" si="18"/>
        <v>2755339</v>
      </c>
      <c r="G24" s="240">
        <f t="shared" si="18"/>
        <v>2744120</v>
      </c>
      <c r="H24" s="240">
        <f t="shared" si="18"/>
        <v>2950822</v>
      </c>
      <c r="I24" s="240">
        <f t="shared" si="18"/>
        <v>2977129</v>
      </c>
      <c r="J24" s="240">
        <f t="shared" si="18"/>
        <v>3128358</v>
      </c>
      <c r="K24" s="240">
        <f t="shared" si="18"/>
        <v>3181296</v>
      </c>
      <c r="L24" s="240">
        <f t="shared" si="18"/>
        <v>3150521</v>
      </c>
      <c r="M24" s="240">
        <f t="shared" si="18"/>
        <v>3432794</v>
      </c>
      <c r="N24" s="240">
        <f t="shared" si="18"/>
        <v>3903939</v>
      </c>
      <c r="O24" s="240">
        <f t="shared" si="18"/>
        <v>4269539</v>
      </c>
      <c r="P24" s="240">
        <f t="shared" si="18"/>
        <v>1270568</v>
      </c>
      <c r="Q24" s="240">
        <f t="shared" si="18"/>
        <v>1266857</v>
      </c>
      <c r="R24" s="127">
        <f t="shared" si="18"/>
        <v>1403586.46</v>
      </c>
      <c r="S24" s="127">
        <f>SUM(S16:S23)</f>
        <v>1497088</v>
      </c>
      <c r="T24" s="127">
        <f t="shared" si="18"/>
        <v>1516453</v>
      </c>
      <c r="U24" s="127">
        <f t="shared" si="18"/>
        <v>1513371</v>
      </c>
      <c r="V24" s="127">
        <f t="shared" ref="V24:AA24" si="19">SUM(V16:V23)</f>
        <v>1524283</v>
      </c>
      <c r="W24" s="127">
        <f t="shared" si="19"/>
        <v>1569088</v>
      </c>
      <c r="X24" s="127">
        <f t="shared" si="19"/>
        <v>1672395</v>
      </c>
      <c r="Y24" s="127">
        <f t="shared" si="19"/>
        <v>1685774.16</v>
      </c>
      <c r="Z24" s="127">
        <f t="shared" si="19"/>
        <v>1692517.25664</v>
      </c>
      <c r="AA24" s="127">
        <f t="shared" si="19"/>
        <v>1726367.6017728001</v>
      </c>
      <c r="AB24" s="127">
        <f t="shared" ref="AB24:AC24" si="20">SUM(AB16:AB23)</f>
        <v>1764347.6890118017</v>
      </c>
      <c r="AC24" s="127">
        <f t="shared" si="20"/>
        <v>1803163.3381700614</v>
      </c>
    </row>
    <row r="25" spans="1:29" s="169" customFormat="1"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9" s="169" customFormat="1" ht="6" customHeight="1"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9" s="169" customFormat="1" ht="52">
      <c r="A27" s="242" t="s">
        <v>46</v>
      </c>
      <c r="B27" s="170">
        <f t="shared" ref="B27:M27" si="21">+B11-B24</f>
        <v>837010</v>
      </c>
      <c r="C27" s="170">
        <f t="shared" si="21"/>
        <v>353962</v>
      </c>
      <c r="D27" s="170">
        <f t="shared" si="21"/>
        <v>121102</v>
      </c>
      <c r="E27" s="170">
        <f t="shared" si="21"/>
        <v>1433576</v>
      </c>
      <c r="F27" s="170">
        <f t="shared" si="21"/>
        <v>777351</v>
      </c>
      <c r="G27" s="170">
        <f t="shared" si="21"/>
        <v>-986185</v>
      </c>
      <c r="H27" s="170">
        <f t="shared" si="21"/>
        <v>-159763</v>
      </c>
      <c r="I27" s="170">
        <f t="shared" si="21"/>
        <v>410984</v>
      </c>
      <c r="J27" s="170">
        <f t="shared" si="21"/>
        <v>-1218448</v>
      </c>
      <c r="K27" s="170">
        <f t="shared" si="21"/>
        <v>-1603136</v>
      </c>
      <c r="L27" s="170">
        <f t="shared" si="21"/>
        <v>-431855</v>
      </c>
      <c r="M27" s="170">
        <f t="shared" si="21"/>
        <v>-620684</v>
      </c>
      <c r="N27" s="170">
        <f t="shared" ref="N27:S27" si="22">+N11-N24</f>
        <v>-319727</v>
      </c>
      <c r="O27" s="170">
        <f t="shared" si="22"/>
        <v>-32248</v>
      </c>
      <c r="P27" s="170">
        <f t="shared" si="22"/>
        <v>-238490</v>
      </c>
      <c r="Q27" s="170">
        <f t="shared" si="22"/>
        <v>-211124</v>
      </c>
      <c r="R27" s="128">
        <f t="shared" si="22"/>
        <v>205103.26</v>
      </c>
      <c r="S27" s="128">
        <f t="shared" si="22"/>
        <v>-17076</v>
      </c>
      <c r="T27" s="138">
        <f t="shared" ref="T27:Z27" si="23">+T11-T24</f>
        <v>260416</v>
      </c>
      <c r="U27" s="138">
        <f t="shared" si="23"/>
        <v>289191</v>
      </c>
      <c r="V27" s="138">
        <f t="shared" si="23"/>
        <v>227128</v>
      </c>
      <c r="W27" s="138">
        <f t="shared" si="23"/>
        <v>57956</v>
      </c>
      <c r="X27" s="138">
        <f t="shared" si="23"/>
        <v>-176016</v>
      </c>
      <c r="Y27" s="138">
        <f t="shared" si="23"/>
        <v>-145436.4372200002</v>
      </c>
      <c r="Z27" s="138">
        <f t="shared" si="23"/>
        <v>-138933.59150666045</v>
      </c>
      <c r="AA27" s="138">
        <f t="shared" ref="AA27:AC27" si="24">+AA11-AA24</f>
        <v>-171666.80497731548</v>
      </c>
      <c r="AB27" s="138">
        <f t="shared" si="24"/>
        <v>-168704.3006655043</v>
      </c>
      <c r="AC27" s="138">
        <f t="shared" si="24"/>
        <v>-165449.11577694048</v>
      </c>
    </row>
    <row r="28" spans="1:29" s="169" customFormat="1" ht="9" customHeight="1">
      <c r="R28" s="125"/>
      <c r="S28" s="125"/>
      <c r="T28" s="125"/>
      <c r="U28" s="125"/>
      <c r="V28" s="125"/>
      <c r="W28" s="125"/>
      <c r="X28" s="125"/>
      <c r="Y28" s="125"/>
      <c r="Z28" s="125"/>
      <c r="AA28" s="125"/>
    </row>
    <row r="29" spans="1:29" s="169" customFormat="1" ht="10" customHeight="1">
      <c r="R29" s="125"/>
      <c r="S29" s="125"/>
      <c r="T29" s="125"/>
      <c r="U29" s="125"/>
      <c r="V29" s="125"/>
      <c r="W29" s="125"/>
      <c r="X29" s="125"/>
      <c r="Y29" s="125"/>
      <c r="Z29" s="125"/>
      <c r="AA29" s="125"/>
    </row>
    <row r="30" spans="1:29" s="169" customFormat="1">
      <c r="A30" s="243" t="s">
        <v>47</v>
      </c>
      <c r="R30" s="125"/>
      <c r="S30" s="125"/>
      <c r="T30" s="125"/>
      <c r="U30" s="125"/>
      <c r="V30" s="125"/>
      <c r="W30" s="125"/>
      <c r="X30" s="125"/>
      <c r="Y30" s="125"/>
      <c r="Z30" s="125"/>
      <c r="AA30" s="125"/>
    </row>
    <row r="31" spans="1:29" s="169" customFormat="1">
      <c r="R31" s="125"/>
      <c r="S31" s="125"/>
      <c r="T31" s="125"/>
      <c r="U31" s="125"/>
      <c r="V31" s="125"/>
      <c r="W31" s="125"/>
      <c r="X31" s="125"/>
      <c r="Y31" s="125"/>
      <c r="Z31" s="125"/>
      <c r="AA31" s="125"/>
    </row>
    <row r="32" spans="1:29" s="169" customFormat="1">
      <c r="A32" s="169" t="s">
        <v>48</v>
      </c>
      <c r="B32" s="169">
        <v>2557388</v>
      </c>
      <c r="C32" s="169">
        <f>+B34</f>
        <v>3394398</v>
      </c>
      <c r="D32" s="169">
        <f t="shared" ref="D32:AC32" si="25">+C34</f>
        <v>3748360</v>
      </c>
      <c r="E32" s="169">
        <f t="shared" si="25"/>
        <v>3869462</v>
      </c>
      <c r="F32" s="169">
        <f t="shared" si="25"/>
        <v>5303038</v>
      </c>
      <c r="G32" s="169">
        <v>6080393</v>
      </c>
      <c r="H32" s="169">
        <f t="shared" si="25"/>
        <v>5094208</v>
      </c>
      <c r="I32" s="169">
        <f t="shared" si="25"/>
        <v>4934445</v>
      </c>
      <c r="J32" s="169">
        <f t="shared" si="25"/>
        <v>5345429</v>
      </c>
      <c r="K32" s="169">
        <f t="shared" si="25"/>
        <v>4126981</v>
      </c>
      <c r="L32" s="169">
        <f t="shared" si="25"/>
        <v>2523845</v>
      </c>
      <c r="M32" s="169">
        <f t="shared" si="25"/>
        <v>2091990</v>
      </c>
      <c r="N32" s="169">
        <f t="shared" si="25"/>
        <v>1471306</v>
      </c>
      <c r="O32" s="169">
        <f t="shared" si="25"/>
        <v>1151579</v>
      </c>
      <c r="P32" s="169">
        <v>429195</v>
      </c>
      <c r="Q32" s="169">
        <f t="shared" si="25"/>
        <v>190705</v>
      </c>
      <c r="R32" s="125">
        <v>-17525</v>
      </c>
      <c r="S32" s="125">
        <f t="shared" si="25"/>
        <v>187578.26</v>
      </c>
      <c r="T32" s="125">
        <f t="shared" si="25"/>
        <v>170502.26</v>
      </c>
      <c r="U32" s="125">
        <f>+T34+2</f>
        <v>430920.26</v>
      </c>
      <c r="V32" s="125">
        <f t="shared" si="25"/>
        <v>720111.26</v>
      </c>
      <c r="W32" s="125">
        <f t="shared" si="25"/>
        <v>947239.26</v>
      </c>
      <c r="X32" s="125">
        <f t="shared" si="25"/>
        <v>1005195.26</v>
      </c>
      <c r="Y32" s="125">
        <f t="shared" si="25"/>
        <v>829179.26</v>
      </c>
      <c r="Z32" s="125">
        <f t="shared" si="25"/>
        <v>683742.82277999981</v>
      </c>
      <c r="AA32" s="125">
        <f t="shared" si="25"/>
        <v>544809.23127333936</v>
      </c>
      <c r="AB32" s="125">
        <f t="shared" si="25"/>
        <v>373142.42629602388</v>
      </c>
      <c r="AC32" s="125">
        <f t="shared" si="25"/>
        <v>204438.12563051959</v>
      </c>
    </row>
    <row r="33" spans="1:29" s="169" customFormat="1"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</row>
    <row r="34" spans="1:29" s="169" customFormat="1" ht="13" thickBot="1">
      <c r="A34" s="169" t="s">
        <v>41</v>
      </c>
      <c r="B34" s="244">
        <f t="shared" ref="B34:M34" si="26">+B27+B32</f>
        <v>3394398</v>
      </c>
      <c r="C34" s="244">
        <f t="shared" si="26"/>
        <v>3748360</v>
      </c>
      <c r="D34" s="244">
        <f t="shared" si="26"/>
        <v>3869462</v>
      </c>
      <c r="E34" s="244">
        <f t="shared" si="26"/>
        <v>5303038</v>
      </c>
      <c r="F34" s="244">
        <f t="shared" si="26"/>
        <v>6080389</v>
      </c>
      <c r="G34" s="244">
        <f t="shared" si="26"/>
        <v>5094208</v>
      </c>
      <c r="H34" s="244">
        <f t="shared" si="26"/>
        <v>4934445</v>
      </c>
      <c r="I34" s="244">
        <f t="shared" si="26"/>
        <v>5345429</v>
      </c>
      <c r="J34" s="244">
        <f t="shared" si="26"/>
        <v>4126981</v>
      </c>
      <c r="K34" s="244">
        <f t="shared" si="26"/>
        <v>2523845</v>
      </c>
      <c r="L34" s="244">
        <f t="shared" si="26"/>
        <v>2091990</v>
      </c>
      <c r="M34" s="244">
        <f t="shared" si="26"/>
        <v>1471306</v>
      </c>
      <c r="N34" s="244">
        <f t="shared" ref="N34:Z34" si="27">+N27+N32</f>
        <v>1151579</v>
      </c>
      <c r="O34" s="244">
        <f t="shared" si="27"/>
        <v>1119331</v>
      </c>
      <c r="P34" s="244">
        <f t="shared" si="27"/>
        <v>190705</v>
      </c>
      <c r="Q34" s="244">
        <f t="shared" si="27"/>
        <v>-20419</v>
      </c>
      <c r="R34" s="129">
        <f t="shared" si="27"/>
        <v>187578.26</v>
      </c>
      <c r="S34" s="129">
        <f t="shared" si="27"/>
        <v>170502.26</v>
      </c>
      <c r="T34" s="129">
        <f t="shared" si="27"/>
        <v>430918.26</v>
      </c>
      <c r="U34" s="129">
        <f t="shared" si="27"/>
        <v>720111.26</v>
      </c>
      <c r="V34" s="129">
        <f t="shared" si="27"/>
        <v>947239.26</v>
      </c>
      <c r="W34" s="129">
        <f t="shared" si="27"/>
        <v>1005195.26</v>
      </c>
      <c r="X34" s="129">
        <f t="shared" si="27"/>
        <v>829179.26</v>
      </c>
      <c r="Y34" s="129">
        <f t="shared" si="27"/>
        <v>683742.82277999981</v>
      </c>
      <c r="Z34" s="129">
        <f t="shared" si="27"/>
        <v>544809.23127333936</v>
      </c>
      <c r="AA34" s="129">
        <f t="shared" ref="AA34:AB34" si="28">+AA27+AA32</f>
        <v>373142.42629602388</v>
      </c>
      <c r="AB34" s="129">
        <f t="shared" si="28"/>
        <v>204438.12563051959</v>
      </c>
      <c r="AC34" s="129">
        <f t="shared" ref="AC34" si="29">+AC27+AC32</f>
        <v>38989.009853579104</v>
      </c>
    </row>
    <row r="35" spans="1:29" ht="13" thickTop="1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</row>
    <row r="36" spans="1:29" ht="26" customHeight="1">
      <c r="A36" s="67" t="s">
        <v>173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130" t="e">
        <f>+P34/P22</f>
        <v>#DIV/0!</v>
      </c>
      <c r="Q36" s="130" t="e">
        <f>+Q34/Q22</f>
        <v>#DIV/0!</v>
      </c>
      <c r="R36" s="130">
        <f t="shared" ref="R36:X36" si="30">R34/R24</f>
        <v>0.1336421127915412</v>
      </c>
      <c r="S36" s="130">
        <f t="shared" si="30"/>
        <v>0.11388927037021204</v>
      </c>
      <c r="T36" s="130">
        <f t="shared" si="30"/>
        <v>0.28416196215774575</v>
      </c>
      <c r="U36" s="130">
        <f t="shared" si="30"/>
        <v>0.47583260152335416</v>
      </c>
      <c r="V36" s="130">
        <f t="shared" si="30"/>
        <v>0.62143267359145249</v>
      </c>
      <c r="W36" s="130">
        <f t="shared" si="30"/>
        <v>0.64062389107558027</v>
      </c>
      <c r="X36" s="130">
        <f t="shared" si="30"/>
        <v>0.49580347944116071</v>
      </c>
      <c r="Y36" s="130">
        <f>Y34/Y24</f>
        <v>0.40559574289595224</v>
      </c>
      <c r="Z36" s="130">
        <f>Z34/Z24</f>
        <v>0.3218928664602802</v>
      </c>
      <c r="AA36" s="130">
        <f>AA34/AA24</f>
        <v>0.2161430890575364</v>
      </c>
      <c r="AB36" s="130">
        <f>AB34/AB24</f>
        <v>0.11587179040941975</v>
      </c>
      <c r="AC36" s="130">
        <f>AC34/AC24</f>
        <v>2.1622561322230002E-2</v>
      </c>
    </row>
    <row r="38" spans="1:29">
      <c r="A38" s="21"/>
      <c r="B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9" ht="31" hidden="1" thickBot="1">
      <c r="A39" s="69" t="s">
        <v>94</v>
      </c>
      <c r="B39" s="22">
        <f>+B24/12</f>
        <v>176433</v>
      </c>
      <c r="C39" s="22">
        <f>+C24/12</f>
        <v>176459</v>
      </c>
      <c r="D39" s="70">
        <f>+D34/(D24/365)</f>
        <v>551.32870520551171</v>
      </c>
      <c r="E39" s="70">
        <f t="shared" ref="E39:M39" si="31">+E34/(E24/365)</f>
        <v>788.70010545290972</v>
      </c>
      <c r="F39" s="70">
        <f t="shared" si="31"/>
        <v>805.46966634595594</v>
      </c>
      <c r="G39" s="70">
        <f t="shared" si="31"/>
        <v>677.58914333192422</v>
      </c>
      <c r="H39" s="70">
        <f t="shared" si="31"/>
        <v>610.36295140811615</v>
      </c>
      <c r="I39" s="70">
        <f t="shared" si="31"/>
        <v>655.35674974110964</v>
      </c>
      <c r="J39" s="70">
        <f t="shared" si="31"/>
        <v>481.51396515360454</v>
      </c>
      <c r="K39" s="70">
        <f t="shared" si="31"/>
        <v>289.56859877232426</v>
      </c>
      <c r="L39" s="70">
        <f t="shared" si="31"/>
        <v>242.36510405739239</v>
      </c>
      <c r="M39" s="70">
        <f t="shared" si="31"/>
        <v>156.44011554436418</v>
      </c>
      <c r="N39" s="70">
        <f t="shared" ref="N39:S39" si="32">+N34/(N24/365)</f>
        <v>107.66723942151759</v>
      </c>
      <c r="O39" s="70">
        <f t="shared" si="32"/>
        <v>95.690849761531624</v>
      </c>
      <c r="P39" s="70">
        <f t="shared" si="32"/>
        <v>54.7844153166143</v>
      </c>
      <c r="Q39" s="70">
        <f t="shared" si="32"/>
        <v>-5.8830120526626128</v>
      </c>
      <c r="R39" s="70">
        <f t="shared" si="32"/>
        <v>48.779371168912533</v>
      </c>
      <c r="S39" s="70">
        <f t="shared" si="32"/>
        <v>41.569583685127391</v>
      </c>
      <c r="T39" s="70">
        <f>+T34/(T24/365)</f>
        <v>103.71911618757719</v>
      </c>
      <c r="U39" s="70">
        <f>+U34/(U24/365)</f>
        <v>173.67889955602425</v>
      </c>
    </row>
    <row r="40" spans="1:29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9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9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9" hidden="1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9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9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9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9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9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7:28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7:28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31" t="s">
        <v>106</v>
      </c>
      <c r="U50" t="s">
        <v>148</v>
      </c>
      <c r="V50" t="s">
        <v>160</v>
      </c>
      <c r="W50" s="246" t="s">
        <v>138</v>
      </c>
      <c r="X50" s="246" t="s">
        <v>139</v>
      </c>
      <c r="Y50" s="246" t="s">
        <v>140</v>
      </c>
      <c r="Z50" s="246" t="s">
        <v>141</v>
      </c>
      <c r="AA50" s="246" t="s">
        <v>149</v>
      </c>
      <c r="AB50" s="246" t="s">
        <v>163</v>
      </c>
    </row>
    <row r="51" spans="7:28">
      <c r="G51" s="10"/>
    </row>
    <row r="52" spans="7:28">
      <c r="G52" s="10"/>
    </row>
  </sheetData>
  <phoneticPr fontId="0" type="noConversion"/>
  <pageMargins left="0.2" right="0.2" top="1.25" bottom="0.36" header="0.5" footer="0.1"/>
  <pageSetup scale="94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AC100"/>
  <sheetViews>
    <sheetView view="pageLayout" topLeftCell="A15" zoomScale="125" zoomScaleNormal="125" zoomScalePageLayoutView="125" workbookViewId="0">
      <selection activeCell="W38" sqref="W38"/>
    </sheetView>
  </sheetViews>
  <sheetFormatPr baseColWidth="10" defaultColWidth="9.1640625" defaultRowHeight="12" x14ac:dyDescent="0"/>
  <cols>
    <col min="1" max="1" width="26.6640625" style="9" customWidth="1"/>
    <col min="2" max="6" width="18.6640625" style="10" hidden="1" customWidth="1"/>
    <col min="7" max="10" width="18.6640625" style="9" hidden="1" customWidth="1"/>
    <col min="11" max="11" width="20.5" style="9" hidden="1" customWidth="1"/>
    <col min="12" max="16" width="18.6640625" style="9" hidden="1" customWidth="1"/>
    <col min="17" max="17" width="22" style="9" hidden="1" customWidth="1"/>
    <col min="18" max="19" width="12" style="9" hidden="1" customWidth="1"/>
    <col min="20" max="21" width="13" style="9" hidden="1" customWidth="1"/>
    <col min="22" max="27" width="12.83203125" style="9" customWidth="1"/>
    <col min="28" max="28" width="12.6640625" style="9" customWidth="1"/>
    <col min="29" max="29" width="12.33203125" style="9" customWidth="1"/>
    <col min="30" max="16384" width="9.1640625" style="9"/>
  </cols>
  <sheetData>
    <row r="1" spans="1:29" ht="41" customHeight="1">
      <c r="A1" s="106" t="s">
        <v>76</v>
      </c>
      <c r="B1" s="50" t="s">
        <v>44</v>
      </c>
      <c r="C1" s="49" t="s">
        <v>9</v>
      </c>
      <c r="D1" s="49" t="s">
        <v>56</v>
      </c>
      <c r="E1" s="49" t="s">
        <v>57</v>
      </c>
      <c r="F1" s="49" t="s">
        <v>23</v>
      </c>
      <c r="G1" s="49" t="s">
        <v>91</v>
      </c>
      <c r="H1" s="49" t="s">
        <v>64</v>
      </c>
      <c r="I1" s="50" t="s">
        <v>110</v>
      </c>
      <c r="J1" s="49" t="s">
        <v>95</v>
      </c>
      <c r="K1" s="74" t="s">
        <v>15</v>
      </c>
      <c r="L1" s="74" t="s">
        <v>58</v>
      </c>
      <c r="M1" s="74" t="s">
        <v>60</v>
      </c>
      <c r="N1" s="74" t="s">
        <v>119</v>
      </c>
      <c r="O1" s="74" t="s">
        <v>70</v>
      </c>
      <c r="P1" s="74" t="s">
        <v>63</v>
      </c>
      <c r="Q1" s="23" t="s">
        <v>3</v>
      </c>
      <c r="R1" s="3" t="s">
        <v>33</v>
      </c>
      <c r="S1" s="3" t="s">
        <v>39</v>
      </c>
      <c r="T1" s="3" t="s">
        <v>111</v>
      </c>
      <c r="U1" s="153" t="s">
        <v>129</v>
      </c>
      <c r="V1" s="153" t="s">
        <v>130</v>
      </c>
      <c r="W1" s="156" t="s">
        <v>131</v>
      </c>
      <c r="X1" s="156" t="s">
        <v>132</v>
      </c>
      <c r="Y1" s="156" t="s">
        <v>135</v>
      </c>
      <c r="Z1" s="156" t="s">
        <v>136</v>
      </c>
      <c r="AA1" s="156" t="s">
        <v>150</v>
      </c>
      <c r="AB1" s="156" t="s">
        <v>159</v>
      </c>
      <c r="AC1" s="156" t="s">
        <v>167</v>
      </c>
    </row>
    <row r="2" spans="1:29"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4" t="s">
        <v>127</v>
      </c>
      <c r="Y2" s="157" t="s">
        <v>128</v>
      </c>
      <c r="Z2" s="157" t="s">
        <v>128</v>
      </c>
      <c r="AA2" s="157" t="s">
        <v>128</v>
      </c>
      <c r="AB2" s="157" t="s">
        <v>128</v>
      </c>
      <c r="AC2" s="157" t="s">
        <v>128</v>
      </c>
    </row>
    <row r="3" spans="1:29">
      <c r="A3" s="1" t="s">
        <v>92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25"/>
    </row>
    <row r="4" spans="1:29"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25"/>
    </row>
    <row r="5" spans="1:29" s="125" customFormat="1">
      <c r="A5" s="125" t="s">
        <v>93</v>
      </c>
      <c r="B5" s="125">
        <v>1148696</v>
      </c>
      <c r="C5" s="125">
        <v>1252107</v>
      </c>
      <c r="D5" s="125">
        <v>1274456</v>
      </c>
      <c r="E5" s="125">
        <v>1300988</v>
      </c>
      <c r="F5" s="125">
        <v>1353052</v>
      </c>
      <c r="G5" s="125">
        <v>1415097</v>
      </c>
      <c r="H5" s="125">
        <v>1469610</v>
      </c>
      <c r="I5" s="125">
        <v>1492700</v>
      </c>
      <c r="J5" s="125">
        <v>1583127</v>
      </c>
      <c r="K5" s="125">
        <v>1585136</v>
      </c>
      <c r="L5" s="125">
        <v>1759190</v>
      </c>
      <c r="M5" s="125">
        <v>2017134</v>
      </c>
      <c r="N5" s="125">
        <v>2011714</v>
      </c>
      <c r="O5" s="125">
        <v>1270425</v>
      </c>
      <c r="P5" s="125">
        <v>336527</v>
      </c>
      <c r="Q5" s="125">
        <v>362220</v>
      </c>
      <c r="R5" s="148">
        <v>262790.76</v>
      </c>
      <c r="S5" s="125">
        <v>186136</v>
      </c>
      <c r="T5" s="125">
        <v>99836</v>
      </c>
      <c r="U5" s="125">
        <v>99083</v>
      </c>
      <c r="V5" s="304">
        <v>98458</v>
      </c>
      <c r="W5" s="304">
        <v>97143</v>
      </c>
      <c r="X5" s="304">
        <v>100984</v>
      </c>
      <c r="Y5" s="304">
        <f>SUM(X5*1.015)</f>
        <v>102498.76</v>
      </c>
      <c r="Z5" s="304">
        <f>SUM(Y5*1.009)</f>
        <v>103421.24883999999</v>
      </c>
      <c r="AA5" s="304">
        <f>SUM(Z5*1.001)</f>
        <v>103524.67008883998</v>
      </c>
      <c r="AB5" s="304">
        <f>SUM(AA5*1.027)</f>
        <v>106319.83618123864</v>
      </c>
      <c r="AC5" s="304">
        <f>SUM(AB5*1.027)</f>
        <v>109190.47175813207</v>
      </c>
    </row>
    <row r="6" spans="1:29">
      <c r="A6" s="9" t="s">
        <v>27</v>
      </c>
      <c r="B6" s="12">
        <v>0</v>
      </c>
      <c r="C6" s="12">
        <v>0</v>
      </c>
      <c r="D6" s="12">
        <v>0</v>
      </c>
      <c r="E6" s="12">
        <f t="shared" ref="E6:M21" si="0">D6*1.06</f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ref="N6:O8" si="1">M6*1.06</f>
        <v>0</v>
      </c>
      <c r="O6" s="12">
        <f t="shared" si="1"/>
        <v>0</v>
      </c>
      <c r="P6" s="12">
        <f t="shared" ref="P6:R8" si="2">O6*1.06</f>
        <v>0</v>
      </c>
      <c r="Q6" s="12">
        <f t="shared" si="2"/>
        <v>0</v>
      </c>
      <c r="R6" s="149">
        <f t="shared" si="2"/>
        <v>0</v>
      </c>
      <c r="S6" s="12">
        <f>R6*1.06</f>
        <v>0</v>
      </c>
      <c r="T6" s="12">
        <f t="shared" ref="T6:W8" si="3">S6*1.06</f>
        <v>0</v>
      </c>
      <c r="U6" s="12">
        <f t="shared" si="3"/>
        <v>0</v>
      </c>
      <c r="V6" s="169">
        <f t="shared" si="3"/>
        <v>0</v>
      </c>
      <c r="W6" s="169">
        <f t="shared" si="3"/>
        <v>0</v>
      </c>
      <c r="X6" s="169">
        <v>0</v>
      </c>
      <c r="Y6" s="169">
        <v>0</v>
      </c>
      <c r="Z6" s="169">
        <v>0</v>
      </c>
      <c r="AA6" s="169">
        <v>0</v>
      </c>
      <c r="AB6" s="169">
        <v>0</v>
      </c>
      <c r="AC6" s="169">
        <v>0</v>
      </c>
    </row>
    <row r="7" spans="1:29">
      <c r="A7" s="9" t="s">
        <v>28</v>
      </c>
      <c r="B7" s="12">
        <v>0</v>
      </c>
      <c r="C7" s="12">
        <v>0</v>
      </c>
      <c r="D7" s="12"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1"/>
        <v>0</v>
      </c>
      <c r="O7" s="12">
        <f t="shared" si="1"/>
        <v>0</v>
      </c>
      <c r="P7" s="12">
        <f t="shared" si="2"/>
        <v>0</v>
      </c>
      <c r="Q7" s="12">
        <f t="shared" si="2"/>
        <v>0</v>
      </c>
      <c r="R7" s="149">
        <f t="shared" si="2"/>
        <v>0</v>
      </c>
      <c r="S7" s="12">
        <f>R7*1.06</f>
        <v>0</v>
      </c>
      <c r="T7" s="12">
        <f t="shared" si="3"/>
        <v>0</v>
      </c>
      <c r="U7" s="12">
        <f t="shared" si="3"/>
        <v>0</v>
      </c>
      <c r="V7" s="169">
        <f t="shared" si="3"/>
        <v>0</v>
      </c>
      <c r="W7" s="169">
        <f t="shared" si="3"/>
        <v>0</v>
      </c>
      <c r="X7" s="169">
        <v>0</v>
      </c>
      <c r="Y7" s="169">
        <v>0</v>
      </c>
      <c r="Z7" s="169">
        <v>0</v>
      </c>
      <c r="AA7" s="169">
        <v>0</v>
      </c>
      <c r="AB7" s="169">
        <v>0</v>
      </c>
      <c r="AC7" s="169">
        <v>0</v>
      </c>
    </row>
    <row r="8" spans="1:29">
      <c r="A8" s="9" t="s">
        <v>50</v>
      </c>
      <c r="B8" s="12">
        <v>0</v>
      </c>
      <c r="C8" s="12">
        <v>0</v>
      </c>
      <c r="D8" s="12"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1"/>
        <v>0</v>
      </c>
      <c r="O8" s="12">
        <f t="shared" si="1"/>
        <v>0</v>
      </c>
      <c r="P8" s="12">
        <f t="shared" si="2"/>
        <v>0</v>
      </c>
      <c r="Q8" s="12">
        <f t="shared" si="2"/>
        <v>0</v>
      </c>
      <c r="R8" s="149">
        <f t="shared" si="2"/>
        <v>0</v>
      </c>
      <c r="S8" s="12">
        <f>R8*1.06</f>
        <v>0</v>
      </c>
      <c r="T8" s="12">
        <f t="shared" si="3"/>
        <v>0</v>
      </c>
      <c r="U8" s="12">
        <f t="shared" si="3"/>
        <v>0</v>
      </c>
      <c r="V8" s="169">
        <f t="shared" si="3"/>
        <v>0</v>
      </c>
      <c r="W8" s="169">
        <f t="shared" si="3"/>
        <v>0</v>
      </c>
      <c r="X8" s="169">
        <v>0</v>
      </c>
      <c r="Y8" s="169">
        <v>0</v>
      </c>
      <c r="Z8" s="169">
        <v>0</v>
      </c>
      <c r="AA8" s="169">
        <v>0</v>
      </c>
      <c r="AB8" s="169">
        <v>0</v>
      </c>
      <c r="AC8" s="169">
        <v>0</v>
      </c>
    </row>
    <row r="9" spans="1:29">
      <c r="A9" s="9" t="s">
        <v>112</v>
      </c>
      <c r="B9" s="17">
        <v>92460</v>
      </c>
      <c r="C9" s="17">
        <v>187837</v>
      </c>
      <c r="D9" s="17">
        <v>346286</v>
      </c>
      <c r="E9" s="17">
        <v>486655</v>
      </c>
      <c r="F9" s="17">
        <v>589554</v>
      </c>
      <c r="G9" s="17">
        <v>742184</v>
      </c>
      <c r="H9" s="17">
        <v>783856</v>
      </c>
      <c r="I9" s="17">
        <v>894953</v>
      </c>
      <c r="J9" s="17">
        <v>1109088</v>
      </c>
      <c r="K9" s="17">
        <v>841509</v>
      </c>
      <c r="L9" s="17">
        <v>473783</v>
      </c>
      <c r="M9" s="17">
        <v>377976</v>
      </c>
      <c r="N9" s="17">
        <v>631679</v>
      </c>
      <c r="O9" s="17">
        <v>1173369</v>
      </c>
      <c r="P9" s="17">
        <v>42865</v>
      </c>
      <c r="Q9" s="17">
        <v>26631</v>
      </c>
      <c r="R9" s="147">
        <v>30214.92</v>
      </c>
      <c r="S9" s="17">
        <v>737</v>
      </c>
      <c r="T9" s="147">
        <v>129</v>
      </c>
      <c r="U9" s="17">
        <v>597</v>
      </c>
      <c r="V9" s="174">
        <v>632</v>
      </c>
      <c r="W9" s="174">
        <v>1103</v>
      </c>
      <c r="X9" s="174">
        <v>300</v>
      </c>
      <c r="Y9" s="174">
        <f>X40*0.0015</f>
        <v>1206.2875199999999</v>
      </c>
      <c r="Z9" s="174">
        <f>Y40*0.0015</f>
        <v>1361.8450912799999</v>
      </c>
      <c r="AA9" s="174">
        <f>Z40*0.0015</f>
        <v>1519.0197321769199</v>
      </c>
      <c r="AB9" s="174">
        <f t="shared" ref="AB9:AC9" si="4">AA40*0.0015</f>
        <v>1676.5852669084452</v>
      </c>
      <c r="AC9" s="174">
        <f t="shared" si="4"/>
        <v>1838.5798990806659</v>
      </c>
    </row>
    <row r="10" spans="1:29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25"/>
    </row>
    <row r="11" spans="1:29" ht="13" thickBot="1">
      <c r="A11" s="9" t="s">
        <v>22</v>
      </c>
      <c r="B11" s="7">
        <f t="shared" ref="B11:U11" si="5">SUM(B5:B10)</f>
        <v>1241156</v>
      </c>
      <c r="C11" s="7">
        <f t="shared" si="5"/>
        <v>1439944</v>
      </c>
      <c r="D11" s="7">
        <f t="shared" si="5"/>
        <v>1620742</v>
      </c>
      <c r="E11" s="7">
        <f t="shared" si="5"/>
        <v>1787643</v>
      </c>
      <c r="F11" s="7">
        <f t="shared" si="5"/>
        <v>1942606</v>
      </c>
      <c r="G11" s="7">
        <f t="shared" si="5"/>
        <v>2157281</v>
      </c>
      <c r="H11" s="7">
        <f t="shared" si="5"/>
        <v>2253466</v>
      </c>
      <c r="I11" s="7">
        <f t="shared" si="5"/>
        <v>2387653</v>
      </c>
      <c r="J11" s="7">
        <f t="shared" si="5"/>
        <v>2692215</v>
      </c>
      <c r="K11" s="7">
        <f t="shared" si="5"/>
        <v>2426645</v>
      </c>
      <c r="L11" s="7">
        <f t="shared" si="5"/>
        <v>2232973</v>
      </c>
      <c r="M11" s="7">
        <f t="shared" si="5"/>
        <v>2395110</v>
      </c>
      <c r="N11" s="7">
        <f t="shared" si="5"/>
        <v>2643393</v>
      </c>
      <c r="O11" s="7">
        <f t="shared" si="5"/>
        <v>2443794</v>
      </c>
      <c r="P11" s="7">
        <f t="shared" si="5"/>
        <v>379392</v>
      </c>
      <c r="Q11" s="7">
        <f t="shared" si="5"/>
        <v>388851</v>
      </c>
      <c r="R11" s="7">
        <f t="shared" si="5"/>
        <v>293005.68</v>
      </c>
      <c r="S11" s="7">
        <f t="shared" si="5"/>
        <v>186873</v>
      </c>
      <c r="T11" s="7">
        <f t="shared" si="5"/>
        <v>99965</v>
      </c>
      <c r="U11" s="7">
        <f t="shared" si="5"/>
        <v>99680</v>
      </c>
      <c r="V11" s="7">
        <f t="shared" ref="V11:AA11" si="6">SUM(V5:V10)</f>
        <v>99090</v>
      </c>
      <c r="W11" s="127">
        <f t="shared" si="6"/>
        <v>98246</v>
      </c>
      <c r="X11" s="127">
        <f t="shared" si="6"/>
        <v>101284</v>
      </c>
      <c r="Y11" s="127">
        <f t="shared" si="6"/>
        <v>103705.04751999999</v>
      </c>
      <c r="Z11" s="127">
        <f t="shared" si="6"/>
        <v>104783.09393127999</v>
      </c>
      <c r="AA11" s="127">
        <f t="shared" si="6"/>
        <v>105043.6898210169</v>
      </c>
      <c r="AB11" s="127">
        <f t="shared" ref="AB11:AC11" si="7">SUM(AB5:AB10)</f>
        <v>107996.42144814708</v>
      </c>
      <c r="AC11" s="127">
        <f t="shared" si="7"/>
        <v>111029.05165721274</v>
      </c>
    </row>
    <row r="12" spans="1:29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25"/>
    </row>
    <row r="13" spans="1:29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25"/>
    </row>
    <row r="14" spans="1:29">
      <c r="A14" s="1" t="s">
        <v>102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25"/>
    </row>
    <row r="15" spans="1:29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25"/>
    </row>
    <row r="16" spans="1:29">
      <c r="A16" s="9" t="s">
        <v>103</v>
      </c>
      <c r="B16" s="10">
        <v>0</v>
      </c>
      <c r="C16" s="10">
        <v>0</v>
      </c>
      <c r="D16" s="10">
        <v>0</v>
      </c>
      <c r="E16" s="10">
        <f t="shared" si="0"/>
        <v>0</v>
      </c>
      <c r="F16" s="10">
        <f t="shared" si="0"/>
        <v>0</v>
      </c>
      <c r="G16" s="10">
        <f t="shared" si="0"/>
        <v>0</v>
      </c>
      <c r="H16" s="10">
        <f t="shared" si="0"/>
        <v>0</v>
      </c>
      <c r="I16" s="10">
        <f t="shared" si="0"/>
        <v>0</v>
      </c>
      <c r="J16" s="10">
        <f t="shared" si="0"/>
        <v>0</v>
      </c>
      <c r="K16" s="10">
        <f t="shared" si="0"/>
        <v>0</v>
      </c>
      <c r="L16" s="10">
        <f t="shared" si="0"/>
        <v>0</v>
      </c>
      <c r="M16" s="10">
        <f t="shared" si="0"/>
        <v>0</v>
      </c>
      <c r="N16" s="10">
        <f t="shared" ref="N16:O21" si="8">M16*1.06</f>
        <v>0</v>
      </c>
      <c r="O16" s="10">
        <f t="shared" si="8"/>
        <v>0</v>
      </c>
      <c r="P16" s="10">
        <f t="shared" ref="P16:R21" si="9">O16*1.06</f>
        <v>0</v>
      </c>
      <c r="Q16" s="10">
        <f t="shared" si="9"/>
        <v>0</v>
      </c>
      <c r="R16" s="148">
        <f t="shared" si="9"/>
        <v>0</v>
      </c>
      <c r="S16" s="10">
        <f t="shared" ref="S16:S21" si="10">R16*1.06</f>
        <v>0</v>
      </c>
      <c r="T16" s="10">
        <f t="shared" ref="T16:Z21" si="11">S16*1.06</f>
        <v>0</v>
      </c>
      <c r="U16" s="10">
        <f t="shared" si="11"/>
        <v>0</v>
      </c>
      <c r="V16" s="162">
        <f t="shared" si="11"/>
        <v>0</v>
      </c>
      <c r="W16" s="162">
        <f t="shared" si="11"/>
        <v>0</v>
      </c>
      <c r="X16" s="162">
        <f t="shared" si="11"/>
        <v>0</v>
      </c>
      <c r="Y16" s="162">
        <f t="shared" si="11"/>
        <v>0</v>
      </c>
      <c r="Z16" s="162">
        <f t="shared" si="11"/>
        <v>0</v>
      </c>
      <c r="AA16" s="162">
        <f t="shared" ref="AA16:AA21" si="12">Z16*1.06</f>
        <v>0</v>
      </c>
      <c r="AB16" s="162">
        <f t="shared" ref="AB16:AC21" si="13">AA16*1.06</f>
        <v>0</v>
      </c>
      <c r="AC16" s="162">
        <f t="shared" si="13"/>
        <v>0</v>
      </c>
    </row>
    <row r="17" spans="1:29">
      <c r="A17" s="9" t="s">
        <v>66</v>
      </c>
      <c r="B17" s="12">
        <v>0</v>
      </c>
      <c r="C17" s="12">
        <v>0</v>
      </c>
      <c r="D17" s="12"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2">
        <f t="shared" si="0"/>
        <v>0</v>
      </c>
      <c r="K17" s="12">
        <f t="shared" si="0"/>
        <v>0</v>
      </c>
      <c r="L17" s="12">
        <f t="shared" si="0"/>
        <v>0</v>
      </c>
      <c r="M17" s="12">
        <f t="shared" si="0"/>
        <v>0</v>
      </c>
      <c r="N17" s="12">
        <f t="shared" si="8"/>
        <v>0</v>
      </c>
      <c r="O17" s="12">
        <f t="shared" si="8"/>
        <v>0</v>
      </c>
      <c r="P17" s="12">
        <f t="shared" si="9"/>
        <v>0</v>
      </c>
      <c r="Q17" s="12">
        <f t="shared" si="9"/>
        <v>0</v>
      </c>
      <c r="R17" s="149">
        <f t="shared" si="9"/>
        <v>0</v>
      </c>
      <c r="S17" s="12">
        <f t="shared" si="10"/>
        <v>0</v>
      </c>
      <c r="T17" s="12">
        <f t="shared" si="11"/>
        <v>0</v>
      </c>
      <c r="U17" s="12">
        <f t="shared" si="11"/>
        <v>0</v>
      </c>
      <c r="V17" s="169">
        <f t="shared" si="11"/>
        <v>0</v>
      </c>
      <c r="W17" s="169">
        <f t="shared" si="11"/>
        <v>0</v>
      </c>
      <c r="X17" s="169">
        <f t="shared" si="11"/>
        <v>0</v>
      </c>
      <c r="Y17" s="169">
        <f t="shared" si="11"/>
        <v>0</v>
      </c>
      <c r="Z17" s="169">
        <f t="shared" si="11"/>
        <v>0</v>
      </c>
      <c r="AA17" s="169">
        <f t="shared" si="12"/>
        <v>0</v>
      </c>
      <c r="AB17" s="169">
        <f t="shared" si="13"/>
        <v>0</v>
      </c>
      <c r="AC17" s="169">
        <f t="shared" si="13"/>
        <v>0</v>
      </c>
    </row>
    <row r="18" spans="1:29">
      <c r="A18" s="9" t="s">
        <v>83</v>
      </c>
      <c r="B18" s="12">
        <v>0</v>
      </c>
      <c r="C18" s="12">
        <v>0</v>
      </c>
      <c r="D18" s="12"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8"/>
        <v>0</v>
      </c>
      <c r="O18" s="12">
        <f t="shared" si="8"/>
        <v>0</v>
      </c>
      <c r="P18" s="12">
        <f t="shared" si="9"/>
        <v>0</v>
      </c>
      <c r="Q18" s="12">
        <f t="shared" si="9"/>
        <v>0</v>
      </c>
      <c r="R18" s="149">
        <f t="shared" si="9"/>
        <v>0</v>
      </c>
      <c r="S18" s="12">
        <f t="shared" si="10"/>
        <v>0</v>
      </c>
      <c r="T18" s="12">
        <f t="shared" si="11"/>
        <v>0</v>
      </c>
      <c r="U18" s="12">
        <f t="shared" si="11"/>
        <v>0</v>
      </c>
      <c r="V18" s="169">
        <f t="shared" si="11"/>
        <v>0</v>
      </c>
      <c r="W18" s="169">
        <f t="shared" si="11"/>
        <v>0</v>
      </c>
      <c r="X18" s="169">
        <f t="shared" si="11"/>
        <v>0</v>
      </c>
      <c r="Y18" s="169">
        <f t="shared" si="11"/>
        <v>0</v>
      </c>
      <c r="Z18" s="169">
        <f t="shared" si="11"/>
        <v>0</v>
      </c>
      <c r="AA18" s="169">
        <f t="shared" si="12"/>
        <v>0</v>
      </c>
      <c r="AB18" s="169">
        <f t="shared" si="13"/>
        <v>0</v>
      </c>
      <c r="AC18" s="169">
        <f t="shared" si="13"/>
        <v>0</v>
      </c>
    </row>
    <row r="19" spans="1:29">
      <c r="A19" s="9" t="s">
        <v>84</v>
      </c>
      <c r="B19" s="12">
        <v>0</v>
      </c>
      <c r="C19" s="12">
        <v>0</v>
      </c>
      <c r="D19" s="12">
        <v>0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2">
        <f t="shared" si="0"/>
        <v>0</v>
      </c>
      <c r="K19" s="12">
        <f t="shared" si="0"/>
        <v>0</v>
      </c>
      <c r="L19" s="12">
        <f t="shared" si="0"/>
        <v>0</v>
      </c>
      <c r="M19" s="12">
        <f t="shared" si="0"/>
        <v>0</v>
      </c>
      <c r="N19" s="12">
        <f t="shared" si="8"/>
        <v>0</v>
      </c>
      <c r="O19" s="12">
        <f t="shared" si="8"/>
        <v>0</v>
      </c>
      <c r="P19" s="12">
        <f t="shared" si="9"/>
        <v>0</v>
      </c>
      <c r="Q19" s="12">
        <f t="shared" si="9"/>
        <v>0</v>
      </c>
      <c r="R19" s="149">
        <f t="shared" si="9"/>
        <v>0</v>
      </c>
      <c r="S19" s="12">
        <f t="shared" si="10"/>
        <v>0</v>
      </c>
      <c r="T19" s="12">
        <f t="shared" si="11"/>
        <v>0</v>
      </c>
      <c r="U19" s="12">
        <f t="shared" si="11"/>
        <v>0</v>
      </c>
      <c r="V19" s="169">
        <f t="shared" si="11"/>
        <v>0</v>
      </c>
      <c r="W19" s="169">
        <f t="shared" si="11"/>
        <v>0</v>
      </c>
      <c r="X19" s="169">
        <f t="shared" si="11"/>
        <v>0</v>
      </c>
      <c r="Y19" s="169">
        <f t="shared" si="11"/>
        <v>0</v>
      </c>
      <c r="Z19" s="169">
        <f t="shared" si="11"/>
        <v>0</v>
      </c>
      <c r="AA19" s="169">
        <f t="shared" si="12"/>
        <v>0</v>
      </c>
      <c r="AB19" s="169">
        <f t="shared" si="13"/>
        <v>0</v>
      </c>
      <c r="AC19" s="169">
        <f t="shared" si="13"/>
        <v>0</v>
      </c>
    </row>
    <row r="20" spans="1:29">
      <c r="A20" s="9" t="s">
        <v>85</v>
      </c>
      <c r="B20" s="12">
        <v>0</v>
      </c>
      <c r="C20" s="12">
        <v>0</v>
      </c>
      <c r="D20" s="12"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f t="shared" si="8"/>
        <v>0</v>
      </c>
      <c r="P20" s="12">
        <f t="shared" si="9"/>
        <v>0</v>
      </c>
      <c r="Q20" s="12">
        <f t="shared" si="9"/>
        <v>0</v>
      </c>
      <c r="R20" s="149">
        <f t="shared" si="9"/>
        <v>0</v>
      </c>
      <c r="S20" s="12">
        <f t="shared" si="10"/>
        <v>0</v>
      </c>
      <c r="T20" s="12">
        <f t="shared" si="11"/>
        <v>0</v>
      </c>
      <c r="U20" s="12">
        <f t="shared" si="11"/>
        <v>0</v>
      </c>
      <c r="V20" s="169">
        <f t="shared" si="11"/>
        <v>0</v>
      </c>
      <c r="W20" s="169">
        <f t="shared" si="11"/>
        <v>0</v>
      </c>
      <c r="X20" s="169">
        <f t="shared" si="11"/>
        <v>0</v>
      </c>
      <c r="Y20" s="169">
        <f t="shared" si="11"/>
        <v>0</v>
      </c>
      <c r="Z20" s="169">
        <f t="shared" si="11"/>
        <v>0</v>
      </c>
      <c r="AA20" s="169">
        <f t="shared" si="12"/>
        <v>0</v>
      </c>
      <c r="AB20" s="169">
        <f t="shared" si="13"/>
        <v>0</v>
      </c>
      <c r="AC20" s="169">
        <f t="shared" si="13"/>
        <v>0</v>
      </c>
    </row>
    <row r="21" spans="1:29">
      <c r="A21" s="9" t="s">
        <v>86</v>
      </c>
      <c r="B21" s="12">
        <v>0</v>
      </c>
      <c r="C21" s="12">
        <v>0</v>
      </c>
      <c r="D21" s="12"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2">
        <f t="shared" si="0"/>
        <v>0</v>
      </c>
      <c r="K21" s="12">
        <f t="shared" si="0"/>
        <v>0</v>
      </c>
      <c r="L21" s="12">
        <f t="shared" si="0"/>
        <v>0</v>
      </c>
      <c r="M21" s="12">
        <f t="shared" si="0"/>
        <v>0</v>
      </c>
      <c r="N21" s="12">
        <f t="shared" si="8"/>
        <v>0</v>
      </c>
      <c r="O21" s="12">
        <f t="shared" si="8"/>
        <v>0</v>
      </c>
      <c r="P21" s="12">
        <f t="shared" si="9"/>
        <v>0</v>
      </c>
      <c r="Q21" s="12">
        <f t="shared" si="9"/>
        <v>0</v>
      </c>
      <c r="R21" s="149">
        <f t="shared" si="9"/>
        <v>0</v>
      </c>
      <c r="S21" s="12">
        <f t="shared" si="10"/>
        <v>0</v>
      </c>
      <c r="T21" s="12">
        <f t="shared" si="11"/>
        <v>0</v>
      </c>
      <c r="U21" s="12">
        <f t="shared" si="11"/>
        <v>0</v>
      </c>
      <c r="V21" s="174">
        <f t="shared" si="11"/>
        <v>0</v>
      </c>
      <c r="W21" s="174">
        <f t="shared" si="11"/>
        <v>0</v>
      </c>
      <c r="X21" s="174">
        <f t="shared" si="11"/>
        <v>0</v>
      </c>
      <c r="Y21" s="174">
        <f t="shared" si="11"/>
        <v>0</v>
      </c>
      <c r="Z21" s="174">
        <f t="shared" si="11"/>
        <v>0</v>
      </c>
      <c r="AA21" s="174">
        <f t="shared" si="12"/>
        <v>0</v>
      </c>
      <c r="AB21" s="174">
        <f t="shared" si="13"/>
        <v>0</v>
      </c>
      <c r="AC21" s="174">
        <f t="shared" si="13"/>
        <v>0</v>
      </c>
    </row>
    <row r="22" spans="1:29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8"/>
      <c r="S22" s="10"/>
      <c r="T22" s="10"/>
      <c r="U22" s="10"/>
      <c r="V22" s="169"/>
      <c r="W22" s="169"/>
      <c r="X22" s="169"/>
      <c r="Y22" s="169"/>
      <c r="Z22" s="169"/>
      <c r="AA22" s="169"/>
      <c r="AB22" s="169"/>
      <c r="AC22" s="169"/>
    </row>
    <row r="23" spans="1:29" ht="13" thickBot="1">
      <c r="A23" s="9" t="s">
        <v>22</v>
      </c>
      <c r="B23" s="7">
        <v>0</v>
      </c>
      <c r="C23" s="7">
        <v>0</v>
      </c>
      <c r="D23" s="7">
        <v>0</v>
      </c>
      <c r="E23" s="7">
        <f t="shared" ref="E23:R23" si="14">SUM(E16:E21)</f>
        <v>0</v>
      </c>
      <c r="F23" s="7">
        <f t="shared" si="14"/>
        <v>0</v>
      </c>
      <c r="G23" s="7">
        <f t="shared" si="14"/>
        <v>0</v>
      </c>
      <c r="H23" s="7">
        <f t="shared" si="14"/>
        <v>0</v>
      </c>
      <c r="I23" s="7">
        <f t="shared" si="14"/>
        <v>0</v>
      </c>
      <c r="J23" s="7">
        <f t="shared" si="14"/>
        <v>0</v>
      </c>
      <c r="K23" s="7">
        <f t="shared" si="14"/>
        <v>0</v>
      </c>
      <c r="L23" s="7">
        <f t="shared" si="14"/>
        <v>0</v>
      </c>
      <c r="M23" s="7">
        <f t="shared" si="14"/>
        <v>0</v>
      </c>
      <c r="N23" s="7">
        <f t="shared" si="14"/>
        <v>0</v>
      </c>
      <c r="O23" s="7">
        <f t="shared" si="14"/>
        <v>0</v>
      </c>
      <c r="P23" s="7">
        <f t="shared" si="14"/>
        <v>0</v>
      </c>
      <c r="Q23" s="7">
        <f t="shared" si="14"/>
        <v>0</v>
      </c>
      <c r="R23" s="248">
        <f t="shared" si="14"/>
        <v>0</v>
      </c>
      <c r="S23" s="7">
        <f t="shared" ref="S23:X23" si="15">SUM(S16:S21)</f>
        <v>0</v>
      </c>
      <c r="T23" s="7">
        <f t="shared" si="15"/>
        <v>0</v>
      </c>
      <c r="U23" s="7">
        <f t="shared" si="15"/>
        <v>0</v>
      </c>
      <c r="V23" s="172">
        <f t="shared" si="15"/>
        <v>0</v>
      </c>
      <c r="W23" s="172">
        <f t="shared" si="15"/>
        <v>0</v>
      </c>
      <c r="X23" s="172">
        <f t="shared" si="15"/>
        <v>0</v>
      </c>
      <c r="Y23" s="172">
        <f>SUM(Y16:Y21)</f>
        <v>0</v>
      </c>
      <c r="Z23" s="172">
        <f>SUM(Z16:Z21)</f>
        <v>0</v>
      </c>
      <c r="AA23" s="172">
        <f t="shared" ref="AA23:AB23" si="16">SUM(AA16:AA21)</f>
        <v>0</v>
      </c>
      <c r="AB23" s="172">
        <f t="shared" si="16"/>
        <v>0</v>
      </c>
      <c r="AC23" s="172">
        <f t="shared" ref="AC23" si="17">SUM(AC16:AC21)</f>
        <v>0</v>
      </c>
    </row>
    <row r="24" spans="1:29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25"/>
      <c r="X24" s="125"/>
      <c r="Y24" s="125"/>
      <c r="Z24" s="125"/>
    </row>
    <row r="25" spans="1:29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25"/>
      <c r="X25" s="125"/>
      <c r="Y25" s="125"/>
      <c r="Z25" s="125"/>
    </row>
    <row r="26" spans="1:29" ht="39">
      <c r="A26" s="60" t="s">
        <v>46</v>
      </c>
      <c r="B26" s="14">
        <f t="shared" ref="B26:Q26" si="18">+B11-B23</f>
        <v>1241156</v>
      </c>
      <c r="C26" s="14">
        <f t="shared" si="18"/>
        <v>1439944</v>
      </c>
      <c r="D26" s="14">
        <f t="shared" si="18"/>
        <v>1620742</v>
      </c>
      <c r="E26" s="14">
        <f t="shared" si="18"/>
        <v>1787643</v>
      </c>
      <c r="F26" s="14">
        <f t="shared" si="18"/>
        <v>1942606</v>
      </c>
      <c r="G26" s="14">
        <f t="shared" si="18"/>
        <v>2157281</v>
      </c>
      <c r="H26" s="14">
        <f t="shared" si="18"/>
        <v>2253466</v>
      </c>
      <c r="I26" s="14">
        <f t="shared" si="18"/>
        <v>2387653</v>
      </c>
      <c r="J26" s="14">
        <f t="shared" si="18"/>
        <v>2692215</v>
      </c>
      <c r="K26" s="14">
        <f t="shared" si="18"/>
        <v>2426645</v>
      </c>
      <c r="L26" s="14">
        <f t="shared" si="18"/>
        <v>2232973</v>
      </c>
      <c r="M26" s="14">
        <f t="shared" si="18"/>
        <v>2395110</v>
      </c>
      <c r="N26" s="14">
        <f t="shared" si="18"/>
        <v>2643393</v>
      </c>
      <c r="O26" s="14">
        <f t="shared" si="18"/>
        <v>2443794</v>
      </c>
      <c r="P26" s="14">
        <f t="shared" si="18"/>
        <v>379392</v>
      </c>
      <c r="Q26" s="14">
        <f t="shared" si="18"/>
        <v>388851</v>
      </c>
      <c r="R26" s="14">
        <f t="shared" ref="R26:W26" si="19">+R11-R23</f>
        <v>293005.68</v>
      </c>
      <c r="S26" s="14">
        <f t="shared" si="19"/>
        <v>186873</v>
      </c>
      <c r="T26" s="14">
        <f t="shared" si="19"/>
        <v>99965</v>
      </c>
      <c r="U26" s="14">
        <f t="shared" si="19"/>
        <v>99680</v>
      </c>
      <c r="V26" s="14">
        <f t="shared" si="19"/>
        <v>99090</v>
      </c>
      <c r="W26" s="128">
        <f t="shared" si="19"/>
        <v>98246</v>
      </c>
      <c r="X26" s="128">
        <f t="shared" ref="X26:AC26" si="20">+X11-X23</f>
        <v>101284</v>
      </c>
      <c r="Y26" s="128">
        <f t="shared" si="20"/>
        <v>103705.04751999999</v>
      </c>
      <c r="Z26" s="128">
        <f t="shared" si="20"/>
        <v>104783.09393127999</v>
      </c>
      <c r="AA26" s="128">
        <f t="shared" si="20"/>
        <v>105043.6898210169</v>
      </c>
      <c r="AB26" s="128">
        <f t="shared" si="20"/>
        <v>107996.42144814708</v>
      </c>
      <c r="AC26" s="128">
        <f t="shared" si="20"/>
        <v>111029.05165721274</v>
      </c>
    </row>
    <row r="27" spans="1:29" ht="13">
      <c r="A27" s="60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28"/>
      <c r="X27" s="128"/>
      <c r="Y27" s="128"/>
      <c r="Z27" s="128"/>
      <c r="AA27" s="128"/>
    </row>
    <row r="28" spans="1:29">
      <c r="A28" s="1" t="s">
        <v>40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28"/>
      <c r="X28" s="128"/>
      <c r="Y28" s="128"/>
      <c r="Z28" s="128"/>
      <c r="AA28" s="128"/>
    </row>
    <row r="29" spans="1:29">
      <c r="A29" s="13" t="s">
        <v>36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>
        <v>0</v>
      </c>
      <c r="R29" s="14"/>
      <c r="S29" s="144"/>
      <c r="T29" s="14"/>
      <c r="U29" s="14"/>
      <c r="V29" s="14"/>
      <c r="W29" s="128"/>
      <c r="X29" s="128"/>
      <c r="Y29" s="128"/>
      <c r="Z29" s="128"/>
      <c r="AA29" s="128"/>
    </row>
    <row r="30" spans="1:29">
      <c r="A30" s="13" t="s">
        <v>37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>
        <v>0</v>
      </c>
      <c r="R30" s="14"/>
      <c r="S30" s="14"/>
      <c r="T30" s="14"/>
      <c r="U30" s="14"/>
      <c r="V30" s="14"/>
      <c r="W30" s="128"/>
      <c r="X30" s="128"/>
      <c r="Y30" s="128"/>
      <c r="Z30" s="128"/>
      <c r="AA30" s="128"/>
    </row>
    <row r="31" spans="1:29" ht="25" thickBot="1">
      <c r="A31" s="68" t="s">
        <v>11</v>
      </c>
      <c r="B31" s="14"/>
      <c r="C31" s="14"/>
      <c r="D31" s="14"/>
      <c r="E31" s="14"/>
      <c r="F31" s="14"/>
      <c r="G31" s="14"/>
      <c r="H31" s="7">
        <f>-Education!H38</f>
        <v>0</v>
      </c>
      <c r="I31" s="7">
        <f>-Education!I38</f>
        <v>0</v>
      </c>
      <c r="J31" s="7">
        <f>-Education!J38</f>
        <v>0</v>
      </c>
      <c r="K31" s="7">
        <f>-Education!K38</f>
        <v>0</v>
      </c>
      <c r="L31" s="7">
        <v>0</v>
      </c>
      <c r="M31" s="19">
        <f>-Education!M38</f>
        <v>0</v>
      </c>
      <c r="N31" s="19">
        <v>0</v>
      </c>
      <c r="O31" s="19">
        <f>-Education!O38</f>
        <v>0</v>
      </c>
      <c r="P31" s="19">
        <f>-Education!P38</f>
        <v>-750000</v>
      </c>
      <c r="Q31" s="19">
        <f>-Education!Q38</f>
        <v>0</v>
      </c>
      <c r="R31" s="143">
        <f>-Education!R38</f>
        <v>-550000</v>
      </c>
      <c r="S31" s="143">
        <f>-Education!S38</f>
        <v>-600000</v>
      </c>
      <c r="T31" s="181">
        <v>0</v>
      </c>
      <c r="U31" s="143">
        <f>-Education!U38</f>
        <v>0</v>
      </c>
      <c r="V31" s="143">
        <f>-Education!V38</f>
        <v>0</v>
      </c>
      <c r="W31" s="143">
        <f>-Education!W38</f>
        <v>0</v>
      </c>
      <c r="X31" s="143">
        <v>0</v>
      </c>
      <c r="Y31" s="143">
        <v>0</v>
      </c>
      <c r="Z31" s="143">
        <v>0</v>
      </c>
      <c r="AA31" s="143">
        <f>-Education!AA38</f>
        <v>0</v>
      </c>
      <c r="AB31" s="143">
        <f>-Education!AB38</f>
        <v>0</v>
      </c>
      <c r="AC31" s="143">
        <f>-Education!AC38</f>
        <v>0</v>
      </c>
    </row>
    <row r="32" spans="1:29" ht="25" thickBot="1">
      <c r="A32" s="136" t="s">
        <v>96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10">
        <f t="shared" ref="P32:W32" si="21">SUM(P29:P31)</f>
        <v>-750000</v>
      </c>
      <c r="Q32" s="110">
        <f t="shared" si="21"/>
        <v>0</v>
      </c>
      <c r="R32" s="110">
        <f t="shared" si="21"/>
        <v>-550000</v>
      </c>
      <c r="S32" s="110">
        <f t="shared" si="21"/>
        <v>-600000</v>
      </c>
      <c r="T32" s="110">
        <f t="shared" si="21"/>
        <v>0</v>
      </c>
      <c r="U32" s="110">
        <f t="shared" si="21"/>
        <v>0</v>
      </c>
      <c r="V32" s="110">
        <f t="shared" si="21"/>
        <v>0</v>
      </c>
      <c r="W32" s="110">
        <f t="shared" si="21"/>
        <v>0</v>
      </c>
      <c r="X32" s="110">
        <f t="shared" ref="X32:AC32" si="22">SUM(X29:X31)</f>
        <v>0</v>
      </c>
      <c r="Y32" s="110">
        <f t="shared" si="22"/>
        <v>0</v>
      </c>
      <c r="Z32" s="110">
        <f t="shared" si="22"/>
        <v>0</v>
      </c>
      <c r="AA32" s="110">
        <f t="shared" si="22"/>
        <v>0</v>
      </c>
      <c r="AB32" s="110">
        <f t="shared" si="22"/>
        <v>0</v>
      </c>
      <c r="AC32" s="110">
        <f t="shared" si="22"/>
        <v>0</v>
      </c>
    </row>
    <row r="33" spans="1:29">
      <c r="A33" s="136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</row>
    <row r="34" spans="1:29">
      <c r="A34" s="13" t="s">
        <v>89</v>
      </c>
      <c r="B34" s="14"/>
      <c r="C34" s="14"/>
      <c r="D34" s="14"/>
      <c r="E34" s="14"/>
      <c r="F34" s="14"/>
      <c r="G34" s="14"/>
      <c r="H34" s="14">
        <f t="shared" ref="H34:P34" si="23">+H31+H26</f>
        <v>2253466</v>
      </c>
      <c r="I34" s="14">
        <f t="shared" si="23"/>
        <v>2387653</v>
      </c>
      <c r="J34" s="14">
        <f t="shared" si="23"/>
        <v>2692215</v>
      </c>
      <c r="K34" s="14">
        <f t="shared" si="23"/>
        <v>2426645</v>
      </c>
      <c r="L34" s="14">
        <f t="shared" si="23"/>
        <v>2232973</v>
      </c>
      <c r="M34" s="14">
        <f t="shared" si="23"/>
        <v>2395110</v>
      </c>
      <c r="N34" s="14">
        <f t="shared" si="23"/>
        <v>2643393</v>
      </c>
      <c r="O34" s="14">
        <f t="shared" si="23"/>
        <v>2443794</v>
      </c>
      <c r="P34" s="14">
        <f t="shared" si="23"/>
        <v>-370608</v>
      </c>
      <c r="Q34" s="14">
        <f>SUM(Q26:Q31)</f>
        <v>388851</v>
      </c>
      <c r="R34" s="14">
        <f>+R31+R26</f>
        <v>-256994.32</v>
      </c>
      <c r="S34" s="14">
        <f>+S31+S26+S29</f>
        <v>-413127</v>
      </c>
      <c r="T34" s="14">
        <f t="shared" ref="T34:Z34" si="24">+T31+T26</f>
        <v>99965</v>
      </c>
      <c r="U34" s="14">
        <f t="shared" si="24"/>
        <v>99680</v>
      </c>
      <c r="V34" s="14">
        <f t="shared" si="24"/>
        <v>99090</v>
      </c>
      <c r="W34" s="128">
        <f t="shared" si="24"/>
        <v>98246</v>
      </c>
      <c r="X34" s="128">
        <f t="shared" si="24"/>
        <v>101284</v>
      </c>
      <c r="Y34" s="128">
        <f t="shared" si="24"/>
        <v>103705.04751999999</v>
      </c>
      <c r="Z34" s="128">
        <f t="shared" si="24"/>
        <v>104783.09393127999</v>
      </c>
      <c r="AA34" s="128">
        <f t="shared" ref="AA34:AB34" si="25">+AA31+AA26</f>
        <v>105043.6898210169</v>
      </c>
      <c r="AB34" s="128">
        <f t="shared" si="25"/>
        <v>107996.42144814708</v>
      </c>
      <c r="AC34" s="128">
        <f t="shared" ref="AC34" si="26">+AC31+AC26</f>
        <v>111029.05165721274</v>
      </c>
    </row>
    <row r="35" spans="1:29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25"/>
      <c r="X35" s="125"/>
      <c r="Y35" s="125"/>
      <c r="Z35" s="125"/>
    </row>
    <row r="36" spans="1:29">
      <c r="A36" s="8" t="s">
        <v>47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25"/>
      <c r="X36" s="125"/>
      <c r="Y36" s="125"/>
      <c r="Z36" s="125"/>
    </row>
    <row r="37" spans="1:29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25"/>
      <c r="X37" s="125"/>
      <c r="Y37" s="125"/>
      <c r="Z37" s="125"/>
    </row>
    <row r="38" spans="1:29">
      <c r="A38" s="9" t="s">
        <v>48</v>
      </c>
      <c r="B38" s="10">
        <v>2848623</v>
      </c>
      <c r="C38" s="10">
        <f t="shared" ref="C38:AC38" si="27">+B40</f>
        <v>4089779</v>
      </c>
      <c r="D38" s="10">
        <f t="shared" si="27"/>
        <v>5529723</v>
      </c>
      <c r="E38" s="10">
        <f t="shared" si="27"/>
        <v>7150465</v>
      </c>
      <c r="F38" s="10">
        <f t="shared" si="27"/>
        <v>8938108</v>
      </c>
      <c r="G38" s="10">
        <f t="shared" si="27"/>
        <v>10880714</v>
      </c>
      <c r="H38" s="10">
        <f t="shared" si="27"/>
        <v>13037995</v>
      </c>
      <c r="I38" s="10">
        <f t="shared" si="27"/>
        <v>15291461</v>
      </c>
      <c r="J38" s="10">
        <f t="shared" si="27"/>
        <v>17679114</v>
      </c>
      <c r="K38" s="10">
        <f t="shared" si="27"/>
        <v>20371329</v>
      </c>
      <c r="L38" s="10">
        <f t="shared" si="27"/>
        <v>22797974</v>
      </c>
      <c r="M38" s="10">
        <f t="shared" si="27"/>
        <v>25030947</v>
      </c>
      <c r="N38" s="10">
        <f t="shared" si="27"/>
        <v>27426057</v>
      </c>
      <c r="O38" s="10">
        <f t="shared" si="27"/>
        <v>30069450</v>
      </c>
      <c r="P38" s="10">
        <v>1046383</v>
      </c>
      <c r="Q38" s="10">
        <f t="shared" si="27"/>
        <v>675775</v>
      </c>
      <c r="R38" s="10">
        <v>976048</v>
      </c>
      <c r="S38" s="10">
        <f t="shared" si="27"/>
        <v>719053.67999999993</v>
      </c>
      <c r="T38" s="10">
        <f t="shared" si="27"/>
        <v>305926.67999999993</v>
      </c>
      <c r="U38" s="10">
        <f t="shared" si="27"/>
        <v>405891.67999999993</v>
      </c>
      <c r="V38" s="10">
        <f t="shared" si="27"/>
        <v>505571.67999999993</v>
      </c>
      <c r="W38" s="125">
        <f t="shared" si="27"/>
        <v>604661.67999999993</v>
      </c>
      <c r="X38" s="125">
        <f t="shared" si="27"/>
        <v>702907.67999999993</v>
      </c>
      <c r="Y38" s="125">
        <f t="shared" si="27"/>
        <v>804191.67999999993</v>
      </c>
      <c r="Z38" s="125">
        <f t="shared" si="27"/>
        <v>907896.72751999996</v>
      </c>
      <c r="AA38" s="125">
        <f t="shared" si="27"/>
        <v>1012679.8214512799</v>
      </c>
      <c r="AB38" s="125">
        <f t="shared" si="27"/>
        <v>1117723.5112722968</v>
      </c>
      <c r="AC38" s="125">
        <f t="shared" si="27"/>
        <v>1225719.9327204439</v>
      </c>
    </row>
    <row r="39" spans="1:2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25"/>
      <c r="X39" s="125"/>
      <c r="Y39" s="125"/>
      <c r="Z39" s="125"/>
      <c r="AA39" s="125"/>
      <c r="AB39" s="125"/>
      <c r="AC39" s="125"/>
    </row>
    <row r="40" spans="1:29" ht="13" thickBot="1">
      <c r="A40" s="9" t="s">
        <v>41</v>
      </c>
      <c r="B40" s="20">
        <f t="shared" ref="B40:G40" si="28">+B38+B26</f>
        <v>4089779</v>
      </c>
      <c r="C40" s="20">
        <f t="shared" si="28"/>
        <v>5529723</v>
      </c>
      <c r="D40" s="20">
        <f t="shared" si="28"/>
        <v>7150465</v>
      </c>
      <c r="E40" s="20">
        <f t="shared" si="28"/>
        <v>8938108</v>
      </c>
      <c r="F40" s="20">
        <f t="shared" si="28"/>
        <v>10880714</v>
      </c>
      <c r="G40" s="20">
        <f t="shared" si="28"/>
        <v>13037995</v>
      </c>
      <c r="H40" s="20">
        <f t="shared" ref="H40:AA40" si="29">+H38+H34</f>
        <v>15291461</v>
      </c>
      <c r="I40" s="20">
        <f t="shared" si="29"/>
        <v>17679114</v>
      </c>
      <c r="J40" s="20">
        <f t="shared" si="29"/>
        <v>20371329</v>
      </c>
      <c r="K40" s="20">
        <f t="shared" si="29"/>
        <v>22797974</v>
      </c>
      <c r="L40" s="20">
        <f t="shared" si="29"/>
        <v>25030947</v>
      </c>
      <c r="M40" s="20">
        <f t="shared" si="29"/>
        <v>27426057</v>
      </c>
      <c r="N40" s="20">
        <f t="shared" si="29"/>
        <v>30069450</v>
      </c>
      <c r="O40" s="20">
        <f t="shared" si="29"/>
        <v>32513244</v>
      </c>
      <c r="P40" s="20">
        <f t="shared" si="29"/>
        <v>675775</v>
      </c>
      <c r="Q40" s="20">
        <f t="shared" si="29"/>
        <v>1064626</v>
      </c>
      <c r="R40" s="20">
        <f t="shared" si="29"/>
        <v>719053.67999999993</v>
      </c>
      <c r="S40" s="20">
        <f t="shared" si="29"/>
        <v>305926.67999999993</v>
      </c>
      <c r="T40" s="20">
        <f t="shared" si="29"/>
        <v>405891.67999999993</v>
      </c>
      <c r="U40" s="20">
        <f t="shared" si="29"/>
        <v>505571.67999999993</v>
      </c>
      <c r="V40" s="20">
        <f t="shared" si="29"/>
        <v>604661.67999999993</v>
      </c>
      <c r="W40" s="129">
        <f t="shared" si="29"/>
        <v>702907.67999999993</v>
      </c>
      <c r="X40" s="129">
        <f t="shared" si="29"/>
        <v>804191.67999999993</v>
      </c>
      <c r="Y40" s="129">
        <f t="shared" si="29"/>
        <v>907896.72751999996</v>
      </c>
      <c r="Z40" s="129">
        <f t="shared" si="29"/>
        <v>1012679.8214512799</v>
      </c>
      <c r="AA40" s="129">
        <f t="shared" si="29"/>
        <v>1117723.5112722968</v>
      </c>
      <c r="AB40" s="129">
        <f t="shared" ref="AB40:AC40" si="30">+AB38+AB34</f>
        <v>1225719.9327204439</v>
      </c>
      <c r="AC40" s="129">
        <f t="shared" si="30"/>
        <v>1336748.9843776566</v>
      </c>
    </row>
    <row r="41" spans="1:29" ht="13" thickTop="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25"/>
    </row>
    <row r="42" spans="1:29">
      <c r="A42" s="21"/>
      <c r="B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9" hidden="1">
      <c r="B43" s="22">
        <f t="shared" ref="B43:U43" si="31">+B23/12</f>
        <v>0</v>
      </c>
      <c r="C43" s="22">
        <f t="shared" si="31"/>
        <v>0</v>
      </c>
      <c r="D43" s="22">
        <f t="shared" si="31"/>
        <v>0</v>
      </c>
      <c r="E43" s="22">
        <f t="shared" si="31"/>
        <v>0</v>
      </c>
      <c r="F43" s="22">
        <f t="shared" si="31"/>
        <v>0</v>
      </c>
      <c r="G43" s="22">
        <f t="shared" si="31"/>
        <v>0</v>
      </c>
      <c r="H43" s="22">
        <f t="shared" si="31"/>
        <v>0</v>
      </c>
      <c r="I43" s="22">
        <f t="shared" si="31"/>
        <v>0</v>
      </c>
      <c r="J43" s="22">
        <f t="shared" si="31"/>
        <v>0</v>
      </c>
      <c r="K43" s="22">
        <f t="shared" si="31"/>
        <v>0</v>
      </c>
      <c r="L43" s="22">
        <f t="shared" si="31"/>
        <v>0</v>
      </c>
      <c r="M43" s="22">
        <f t="shared" si="31"/>
        <v>0</v>
      </c>
      <c r="N43" s="22">
        <f t="shared" si="31"/>
        <v>0</v>
      </c>
      <c r="O43" s="22">
        <f t="shared" si="31"/>
        <v>0</v>
      </c>
      <c r="P43" s="22">
        <f t="shared" si="31"/>
        <v>0</v>
      </c>
      <c r="Q43" s="22">
        <f t="shared" si="31"/>
        <v>0</v>
      </c>
      <c r="R43" s="22">
        <f t="shared" si="31"/>
        <v>0</v>
      </c>
      <c r="S43" s="22">
        <f t="shared" si="31"/>
        <v>0</v>
      </c>
      <c r="T43" s="22">
        <f t="shared" si="31"/>
        <v>0</v>
      </c>
      <c r="U43" s="22">
        <f t="shared" si="31"/>
        <v>0</v>
      </c>
    </row>
    <row r="44" spans="1:29" ht="24" hidden="1">
      <c r="A44" s="30" t="s">
        <v>97</v>
      </c>
      <c r="F44" s="10">
        <f>+Education!F29+'O_&amp;_M'!F30+Transportation!F24</f>
        <v>111231049</v>
      </c>
      <c r="G44" s="10">
        <f>+Education!G29+'O_&amp;_M'!G30+Transportation!G24</f>
        <v>114843587</v>
      </c>
      <c r="H44" s="10">
        <f>+Education!H29+'O_&amp;_M'!H30+Transportation!H24</f>
        <v>124168467</v>
      </c>
      <c r="I44" s="10">
        <f>+Education!I29+'O_&amp;_M'!I30+Transportation!I24</f>
        <v>127526570</v>
      </c>
      <c r="J44" s="10">
        <f>+Education!J29+'O_&amp;_M'!J30+Transportation!J24</f>
        <v>136287917</v>
      </c>
      <c r="K44" s="10">
        <f>+Education!K29+'O_&amp;_M'!K30+Transportation!K24</f>
        <v>141994593</v>
      </c>
      <c r="L44" s="10">
        <f>+Education!L29+'O_&amp;_M'!L30+Transportation!L24</f>
        <v>146405183</v>
      </c>
      <c r="M44" s="10">
        <f>+Education!M29+'O_&amp;_M'!M30+Transportation!M24</f>
        <v>147320700</v>
      </c>
      <c r="N44" s="10">
        <f>+Education!N29+'O_&amp;_M'!N30+Transportation!N24</f>
        <v>152512816</v>
      </c>
      <c r="O44" s="10">
        <f>+Education!O29+'O_&amp;_M'!O30+Transportation!O24</f>
        <v>144807323</v>
      </c>
      <c r="P44" s="10">
        <f>+Education!P29+'O_&amp;_M'!P30+Transportation!P24</f>
        <v>40823961</v>
      </c>
      <c r="Q44" s="10">
        <f>+Education!Q29+'O_&amp;_M'!Q30+Transportation!Q24</f>
        <v>44824106</v>
      </c>
      <c r="R44" s="10">
        <f>+Education!R29+'O_&amp;_M'!R30+Transportation!R24</f>
        <v>50754934.409999996</v>
      </c>
      <c r="S44" s="10">
        <f>+Education!S29+'O_&amp;_M'!S30+Transportation!S24</f>
        <v>49724309</v>
      </c>
      <c r="T44" s="10">
        <f>+Education!T29+'O_&amp;_M'!T30+Transportation!T24</f>
        <v>51291400.062310085</v>
      </c>
      <c r="U44" s="10">
        <f>+Education!U29+'O_&amp;_M'!U30+Transportation!U24</f>
        <v>57452006</v>
      </c>
    </row>
    <row r="45" spans="1:29" hidden="1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9" ht="24" hidden="1">
      <c r="A46" s="30" t="s">
        <v>123</v>
      </c>
      <c r="F46" s="52">
        <f t="shared" ref="F46:U46" si="32">+F40/F44</f>
        <v>9.7820834180930905E-2</v>
      </c>
      <c r="G46" s="52">
        <f t="shared" si="32"/>
        <v>0.11352828086081986</v>
      </c>
      <c r="H46" s="52">
        <f t="shared" si="32"/>
        <v>0.12315092043457378</v>
      </c>
      <c r="I46" s="52">
        <f t="shared" si="32"/>
        <v>0.13863082806978969</v>
      </c>
      <c r="J46" s="52">
        <f t="shared" si="32"/>
        <v>0.14947274452804205</v>
      </c>
      <c r="K46" s="52">
        <f t="shared" si="32"/>
        <v>0.16055522621202908</v>
      </c>
      <c r="L46" s="52">
        <f t="shared" si="32"/>
        <v>0.17097036106979902</v>
      </c>
      <c r="M46" s="52">
        <f t="shared" si="32"/>
        <v>0.18616567121931948</v>
      </c>
      <c r="N46" s="52">
        <f t="shared" si="32"/>
        <v>0.19716015210157814</v>
      </c>
      <c r="O46" s="52">
        <f t="shared" si="32"/>
        <v>0.22452762281918573</v>
      </c>
      <c r="P46" s="52">
        <f t="shared" si="32"/>
        <v>1.6553391279204875E-2</v>
      </c>
      <c r="Q46" s="52">
        <f t="shared" si="32"/>
        <v>2.3751193163785576E-2</v>
      </c>
      <c r="R46" s="52">
        <f t="shared" si="32"/>
        <v>1.4167167948469032E-2</v>
      </c>
      <c r="S46" s="52">
        <f t="shared" si="32"/>
        <v>6.1524571412344799E-3</v>
      </c>
      <c r="T46" s="52">
        <f t="shared" si="32"/>
        <v>7.9134451293377157E-3</v>
      </c>
      <c r="U46" s="52">
        <f t="shared" si="32"/>
        <v>8.7998960384429378E-3</v>
      </c>
    </row>
    <row r="47" spans="1:29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9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7:21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7:21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7:2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7:21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7:21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7:21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7:21">
      <c r="G55" s="10"/>
    </row>
    <row r="56" spans="7:21">
      <c r="G56" s="10"/>
    </row>
    <row r="57" spans="7:21">
      <c r="G57" s="10"/>
    </row>
    <row r="58" spans="7:21">
      <c r="G58" s="10"/>
    </row>
    <row r="59" spans="7:21">
      <c r="G59" s="10"/>
    </row>
    <row r="60" spans="7:21">
      <c r="G60" s="10"/>
    </row>
    <row r="61" spans="7:21">
      <c r="G61" s="10"/>
    </row>
    <row r="62" spans="7:21">
      <c r="G62" s="10"/>
    </row>
    <row r="63" spans="7:21">
      <c r="G63" s="10"/>
    </row>
    <row r="64" spans="7:21">
      <c r="G64" s="10"/>
    </row>
    <row r="65" spans="7:29">
      <c r="G65" s="10"/>
    </row>
    <row r="66" spans="7:29">
      <c r="G66" s="10"/>
    </row>
    <row r="67" spans="7:29">
      <c r="G67" s="10"/>
    </row>
    <row r="68" spans="7:29">
      <c r="G68" s="10"/>
    </row>
    <row r="69" spans="7:29">
      <c r="G69" s="10"/>
    </row>
    <row r="70" spans="7:29">
      <c r="G70" s="10"/>
    </row>
    <row r="71" spans="7:29">
      <c r="G71" s="10"/>
    </row>
    <row r="72" spans="7:29">
      <c r="G72" s="10"/>
    </row>
    <row r="73" spans="7:29">
      <c r="G73" s="10"/>
    </row>
    <row r="74" spans="7:29">
      <c r="G74" s="10"/>
    </row>
    <row r="75" spans="7:29">
      <c r="G75" s="10"/>
    </row>
    <row r="76" spans="7:29">
      <c r="G76" s="10"/>
    </row>
    <row r="77" spans="7:29">
      <c r="G77" s="10"/>
    </row>
    <row r="78" spans="7:29">
      <c r="G78" s="10"/>
      <c r="P78" s="9" t="s">
        <v>99</v>
      </c>
      <c r="Q78" s="131" t="s">
        <v>100</v>
      </c>
      <c r="R78" s="131" t="s">
        <v>101</v>
      </c>
      <c r="S78" s="131" t="s">
        <v>104</v>
      </c>
      <c r="T78" s="131" t="s">
        <v>106</v>
      </c>
      <c r="U78" t="s">
        <v>148</v>
      </c>
      <c r="V78" t="s">
        <v>160</v>
      </c>
      <c r="W78" s="246" t="s">
        <v>169</v>
      </c>
      <c r="X78" s="246" t="s">
        <v>175</v>
      </c>
      <c r="Y78" s="246" t="s">
        <v>140</v>
      </c>
      <c r="Z78" s="246" t="s">
        <v>141</v>
      </c>
      <c r="AA78" s="246" t="s">
        <v>149</v>
      </c>
      <c r="AB78" s="246" t="s">
        <v>163</v>
      </c>
      <c r="AC78" s="246" t="s">
        <v>166</v>
      </c>
    </row>
    <row r="79" spans="7:29">
      <c r="G79" s="10"/>
    </row>
    <row r="80" spans="7:29">
      <c r="G80" s="10"/>
    </row>
    <row r="81" spans="7:7">
      <c r="G81" s="10"/>
    </row>
    <row r="82" spans="7:7">
      <c r="G82" s="10"/>
    </row>
    <row r="83" spans="7:7">
      <c r="G83" s="10"/>
    </row>
    <row r="84" spans="7:7">
      <c r="G84" s="10"/>
    </row>
    <row r="85" spans="7:7">
      <c r="G85" s="10"/>
    </row>
    <row r="86" spans="7:7">
      <c r="G86" s="10"/>
    </row>
    <row r="87" spans="7:7">
      <c r="G87" s="10"/>
    </row>
    <row r="88" spans="7:7">
      <c r="G88" s="10"/>
    </row>
    <row r="89" spans="7:7">
      <c r="G89" s="10"/>
    </row>
    <row r="90" spans="7:7">
      <c r="G90" s="10"/>
    </row>
    <row r="91" spans="7:7">
      <c r="G91" s="10"/>
    </row>
    <row r="92" spans="7:7">
      <c r="G92" s="10"/>
    </row>
    <row r="93" spans="7:7">
      <c r="G93" s="10"/>
    </row>
    <row r="94" spans="7:7">
      <c r="G94" s="10"/>
    </row>
    <row r="95" spans="7:7">
      <c r="G95" s="10"/>
    </row>
    <row r="96" spans="7:7">
      <c r="G96" s="10"/>
    </row>
    <row r="97" spans="7:7">
      <c r="G97" s="10"/>
    </row>
    <row r="98" spans="7:7">
      <c r="G98" s="10"/>
    </row>
    <row r="99" spans="7:7">
      <c r="G99" s="10"/>
    </row>
    <row r="100" spans="7:7">
      <c r="G100" s="10"/>
    </row>
  </sheetData>
  <phoneticPr fontId="0" type="noConversion"/>
  <pageMargins left="0.75" right="1.1000000000000001" top="1.25" bottom="0.5" header="0.5" footer="0.25"/>
  <pageSetup scale="85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extLst>
    <ext xmlns:mx="http://schemas.microsoft.com/office/mac/excel/2008/main" uri="{64002731-A6B0-56B0-2670-7721B7C09600}">
      <mx:PLV Mode="1" OnePage="0" WScale="9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27"/>
  <sheetViews>
    <sheetView view="pageLayout" topLeftCell="A9" zoomScale="125" zoomScaleNormal="125" zoomScalePageLayoutView="125" workbookViewId="0">
      <selection activeCell="V32" sqref="V32"/>
    </sheetView>
  </sheetViews>
  <sheetFormatPr baseColWidth="10" defaultColWidth="9.1640625" defaultRowHeight="12" x14ac:dyDescent="0"/>
  <cols>
    <col min="1" max="1" width="20.1640625" style="9" customWidth="1"/>
    <col min="2" max="10" width="18.6640625" style="9" hidden="1" customWidth="1"/>
    <col min="11" max="11" width="19.83203125" style="9" hidden="1" customWidth="1"/>
    <col min="12" max="15" width="18.6640625" style="9" hidden="1" customWidth="1"/>
    <col min="16" max="16" width="19" style="9" hidden="1" customWidth="1"/>
    <col min="17" max="17" width="21.33203125" style="9" hidden="1" customWidth="1"/>
    <col min="18" max="19" width="10" style="9" hidden="1" customWidth="1"/>
    <col min="20" max="21" width="12.33203125" style="9" hidden="1" customWidth="1"/>
    <col min="22" max="22" width="12.33203125" style="9" customWidth="1"/>
    <col min="23" max="23" width="12" style="9" customWidth="1"/>
    <col min="24" max="24" width="12.1640625" style="9" customWidth="1"/>
    <col min="25" max="26" width="12" style="9" customWidth="1"/>
    <col min="27" max="29" width="12.1640625" style="9" customWidth="1"/>
    <col min="30" max="16384" width="9.1640625" style="9"/>
  </cols>
  <sheetData>
    <row r="1" spans="1:29" ht="18">
      <c r="A1" s="106" t="s">
        <v>80</v>
      </c>
      <c r="B1" s="2" t="s">
        <v>44</v>
      </c>
      <c r="C1" s="3" t="s">
        <v>9</v>
      </c>
      <c r="D1" s="3" t="s">
        <v>56</v>
      </c>
      <c r="E1" s="3" t="s">
        <v>57</v>
      </c>
      <c r="F1" s="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3" t="s">
        <v>33</v>
      </c>
      <c r="S1" s="3" t="s">
        <v>39</v>
      </c>
      <c r="T1" s="3" t="s">
        <v>111</v>
      </c>
      <c r="U1" s="153" t="s">
        <v>129</v>
      </c>
      <c r="V1" s="153" t="s">
        <v>130</v>
      </c>
      <c r="W1" s="156" t="s">
        <v>131</v>
      </c>
      <c r="X1" s="156" t="s">
        <v>132</v>
      </c>
      <c r="Y1" s="156" t="s">
        <v>135</v>
      </c>
      <c r="Z1" s="156" t="s">
        <v>136</v>
      </c>
      <c r="AA1" s="156" t="s">
        <v>150</v>
      </c>
      <c r="AB1" s="156" t="s">
        <v>159</v>
      </c>
      <c r="AC1" s="156" t="s">
        <v>167</v>
      </c>
    </row>
    <row r="2" spans="1:29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4" t="s">
        <v>127</v>
      </c>
      <c r="Y2" s="157" t="s">
        <v>128</v>
      </c>
      <c r="Z2" s="157" t="s">
        <v>128</v>
      </c>
      <c r="AA2" s="157" t="s">
        <v>128</v>
      </c>
      <c r="AB2" s="157" t="s">
        <v>128</v>
      </c>
      <c r="AC2" s="157" t="s">
        <v>128</v>
      </c>
    </row>
    <row r="3" spans="1:29">
      <c r="A3" s="1" t="s">
        <v>92</v>
      </c>
    </row>
    <row r="5" spans="1:29" s="162" customFormat="1">
      <c r="A5" s="162" t="s">
        <v>93</v>
      </c>
      <c r="B5" s="162">
        <v>2990569</v>
      </c>
      <c r="C5" s="162">
        <v>3637787</v>
      </c>
      <c r="D5" s="162">
        <v>3418782</v>
      </c>
      <c r="E5" s="162">
        <v>3631101</v>
      </c>
      <c r="F5" s="162">
        <v>3780560</v>
      </c>
      <c r="G5" s="163">
        <v>4112568</v>
      </c>
      <c r="H5" s="163">
        <v>4104944</v>
      </c>
      <c r="I5" s="163">
        <v>3798549</v>
      </c>
      <c r="J5" s="163">
        <v>3839127</v>
      </c>
      <c r="K5" s="163">
        <v>4084105</v>
      </c>
      <c r="L5" s="163">
        <v>3667529</v>
      </c>
      <c r="M5" s="163">
        <v>3615172</v>
      </c>
      <c r="N5" s="163">
        <v>3915915</v>
      </c>
      <c r="O5" s="163">
        <v>4402325</v>
      </c>
      <c r="P5" s="163">
        <v>0</v>
      </c>
      <c r="Q5" s="163">
        <v>0</v>
      </c>
      <c r="R5" s="238">
        <v>761195.63</v>
      </c>
      <c r="S5" s="163">
        <v>668039</v>
      </c>
      <c r="T5" s="163">
        <v>905221</v>
      </c>
      <c r="U5" s="163">
        <v>1057232</v>
      </c>
      <c r="V5" s="163">
        <v>995428</v>
      </c>
      <c r="W5" s="163">
        <v>768582</v>
      </c>
      <c r="X5" s="163">
        <v>590070</v>
      </c>
      <c r="Y5" s="163">
        <f>(X5*1.001)-100000</f>
        <v>490660.06999999995</v>
      </c>
      <c r="Z5" s="163">
        <f>Y5*1.015</f>
        <v>498019.97104999988</v>
      </c>
      <c r="AA5" s="163">
        <f>Z5*1.01</f>
        <v>503000.1707604999</v>
      </c>
      <c r="AB5" s="163">
        <f>AA5*1.0275</f>
        <v>516832.67545641371</v>
      </c>
      <c r="AC5" s="163">
        <f>AB5*1.0275</f>
        <v>531045.5740314651</v>
      </c>
    </row>
    <row r="6" spans="1:29" s="179" customFormat="1">
      <c r="A6" s="179" t="s">
        <v>27</v>
      </c>
      <c r="B6" s="179">
        <v>0</v>
      </c>
      <c r="C6" s="179">
        <v>0</v>
      </c>
      <c r="D6" s="179">
        <v>0</v>
      </c>
      <c r="E6" s="179">
        <f t="shared" ref="E6:S6" si="0">D6*1.06</f>
        <v>0</v>
      </c>
      <c r="F6" s="179">
        <f t="shared" si="0"/>
        <v>0</v>
      </c>
      <c r="G6" s="179">
        <f t="shared" si="0"/>
        <v>0</v>
      </c>
      <c r="H6" s="179">
        <f t="shared" si="0"/>
        <v>0</v>
      </c>
      <c r="I6" s="179">
        <f t="shared" si="0"/>
        <v>0</v>
      </c>
      <c r="J6" s="179">
        <f t="shared" si="0"/>
        <v>0</v>
      </c>
      <c r="K6" s="179">
        <v>0</v>
      </c>
      <c r="L6" s="179">
        <f t="shared" si="0"/>
        <v>0</v>
      </c>
      <c r="M6" s="179">
        <f t="shared" si="0"/>
        <v>0</v>
      </c>
      <c r="N6" s="179">
        <f t="shared" si="0"/>
        <v>0</v>
      </c>
      <c r="O6" s="179">
        <f t="shared" si="0"/>
        <v>0</v>
      </c>
      <c r="P6" s="179">
        <f t="shared" si="0"/>
        <v>0</v>
      </c>
      <c r="Q6" s="179">
        <f t="shared" si="0"/>
        <v>0</v>
      </c>
      <c r="R6" s="198">
        <f t="shared" si="0"/>
        <v>0</v>
      </c>
      <c r="S6" s="179">
        <f t="shared" si="0"/>
        <v>0</v>
      </c>
      <c r="T6" s="179">
        <f>S6*1.06</f>
        <v>0</v>
      </c>
      <c r="U6" s="179">
        <f>T6*1.06</f>
        <v>0</v>
      </c>
      <c r="V6" s="179">
        <f>U6*1.06</f>
        <v>0</v>
      </c>
      <c r="W6" s="179">
        <f>V6*1.06</f>
        <v>0</v>
      </c>
      <c r="X6" s="179">
        <v>0</v>
      </c>
      <c r="Y6" s="179">
        <v>0</v>
      </c>
      <c r="Z6" s="179">
        <v>0</v>
      </c>
      <c r="AA6" s="179">
        <v>0</v>
      </c>
      <c r="AB6" s="179">
        <v>0</v>
      </c>
      <c r="AC6" s="179">
        <v>0</v>
      </c>
    </row>
    <row r="7" spans="1:29" s="179" customFormat="1">
      <c r="A7" s="179" t="s">
        <v>28</v>
      </c>
      <c r="B7" s="179">
        <v>2773707</v>
      </c>
      <c r="C7" s="179">
        <v>3749968</v>
      </c>
      <c r="D7" s="179">
        <v>4111192</v>
      </c>
      <c r="E7" s="179">
        <v>4478470</v>
      </c>
      <c r="F7" s="179">
        <v>4109504</v>
      </c>
      <c r="G7" s="179">
        <v>3989531</v>
      </c>
      <c r="H7" s="179">
        <v>4434327</v>
      </c>
      <c r="I7" s="179">
        <v>4896470</v>
      </c>
      <c r="J7" s="179">
        <v>5423251</v>
      </c>
      <c r="K7" s="179">
        <v>5639025</v>
      </c>
      <c r="L7" s="179">
        <v>5262685</v>
      </c>
      <c r="M7" s="179">
        <v>5879977</v>
      </c>
      <c r="N7" s="179">
        <v>6088968</v>
      </c>
      <c r="O7" s="179">
        <v>6088823</v>
      </c>
      <c r="P7" s="179">
        <v>0</v>
      </c>
      <c r="Q7" s="179">
        <v>0</v>
      </c>
      <c r="R7" s="198">
        <v>0</v>
      </c>
      <c r="S7" s="179">
        <f>+R7*1.02</f>
        <v>0</v>
      </c>
      <c r="T7" s="179">
        <f>+S7*1.02</f>
        <v>0</v>
      </c>
      <c r="U7" s="179">
        <f>+T7*1.02</f>
        <v>0</v>
      </c>
      <c r="V7" s="179">
        <f>+U7*1.02</f>
        <v>0</v>
      </c>
      <c r="W7" s="179">
        <f>+V7*1.02</f>
        <v>0</v>
      </c>
      <c r="X7" s="179">
        <v>0</v>
      </c>
      <c r="Y7" s="179">
        <v>0</v>
      </c>
      <c r="Z7" s="179">
        <v>0</v>
      </c>
      <c r="AA7" s="179">
        <v>0</v>
      </c>
      <c r="AB7" s="179">
        <v>0</v>
      </c>
      <c r="AC7" s="179">
        <v>0</v>
      </c>
    </row>
    <row r="8" spans="1:29" s="179" customFormat="1" hidden="1">
      <c r="A8" s="179" t="s">
        <v>50</v>
      </c>
      <c r="B8" s="179">
        <v>0</v>
      </c>
      <c r="C8" s="179">
        <v>0</v>
      </c>
      <c r="D8" s="179">
        <v>0</v>
      </c>
      <c r="E8" s="179">
        <f t="shared" ref="E8:S8" si="1">D8*1.06</f>
        <v>0</v>
      </c>
      <c r="F8" s="179">
        <f t="shared" si="1"/>
        <v>0</v>
      </c>
      <c r="G8" s="179">
        <f t="shared" si="1"/>
        <v>0</v>
      </c>
      <c r="H8" s="179">
        <f t="shared" si="1"/>
        <v>0</v>
      </c>
      <c r="I8" s="179">
        <f t="shared" si="1"/>
        <v>0</v>
      </c>
      <c r="J8" s="179">
        <f t="shared" si="1"/>
        <v>0</v>
      </c>
      <c r="K8" s="179">
        <f t="shared" si="1"/>
        <v>0</v>
      </c>
      <c r="L8" s="179">
        <f t="shared" si="1"/>
        <v>0</v>
      </c>
      <c r="M8" s="179">
        <f t="shared" si="1"/>
        <v>0</v>
      </c>
      <c r="N8" s="179">
        <f t="shared" si="1"/>
        <v>0</v>
      </c>
      <c r="O8" s="179">
        <f t="shared" si="1"/>
        <v>0</v>
      </c>
      <c r="P8" s="179">
        <f t="shared" si="1"/>
        <v>0</v>
      </c>
      <c r="Q8" s="179">
        <f t="shared" si="1"/>
        <v>0</v>
      </c>
      <c r="R8" s="198">
        <f t="shared" si="1"/>
        <v>0</v>
      </c>
      <c r="S8" s="179">
        <f t="shared" si="1"/>
        <v>0</v>
      </c>
      <c r="T8" s="179">
        <f>S8*1.06</f>
        <v>0</v>
      </c>
      <c r="U8" s="179">
        <f>T8*1.06</f>
        <v>0</v>
      </c>
      <c r="V8" s="179">
        <f>U8*1.06</f>
        <v>0</v>
      </c>
      <c r="W8" s="179">
        <f>V8*1.06</f>
        <v>0</v>
      </c>
    </row>
    <row r="9" spans="1:29" s="179" customFormat="1">
      <c r="A9" s="179" t="s">
        <v>112</v>
      </c>
      <c r="B9" s="179">
        <v>40385</v>
      </c>
      <c r="C9" s="179">
        <v>3468</v>
      </c>
      <c r="D9" s="179">
        <v>8111</v>
      </c>
      <c r="E9" s="179">
        <v>4509</v>
      </c>
      <c r="F9" s="179">
        <v>35561</v>
      </c>
      <c r="G9" s="179">
        <v>51637</v>
      </c>
      <c r="H9" s="179">
        <v>34632</v>
      </c>
      <c r="I9" s="179">
        <v>85842</v>
      </c>
      <c r="J9" s="179">
        <v>130624</v>
      </c>
      <c r="K9" s="179">
        <v>108502</v>
      </c>
      <c r="L9" s="179">
        <v>62426</v>
      </c>
      <c r="M9" s="179">
        <v>43107</v>
      </c>
      <c r="N9" s="179">
        <v>60989</v>
      </c>
      <c r="O9" s="179">
        <v>203818</v>
      </c>
      <c r="P9" s="179">
        <v>0</v>
      </c>
      <c r="Q9" s="179">
        <v>0</v>
      </c>
      <c r="R9" s="198">
        <v>169.89</v>
      </c>
      <c r="S9" s="179">
        <v>99</v>
      </c>
      <c r="T9" s="179">
        <v>59</v>
      </c>
      <c r="U9" s="179">
        <v>259</v>
      </c>
      <c r="V9" s="179">
        <v>608</v>
      </c>
      <c r="W9" s="179">
        <v>1274</v>
      </c>
      <c r="X9" s="206">
        <v>400</v>
      </c>
      <c r="Y9" s="206">
        <f t="shared" ref="Y9:AA9" si="2">(X36/2)*0.003</f>
        <v>1362.5550600000001</v>
      </c>
      <c r="Z9" s="206">
        <f t="shared" si="2"/>
        <v>1154.5374975900002</v>
      </c>
      <c r="AA9" s="206">
        <f t="shared" si="2"/>
        <v>943.50271441138477</v>
      </c>
      <c r="AB9" s="206">
        <f t="shared" ref="AB9:AC9" si="3">(AA36/2)*0.003</f>
        <v>715.43493330375168</v>
      </c>
      <c r="AC9" s="206">
        <f t="shared" si="3"/>
        <v>482.6042459019277</v>
      </c>
    </row>
    <row r="10" spans="1:29" s="179" customFormat="1">
      <c r="A10" s="179" t="s">
        <v>113</v>
      </c>
      <c r="B10" s="200">
        <f>243858+30946-B9</f>
        <v>234419</v>
      </c>
      <c r="C10" s="200">
        <f>3468+240996-C9</f>
        <v>240996</v>
      </c>
      <c r="D10" s="200">
        <f>322336-D9</f>
        <v>314225</v>
      </c>
      <c r="E10" s="200">
        <f>348308-E9</f>
        <v>343799</v>
      </c>
      <c r="F10" s="200">
        <f>389340-F9</f>
        <v>353779</v>
      </c>
      <c r="G10" s="200">
        <v>399422</v>
      </c>
      <c r="H10" s="200">
        <v>393000</v>
      </c>
      <c r="I10" s="200">
        <v>391419</v>
      </c>
      <c r="J10" s="200">
        <v>401721</v>
      </c>
      <c r="K10" s="200">
        <v>375469</v>
      </c>
      <c r="L10" s="200">
        <v>372643</v>
      </c>
      <c r="M10" s="200">
        <v>418331</v>
      </c>
      <c r="N10" s="200">
        <v>423853</v>
      </c>
      <c r="O10" s="200">
        <v>443948</v>
      </c>
      <c r="P10" s="200">
        <v>0</v>
      </c>
      <c r="Q10" s="200">
        <v>0</v>
      </c>
      <c r="R10" s="226">
        <f>+Q10*1.01</f>
        <v>0</v>
      </c>
      <c r="S10" s="200">
        <f t="shared" ref="S10:Y10" si="4">+R10*1.01</f>
        <v>0</v>
      </c>
      <c r="T10" s="200">
        <f t="shared" si="4"/>
        <v>0</v>
      </c>
      <c r="U10" s="200">
        <f t="shared" si="4"/>
        <v>0</v>
      </c>
      <c r="V10" s="200">
        <f t="shared" si="4"/>
        <v>0</v>
      </c>
      <c r="W10" s="200">
        <f t="shared" si="4"/>
        <v>0</v>
      </c>
      <c r="X10" s="200">
        <f t="shared" si="4"/>
        <v>0</v>
      </c>
      <c r="Y10" s="200">
        <f t="shared" si="4"/>
        <v>0</v>
      </c>
      <c r="Z10" s="200">
        <f t="shared" ref="Z10" si="5">+Y10*1.01</f>
        <v>0</v>
      </c>
      <c r="AA10" s="200">
        <f t="shared" ref="AA10:AC10" si="6">+Z10*1.01</f>
        <v>0</v>
      </c>
      <c r="AB10" s="200">
        <f t="shared" si="6"/>
        <v>0</v>
      </c>
      <c r="AC10" s="200">
        <f t="shared" si="6"/>
        <v>0</v>
      </c>
    </row>
    <row r="11" spans="1:29">
      <c r="B11" s="125"/>
      <c r="C11" s="125"/>
      <c r="D11" s="125"/>
      <c r="E11" s="125"/>
      <c r="F11" s="125"/>
      <c r="G11" s="11"/>
      <c r="H11" s="11"/>
      <c r="I11" s="11"/>
      <c r="J11" s="11"/>
      <c r="K11" s="11"/>
      <c r="L11" s="11"/>
      <c r="M11" s="11"/>
      <c r="N11" s="11"/>
      <c r="O11" s="11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</row>
    <row r="12" spans="1:29" ht="13" thickBot="1">
      <c r="A12" s="9" t="s">
        <v>22</v>
      </c>
      <c r="B12" s="127">
        <f t="shared" ref="B12:U12" si="7">SUM(B5:B11)</f>
        <v>6039080</v>
      </c>
      <c r="C12" s="127">
        <f t="shared" si="7"/>
        <v>7632219</v>
      </c>
      <c r="D12" s="127">
        <f t="shared" si="7"/>
        <v>7852310</v>
      </c>
      <c r="E12" s="127">
        <f t="shared" si="7"/>
        <v>8457879</v>
      </c>
      <c r="F12" s="127">
        <f t="shared" si="7"/>
        <v>8279404</v>
      </c>
      <c r="G12" s="127">
        <f t="shared" si="7"/>
        <v>8553158</v>
      </c>
      <c r="H12" s="127">
        <f t="shared" si="7"/>
        <v>8966903</v>
      </c>
      <c r="I12" s="127">
        <f t="shared" si="7"/>
        <v>9172280</v>
      </c>
      <c r="J12" s="127">
        <f t="shared" si="7"/>
        <v>9794723</v>
      </c>
      <c r="K12" s="127">
        <f t="shared" si="7"/>
        <v>10207101</v>
      </c>
      <c r="L12" s="127">
        <f t="shared" si="7"/>
        <v>9365283</v>
      </c>
      <c r="M12" s="127">
        <f t="shared" si="7"/>
        <v>9956587</v>
      </c>
      <c r="N12" s="127">
        <f t="shared" si="7"/>
        <v>10489725</v>
      </c>
      <c r="O12" s="127">
        <f t="shared" si="7"/>
        <v>11138914</v>
      </c>
      <c r="P12" s="127">
        <f t="shared" si="7"/>
        <v>0</v>
      </c>
      <c r="Q12" s="127">
        <f t="shared" si="7"/>
        <v>0</v>
      </c>
      <c r="R12" s="127">
        <f t="shared" si="7"/>
        <v>761365.52</v>
      </c>
      <c r="S12" s="127">
        <f t="shared" si="7"/>
        <v>668138</v>
      </c>
      <c r="T12" s="127">
        <f t="shared" si="7"/>
        <v>905280</v>
      </c>
      <c r="U12" s="127">
        <f t="shared" si="7"/>
        <v>1057491</v>
      </c>
      <c r="V12" s="127">
        <f>SUM(V5:V11)</f>
        <v>996036</v>
      </c>
      <c r="W12" s="127">
        <f>SUM(W5:W11)</f>
        <v>769856</v>
      </c>
      <c r="X12" s="127">
        <f>SUM(X5:X11)</f>
        <v>590470</v>
      </c>
      <c r="Y12" s="127">
        <f>SUM(Y5:Y11)</f>
        <v>492022.62505999993</v>
      </c>
      <c r="Z12" s="127">
        <f t="shared" ref="Z12:AB12" si="8">SUM(Z5:Z11)</f>
        <v>499174.50854758988</v>
      </c>
      <c r="AA12" s="127">
        <f t="shared" si="8"/>
        <v>503943.67347491131</v>
      </c>
      <c r="AB12" s="127">
        <f t="shared" si="8"/>
        <v>517548.11038971745</v>
      </c>
      <c r="AC12" s="127">
        <f t="shared" ref="AC12" si="9">SUM(AC5:AC11)</f>
        <v>531528.17827736703</v>
      </c>
    </row>
    <row r="13" spans="1:29">
      <c r="B13" s="125"/>
      <c r="C13" s="125"/>
      <c r="D13" s="125"/>
      <c r="E13" s="125"/>
      <c r="F13" s="125"/>
      <c r="G13" s="11"/>
      <c r="H13" s="11"/>
      <c r="I13" s="11"/>
      <c r="J13" s="11"/>
      <c r="K13" s="11"/>
      <c r="L13" s="11"/>
      <c r="M13" s="11"/>
      <c r="N13" s="11"/>
      <c r="O13" s="11"/>
      <c r="P13" s="125"/>
      <c r="Q13" s="125"/>
      <c r="R13" s="125"/>
      <c r="S13" s="125"/>
      <c r="T13" s="125"/>
      <c r="U13" s="125"/>
      <c r="V13" s="125"/>
      <c r="W13" s="125"/>
    </row>
    <row r="14" spans="1:29">
      <c r="B14" s="125"/>
      <c r="C14" s="125"/>
      <c r="D14" s="125"/>
      <c r="E14" s="125"/>
      <c r="F14" s="125"/>
      <c r="G14" s="11"/>
      <c r="H14" s="11"/>
      <c r="I14" s="11"/>
      <c r="J14" s="11"/>
      <c r="K14" s="11"/>
      <c r="L14" s="11"/>
      <c r="M14" s="11"/>
      <c r="N14" s="11"/>
      <c r="O14" s="11"/>
      <c r="P14" s="125"/>
      <c r="Q14" s="125"/>
      <c r="R14" s="125"/>
      <c r="S14" s="125"/>
      <c r="T14" s="125"/>
      <c r="U14" s="125"/>
      <c r="V14" s="125"/>
      <c r="W14" s="125"/>
    </row>
    <row r="15" spans="1:29">
      <c r="A15" s="1" t="s">
        <v>102</v>
      </c>
      <c r="B15" s="125"/>
      <c r="C15" s="125"/>
      <c r="D15" s="125"/>
      <c r="E15" s="125"/>
      <c r="F15" s="125"/>
      <c r="G15" s="11"/>
      <c r="H15" s="11"/>
      <c r="I15" s="11"/>
      <c r="J15" s="11"/>
      <c r="K15" s="11"/>
      <c r="L15" s="11"/>
      <c r="M15" s="11"/>
      <c r="N15" s="11"/>
      <c r="O15" s="11"/>
      <c r="P15" s="125"/>
      <c r="Q15" s="125"/>
      <c r="R15" s="125"/>
      <c r="S15" s="125"/>
      <c r="T15" s="125"/>
      <c r="U15" s="125"/>
      <c r="V15" s="125"/>
      <c r="W15" s="125"/>
    </row>
    <row r="16" spans="1:29">
      <c r="B16" s="125"/>
      <c r="C16" s="125"/>
      <c r="D16" s="125"/>
      <c r="E16" s="125"/>
      <c r="F16" s="125"/>
      <c r="G16" s="11"/>
      <c r="H16" s="11"/>
      <c r="I16" s="11"/>
      <c r="J16" s="11"/>
      <c r="K16" s="11"/>
      <c r="L16" s="11"/>
      <c r="M16" s="11"/>
      <c r="N16" s="11"/>
      <c r="O16" s="11"/>
      <c r="P16" s="125"/>
      <c r="Q16" s="125"/>
      <c r="R16" s="125"/>
      <c r="S16" s="125"/>
      <c r="T16" s="125"/>
      <c r="U16" s="125"/>
      <c r="V16" s="125"/>
      <c r="W16" s="125"/>
    </row>
    <row r="17" spans="1:29">
      <c r="A17" s="9" t="s">
        <v>103</v>
      </c>
      <c r="B17" s="125">
        <v>144761</v>
      </c>
      <c r="C17" s="125">
        <v>173953</v>
      </c>
      <c r="D17" s="125">
        <v>180660</v>
      </c>
      <c r="E17" s="125">
        <v>192110</v>
      </c>
      <c r="F17" s="125">
        <v>180573</v>
      </c>
      <c r="G17" s="11">
        <v>213921</v>
      </c>
      <c r="H17" s="11">
        <v>190720</v>
      </c>
      <c r="I17" s="11">
        <v>219350</v>
      </c>
      <c r="J17" s="11">
        <v>189748</v>
      </c>
      <c r="K17" s="11">
        <v>165330</v>
      </c>
      <c r="L17" s="11">
        <v>162785</v>
      </c>
      <c r="M17" s="11">
        <v>181872</v>
      </c>
      <c r="N17" s="11">
        <v>166266</v>
      </c>
      <c r="O17" s="11">
        <v>169246</v>
      </c>
      <c r="P17" s="125">
        <v>0</v>
      </c>
      <c r="Q17" s="125">
        <v>0</v>
      </c>
      <c r="R17" s="148">
        <v>221152.46</v>
      </c>
      <c r="S17" s="125">
        <v>194814</v>
      </c>
      <c r="T17" s="148">
        <v>180432</v>
      </c>
      <c r="U17" s="125">
        <v>189062</v>
      </c>
      <c r="V17" s="162">
        <v>180353</v>
      </c>
      <c r="W17" s="162">
        <v>190154</v>
      </c>
      <c r="X17" s="162">
        <v>184490</v>
      </c>
      <c r="Y17" s="162">
        <f t="shared" ref="Y17" si="10">X17*1.02</f>
        <v>188179.80000000002</v>
      </c>
      <c r="Z17" s="162">
        <f>Y17*1.02</f>
        <v>191943.39600000001</v>
      </c>
      <c r="AA17" s="162">
        <f>Z17*1.02</f>
        <v>195782.26392</v>
      </c>
      <c r="AB17" s="162">
        <f>AA17*1.02</f>
        <v>199697.90919840001</v>
      </c>
      <c r="AC17" s="162">
        <f>AB17*1.02</f>
        <v>203691.86738236801</v>
      </c>
    </row>
    <row r="18" spans="1:29" s="179" customFormat="1">
      <c r="A18" s="179" t="s">
        <v>66</v>
      </c>
      <c r="B18" s="179">
        <v>0</v>
      </c>
      <c r="C18" s="179">
        <v>0</v>
      </c>
      <c r="D18" s="179">
        <v>0</v>
      </c>
      <c r="E18" s="179">
        <f>D18*1.06</f>
        <v>0</v>
      </c>
      <c r="F18" s="179">
        <v>19762</v>
      </c>
      <c r="G18" s="179">
        <v>30047</v>
      </c>
      <c r="H18" s="179">
        <v>28686</v>
      </c>
      <c r="I18" s="179">
        <v>476</v>
      </c>
      <c r="J18" s="179">
        <v>28634</v>
      </c>
      <c r="K18" s="179">
        <v>39140</v>
      </c>
      <c r="L18" s="179">
        <v>43400</v>
      </c>
      <c r="M18" s="179">
        <v>43658</v>
      </c>
      <c r="N18" s="179">
        <v>45494</v>
      </c>
      <c r="O18" s="179">
        <v>46046</v>
      </c>
      <c r="P18" s="179">
        <v>0</v>
      </c>
      <c r="Q18" s="179">
        <v>0</v>
      </c>
      <c r="R18" s="198">
        <v>5159.78</v>
      </c>
      <c r="S18" s="179">
        <v>21072</v>
      </c>
      <c r="T18" s="198">
        <v>37333</v>
      </c>
      <c r="U18" s="179">
        <v>38058</v>
      </c>
      <c r="V18" s="169">
        <v>31505</v>
      </c>
      <c r="W18" s="169">
        <v>32352</v>
      </c>
      <c r="X18" s="169">
        <v>34372</v>
      </c>
      <c r="Y18" s="169">
        <f t="shared" ref="Y18:AC18" si="11">X18*1.1</f>
        <v>37809.200000000004</v>
      </c>
      <c r="Z18" s="169">
        <f t="shared" si="11"/>
        <v>41590.12000000001</v>
      </c>
      <c r="AA18" s="169">
        <f t="shared" si="11"/>
        <v>45749.132000000012</v>
      </c>
      <c r="AB18" s="169">
        <f t="shared" si="11"/>
        <v>50324.045200000015</v>
      </c>
      <c r="AC18" s="169">
        <f t="shared" si="11"/>
        <v>55356.449720000019</v>
      </c>
    </row>
    <row r="19" spans="1:29" s="179" customFormat="1">
      <c r="A19" s="179" t="s">
        <v>83</v>
      </c>
      <c r="B19" s="179">
        <v>7211450</v>
      </c>
      <c r="C19" s="179">
        <v>7584939</v>
      </c>
      <c r="D19" s="179">
        <v>8006177</v>
      </c>
      <c r="E19" s="179">
        <v>8116804</v>
      </c>
      <c r="F19" s="179">
        <v>7899284</v>
      </c>
      <c r="G19" s="179">
        <v>8271408</v>
      </c>
      <c r="H19" s="179">
        <v>7907607</v>
      </c>
      <c r="I19" s="179">
        <v>8376088</v>
      </c>
      <c r="J19" s="179">
        <v>8524170</v>
      </c>
      <c r="K19" s="179">
        <v>9246386</v>
      </c>
      <c r="L19" s="179">
        <v>9270118</v>
      </c>
      <c r="M19" s="179">
        <v>9477144</v>
      </c>
      <c r="N19" s="179">
        <v>9859064</v>
      </c>
      <c r="O19" s="179">
        <v>8486328</v>
      </c>
      <c r="P19" s="179">
        <v>0</v>
      </c>
      <c r="Q19" s="179">
        <v>0</v>
      </c>
      <c r="R19" s="198">
        <f>436215.24</f>
        <v>436215.24</v>
      </c>
      <c r="S19" s="179">
        <v>609875</v>
      </c>
      <c r="T19" s="198">
        <v>615355</v>
      </c>
      <c r="U19" s="179">
        <v>425326</v>
      </c>
      <c r="V19" s="169">
        <v>466877</v>
      </c>
      <c r="W19" s="169">
        <v>343120</v>
      </c>
      <c r="X19" s="169">
        <v>401500</v>
      </c>
      <c r="Y19" s="169">
        <f>+X19*1.008</f>
        <v>404712</v>
      </c>
      <c r="Z19" s="169">
        <f>+Y19*1.004</f>
        <v>406330.848</v>
      </c>
      <c r="AA19" s="169">
        <f>+Z19*1.02</f>
        <v>414457.46496000001</v>
      </c>
      <c r="AB19" s="169">
        <f>+AA19*1.02</f>
        <v>422746.6142592</v>
      </c>
      <c r="AC19" s="169">
        <f>+AB19*1.022</f>
        <v>432047.03977290238</v>
      </c>
    </row>
    <row r="20" spans="1:29" s="179" customFormat="1">
      <c r="A20" s="179" t="s">
        <v>84</v>
      </c>
      <c r="B20" s="179">
        <v>7448</v>
      </c>
      <c r="C20" s="179">
        <v>7351</v>
      </c>
      <c r="D20" s="179">
        <v>6908</v>
      </c>
      <c r="E20" s="179">
        <v>2139</v>
      </c>
      <c r="F20" s="179">
        <v>5927</v>
      </c>
      <c r="G20" s="179">
        <v>17439</v>
      </c>
      <c r="H20" s="179">
        <v>14965</v>
      </c>
      <c r="I20" s="179">
        <v>7709</v>
      </c>
      <c r="J20" s="179">
        <v>9274</v>
      </c>
      <c r="K20" s="179">
        <v>6376</v>
      </c>
      <c r="L20" s="179">
        <v>8964</v>
      </c>
      <c r="M20" s="179">
        <v>8829</v>
      </c>
      <c r="N20" s="179">
        <v>8721</v>
      </c>
      <c r="O20" s="179">
        <v>6163</v>
      </c>
      <c r="P20" s="179">
        <v>0</v>
      </c>
      <c r="Q20" s="179">
        <v>0</v>
      </c>
      <c r="R20" s="198">
        <f t="shared" ref="R20:W20" si="12">+Q20</f>
        <v>0</v>
      </c>
      <c r="S20" s="179">
        <f t="shared" si="12"/>
        <v>0</v>
      </c>
      <c r="T20" s="179">
        <f t="shared" si="12"/>
        <v>0</v>
      </c>
      <c r="U20" s="179">
        <f t="shared" si="12"/>
        <v>0</v>
      </c>
      <c r="V20" s="169">
        <f t="shared" si="12"/>
        <v>0</v>
      </c>
      <c r="W20" s="169">
        <f t="shared" si="12"/>
        <v>0</v>
      </c>
      <c r="X20" s="169">
        <f t="shared" ref="X20" si="13">+W20</f>
        <v>0</v>
      </c>
      <c r="Y20" s="169">
        <f t="shared" ref="Y20" si="14">+X20</f>
        <v>0</v>
      </c>
      <c r="Z20" s="169">
        <f t="shared" ref="Z20" si="15">+Y20</f>
        <v>0</v>
      </c>
      <c r="AA20" s="169">
        <f t="shared" ref="AA20:AC20" si="16">+Z20</f>
        <v>0</v>
      </c>
      <c r="AB20" s="169">
        <f t="shared" si="16"/>
        <v>0</v>
      </c>
      <c r="AC20" s="169">
        <f t="shared" si="16"/>
        <v>0</v>
      </c>
    </row>
    <row r="21" spans="1:29" s="179" customFormat="1">
      <c r="A21" s="179" t="s">
        <v>85</v>
      </c>
      <c r="B21" s="179">
        <v>5270</v>
      </c>
      <c r="C21" s="179">
        <v>1729</v>
      </c>
      <c r="D21" s="179">
        <v>839</v>
      </c>
      <c r="E21" s="179">
        <v>33839</v>
      </c>
      <c r="F21" s="179">
        <v>181</v>
      </c>
      <c r="G21" s="179">
        <v>8230</v>
      </c>
      <c r="H21" s="179">
        <v>2969</v>
      </c>
      <c r="I21" s="179">
        <v>1659</v>
      </c>
      <c r="J21" s="179">
        <v>1004</v>
      </c>
      <c r="K21" s="179">
        <v>0</v>
      </c>
      <c r="L21" s="179">
        <v>7219</v>
      </c>
      <c r="M21" s="179">
        <v>3963</v>
      </c>
      <c r="N21" s="179">
        <v>3719</v>
      </c>
      <c r="O21" s="179">
        <v>4832</v>
      </c>
      <c r="P21" s="179">
        <v>0</v>
      </c>
      <c r="Q21" s="179">
        <v>0</v>
      </c>
      <c r="R21" s="198">
        <f t="shared" ref="R21:W21" si="17">+Q21*1.05</f>
        <v>0</v>
      </c>
      <c r="S21" s="179">
        <f t="shared" si="17"/>
        <v>0</v>
      </c>
      <c r="T21" s="179">
        <f t="shared" si="17"/>
        <v>0</v>
      </c>
      <c r="U21" s="179">
        <f t="shared" si="17"/>
        <v>0</v>
      </c>
      <c r="V21" s="169">
        <f t="shared" si="17"/>
        <v>0</v>
      </c>
      <c r="W21" s="169">
        <f t="shared" si="17"/>
        <v>0</v>
      </c>
      <c r="X21" s="169">
        <f t="shared" ref="X21" si="18">+W21*1.05</f>
        <v>0</v>
      </c>
      <c r="Y21" s="169">
        <f t="shared" ref="Y21" si="19">+X21*1.05</f>
        <v>0</v>
      </c>
      <c r="Z21" s="169">
        <f t="shared" ref="Z21" si="20">+Y21*1.05</f>
        <v>0</v>
      </c>
      <c r="AA21" s="169">
        <f t="shared" ref="AA21:AC21" si="21">+Z21*1.05</f>
        <v>0</v>
      </c>
      <c r="AB21" s="169">
        <f t="shared" si="21"/>
        <v>0</v>
      </c>
      <c r="AC21" s="169">
        <f t="shared" si="21"/>
        <v>0</v>
      </c>
    </row>
    <row r="22" spans="1:29" s="179" customFormat="1">
      <c r="A22" s="179" t="s">
        <v>73</v>
      </c>
      <c r="B22" s="200">
        <v>0</v>
      </c>
      <c r="C22" s="200">
        <v>0</v>
      </c>
      <c r="D22" s="200">
        <v>0</v>
      </c>
      <c r="E22" s="200">
        <f>D22*1.06</f>
        <v>0</v>
      </c>
      <c r="F22" s="200">
        <v>6116</v>
      </c>
      <c r="G22" s="200">
        <v>9826</v>
      </c>
      <c r="H22" s="200">
        <v>9610</v>
      </c>
      <c r="I22" s="200">
        <v>7414</v>
      </c>
      <c r="J22" s="200">
        <v>7778</v>
      </c>
      <c r="K22" s="200">
        <v>10923</v>
      </c>
      <c r="L22" s="200">
        <v>13596</v>
      </c>
      <c r="M22" s="200">
        <v>9098</v>
      </c>
      <c r="N22" s="200">
        <v>12560</v>
      </c>
      <c r="O22" s="200">
        <v>13334</v>
      </c>
      <c r="P22" s="200">
        <v>0</v>
      </c>
      <c r="Q22" s="200">
        <v>0</v>
      </c>
      <c r="R22" s="226">
        <f>Q22</f>
        <v>0</v>
      </c>
      <c r="S22" s="200">
        <f t="shared" ref="S22:W22" si="22">R22</f>
        <v>0</v>
      </c>
      <c r="T22" s="200">
        <f t="shared" si="22"/>
        <v>0</v>
      </c>
      <c r="U22" s="200">
        <f t="shared" si="22"/>
        <v>0</v>
      </c>
      <c r="V22" s="174">
        <f t="shared" si="22"/>
        <v>0</v>
      </c>
      <c r="W22" s="174">
        <f t="shared" si="22"/>
        <v>0</v>
      </c>
      <c r="X22" s="174">
        <f t="shared" ref="X22" si="23">W22</f>
        <v>0</v>
      </c>
      <c r="Y22" s="174">
        <f t="shared" ref="Y22" si="24">X22</f>
        <v>0</v>
      </c>
      <c r="Z22" s="174">
        <f t="shared" ref="Z22" si="25">Y22</f>
        <v>0</v>
      </c>
      <c r="AA22" s="174">
        <f t="shared" ref="AA22:AC22" si="26">Z22</f>
        <v>0</v>
      </c>
      <c r="AB22" s="174">
        <f t="shared" si="26"/>
        <v>0</v>
      </c>
      <c r="AC22" s="174">
        <f t="shared" si="26"/>
        <v>0</v>
      </c>
    </row>
    <row r="23" spans="1:29">
      <c r="B23" s="125"/>
      <c r="C23" s="125"/>
      <c r="D23" s="125"/>
      <c r="E23" s="125"/>
      <c r="F23" s="125"/>
      <c r="G23" s="11"/>
      <c r="H23" s="11"/>
      <c r="I23" s="11"/>
      <c r="J23" s="11"/>
      <c r="K23" s="11"/>
      <c r="L23" s="11"/>
      <c r="M23" s="11"/>
      <c r="N23" s="11"/>
      <c r="O23" s="11"/>
      <c r="P23" s="125"/>
      <c r="Q23" s="125"/>
      <c r="R23" s="125"/>
      <c r="S23" s="125"/>
      <c r="T23" s="125"/>
      <c r="U23" s="125"/>
      <c r="V23" s="169"/>
      <c r="W23" s="169"/>
      <c r="X23" s="169"/>
      <c r="Y23" s="169"/>
      <c r="Z23" s="169"/>
      <c r="AA23" s="169"/>
      <c r="AB23" s="169"/>
      <c r="AC23" s="169"/>
    </row>
    <row r="24" spans="1:29" ht="13" thickBot="1">
      <c r="A24" s="9" t="s">
        <v>22</v>
      </c>
      <c r="B24" s="127">
        <f t="shared" ref="B24:U24" si="27">SUM(B17:B23)</f>
        <v>7368929</v>
      </c>
      <c r="C24" s="127">
        <f t="shared" si="27"/>
        <v>7767972</v>
      </c>
      <c r="D24" s="127">
        <f t="shared" si="27"/>
        <v>8194584</v>
      </c>
      <c r="E24" s="127">
        <f t="shared" si="27"/>
        <v>8344892</v>
      </c>
      <c r="F24" s="127">
        <f t="shared" si="27"/>
        <v>8111843</v>
      </c>
      <c r="G24" s="127">
        <f t="shared" si="27"/>
        <v>8550871</v>
      </c>
      <c r="H24" s="127">
        <f t="shared" si="27"/>
        <v>8154557</v>
      </c>
      <c r="I24" s="127">
        <f t="shared" si="27"/>
        <v>8612696</v>
      </c>
      <c r="J24" s="127">
        <f t="shared" si="27"/>
        <v>8760608</v>
      </c>
      <c r="K24" s="127">
        <f t="shared" si="27"/>
        <v>9468155</v>
      </c>
      <c r="L24" s="127">
        <f t="shared" si="27"/>
        <v>9506082</v>
      </c>
      <c r="M24" s="127">
        <f t="shared" si="27"/>
        <v>9724564</v>
      </c>
      <c r="N24" s="127">
        <f t="shared" si="27"/>
        <v>10095824</v>
      </c>
      <c r="O24" s="127">
        <f t="shared" si="27"/>
        <v>8725949</v>
      </c>
      <c r="P24" s="127">
        <f t="shared" si="27"/>
        <v>0</v>
      </c>
      <c r="Q24" s="127">
        <f t="shared" si="27"/>
        <v>0</v>
      </c>
      <c r="R24" s="127">
        <f t="shared" si="27"/>
        <v>662527.48</v>
      </c>
      <c r="S24" s="127">
        <f t="shared" si="27"/>
        <v>825761</v>
      </c>
      <c r="T24" s="127">
        <f t="shared" si="27"/>
        <v>833120</v>
      </c>
      <c r="U24" s="127">
        <f t="shared" si="27"/>
        <v>652446</v>
      </c>
      <c r="V24" s="172">
        <f>SUM(V17:V23)</f>
        <v>678735</v>
      </c>
      <c r="W24" s="172">
        <f>SUM(W17:W23)</f>
        <v>565626</v>
      </c>
      <c r="X24" s="172">
        <f t="shared" ref="X24:AA24" si="28">SUM(X17:X23)</f>
        <v>620362</v>
      </c>
      <c r="Y24" s="172">
        <f t="shared" si="28"/>
        <v>630701</v>
      </c>
      <c r="Z24" s="172">
        <f t="shared" si="28"/>
        <v>639864.36400000006</v>
      </c>
      <c r="AA24" s="172">
        <f t="shared" si="28"/>
        <v>655988.86088000005</v>
      </c>
      <c r="AB24" s="172">
        <f t="shared" ref="AB24:AC24" si="29">SUM(AB17:AB23)</f>
        <v>672768.56865760009</v>
      </c>
      <c r="AC24" s="172">
        <f t="shared" si="29"/>
        <v>691095.35687527037</v>
      </c>
    </row>
    <row r="25" spans="1:29">
      <c r="B25" s="125"/>
      <c r="C25" s="125"/>
      <c r="D25" s="125"/>
      <c r="E25" s="125"/>
      <c r="F25" s="125"/>
      <c r="G25" s="11"/>
      <c r="H25" s="11"/>
      <c r="I25" s="11"/>
      <c r="J25" s="11"/>
      <c r="K25" s="11"/>
      <c r="L25" s="11"/>
      <c r="M25" s="11"/>
      <c r="N25" s="11"/>
      <c r="O25" s="11"/>
      <c r="P25" s="125"/>
      <c r="Q25" s="125"/>
      <c r="R25" s="125"/>
      <c r="S25" s="125"/>
      <c r="T25" s="125"/>
      <c r="U25" s="125"/>
      <c r="V25" s="125"/>
      <c r="W25" s="125"/>
    </row>
    <row r="26" spans="1:29">
      <c r="B26" s="125"/>
      <c r="C26" s="125"/>
      <c r="D26" s="125"/>
      <c r="E26" s="125"/>
      <c r="F26" s="125"/>
      <c r="G26" s="11"/>
      <c r="H26" s="11"/>
      <c r="I26" s="11"/>
      <c r="J26" s="11"/>
      <c r="K26" s="11"/>
      <c r="L26" s="11"/>
      <c r="M26" s="11"/>
      <c r="N26" s="11"/>
      <c r="O26" s="11"/>
      <c r="P26" s="125"/>
      <c r="Q26" s="125"/>
      <c r="R26" s="125"/>
      <c r="S26" s="125"/>
      <c r="T26" s="125"/>
      <c r="U26" s="125"/>
      <c r="V26" s="125"/>
      <c r="W26" s="125"/>
    </row>
    <row r="27" spans="1:29" ht="52">
      <c r="A27" s="60" t="s">
        <v>46</v>
      </c>
      <c r="B27" s="128">
        <f t="shared" ref="B27:S27" si="30">+B12-B24</f>
        <v>-1329849</v>
      </c>
      <c r="C27" s="128">
        <f t="shared" si="30"/>
        <v>-135753</v>
      </c>
      <c r="D27" s="128">
        <f t="shared" si="30"/>
        <v>-342274</v>
      </c>
      <c r="E27" s="128">
        <f t="shared" si="30"/>
        <v>112987</v>
      </c>
      <c r="F27" s="128">
        <f t="shared" si="30"/>
        <v>167561</v>
      </c>
      <c r="G27" s="27">
        <f t="shared" si="30"/>
        <v>2287</v>
      </c>
      <c r="H27" s="27">
        <f t="shared" si="30"/>
        <v>812346</v>
      </c>
      <c r="I27" s="27">
        <f t="shared" si="30"/>
        <v>559584</v>
      </c>
      <c r="J27" s="27">
        <f t="shared" si="30"/>
        <v>1034115</v>
      </c>
      <c r="K27" s="27">
        <f t="shared" si="30"/>
        <v>738946</v>
      </c>
      <c r="L27" s="27">
        <f t="shared" si="30"/>
        <v>-140799</v>
      </c>
      <c r="M27" s="27">
        <f t="shared" si="30"/>
        <v>232023</v>
      </c>
      <c r="N27" s="27">
        <f t="shared" si="30"/>
        <v>393901</v>
      </c>
      <c r="O27" s="27">
        <f t="shared" si="30"/>
        <v>2412965</v>
      </c>
      <c r="P27" s="128">
        <f t="shared" si="30"/>
        <v>0</v>
      </c>
      <c r="Q27" s="128">
        <f t="shared" si="30"/>
        <v>0</v>
      </c>
      <c r="R27" s="128">
        <f t="shared" si="30"/>
        <v>98838.040000000037</v>
      </c>
      <c r="S27" s="128">
        <f t="shared" si="30"/>
        <v>-157623</v>
      </c>
      <c r="T27" s="128">
        <f t="shared" ref="T27:Z27" si="31">+T12-T24</f>
        <v>72160</v>
      </c>
      <c r="U27" s="128">
        <f t="shared" si="31"/>
        <v>405045</v>
      </c>
      <c r="V27" s="128">
        <f t="shared" si="31"/>
        <v>317301</v>
      </c>
      <c r="W27" s="128">
        <f t="shared" si="31"/>
        <v>204230</v>
      </c>
      <c r="X27" s="128">
        <f t="shared" si="31"/>
        <v>-29892</v>
      </c>
      <c r="Y27" s="128">
        <f t="shared" si="31"/>
        <v>-138678.37494000007</v>
      </c>
      <c r="Z27" s="128">
        <f t="shared" si="31"/>
        <v>-140689.85545241018</v>
      </c>
      <c r="AA27" s="128">
        <f t="shared" ref="AA27:AC27" si="32">+AA12-AA24</f>
        <v>-152045.18740508874</v>
      </c>
      <c r="AB27" s="128">
        <f t="shared" si="32"/>
        <v>-155220.45826788264</v>
      </c>
      <c r="AC27" s="128">
        <f t="shared" si="32"/>
        <v>-159567.17859790334</v>
      </c>
    </row>
    <row r="28" spans="1:29">
      <c r="B28" s="125"/>
      <c r="C28" s="125"/>
      <c r="D28" s="125"/>
      <c r="E28" s="125"/>
      <c r="F28" s="125"/>
      <c r="G28" s="11"/>
      <c r="H28" s="11"/>
      <c r="I28" s="11"/>
      <c r="J28" s="11"/>
      <c r="K28" s="11"/>
      <c r="L28" s="11"/>
      <c r="M28" s="11"/>
      <c r="N28" s="11"/>
      <c r="O28" s="11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</row>
    <row r="29" spans="1:29">
      <c r="B29" s="125"/>
      <c r="C29" s="125"/>
      <c r="D29" s="125"/>
      <c r="E29" s="125"/>
      <c r="F29" s="125"/>
      <c r="G29" s="11"/>
      <c r="H29" s="11"/>
      <c r="I29" s="11"/>
      <c r="J29" s="11"/>
      <c r="K29" s="11"/>
      <c r="L29" s="11"/>
      <c r="M29" s="11"/>
      <c r="N29" s="11"/>
      <c r="O29" s="11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</row>
    <row r="30" spans="1:29">
      <c r="A30" s="8" t="s">
        <v>47</v>
      </c>
      <c r="B30" s="125"/>
      <c r="C30" s="125"/>
      <c r="D30" s="125"/>
      <c r="E30" s="125"/>
      <c r="F30" s="125"/>
      <c r="G30" s="11"/>
      <c r="H30" s="11"/>
      <c r="I30" s="11"/>
      <c r="J30" s="11"/>
      <c r="K30" s="11"/>
      <c r="L30" s="11"/>
      <c r="M30" s="11"/>
      <c r="N30" s="11"/>
      <c r="O30" s="11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</row>
    <row r="31" spans="1:29">
      <c r="B31" s="125"/>
      <c r="C31" s="125"/>
      <c r="D31" s="125"/>
      <c r="E31" s="125"/>
      <c r="F31" s="125"/>
      <c r="G31" s="11"/>
      <c r="H31" s="11"/>
      <c r="I31" s="11"/>
      <c r="J31" s="11"/>
      <c r="K31" s="11"/>
      <c r="L31" s="11"/>
      <c r="M31" s="11"/>
      <c r="N31" s="11"/>
      <c r="O31" s="11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</row>
    <row r="32" spans="1:29">
      <c r="A32" s="9" t="s">
        <v>48</v>
      </c>
      <c r="B32" s="125">
        <v>5346974</v>
      </c>
      <c r="C32" s="125">
        <v>4017125</v>
      </c>
      <c r="D32" s="125">
        <f>+C36</f>
        <v>3881372</v>
      </c>
      <c r="E32" s="125">
        <f t="shared" ref="E32:AC32" si="33">+D36</f>
        <v>3539098</v>
      </c>
      <c r="F32" s="125">
        <f t="shared" si="33"/>
        <v>3652085</v>
      </c>
      <c r="G32" s="11">
        <f>+F36</f>
        <v>-628091</v>
      </c>
      <c r="H32" s="11">
        <v>-386639</v>
      </c>
      <c r="I32" s="11">
        <f t="shared" si="33"/>
        <v>425707</v>
      </c>
      <c r="J32" s="11">
        <f t="shared" si="33"/>
        <v>985291</v>
      </c>
      <c r="K32" s="11">
        <f t="shared" si="33"/>
        <v>2019406</v>
      </c>
      <c r="L32" s="11">
        <f t="shared" si="33"/>
        <v>2758352</v>
      </c>
      <c r="M32" s="11">
        <f t="shared" si="33"/>
        <v>2617553</v>
      </c>
      <c r="N32" s="11">
        <f t="shared" si="33"/>
        <v>2849576</v>
      </c>
      <c r="O32" s="11">
        <f t="shared" si="33"/>
        <v>3243477</v>
      </c>
      <c r="P32" s="125"/>
      <c r="Q32" s="125">
        <f>+P36</f>
        <v>0</v>
      </c>
      <c r="R32" s="125">
        <v>-1690</v>
      </c>
      <c r="S32" s="125">
        <f t="shared" si="33"/>
        <v>97148.040000000037</v>
      </c>
      <c r="T32" s="125">
        <f t="shared" si="33"/>
        <v>-60474.959999999963</v>
      </c>
      <c r="U32" s="125">
        <f>+T36+1</f>
        <v>11686.040000000037</v>
      </c>
      <c r="V32" s="125">
        <f t="shared" si="33"/>
        <v>416731.04000000004</v>
      </c>
      <c r="W32" s="125">
        <f t="shared" si="33"/>
        <v>734032.04</v>
      </c>
      <c r="X32" s="125">
        <f t="shared" si="33"/>
        <v>938262.04</v>
      </c>
      <c r="Y32" s="125">
        <f t="shared" si="33"/>
        <v>908370.04</v>
      </c>
      <c r="Z32" s="125">
        <f t="shared" si="33"/>
        <v>769691.66506000003</v>
      </c>
      <c r="AA32" s="125">
        <f t="shared" si="33"/>
        <v>629001.80960758985</v>
      </c>
      <c r="AB32" s="125">
        <f t="shared" si="33"/>
        <v>476956.62220250111</v>
      </c>
      <c r="AC32" s="125">
        <f t="shared" si="33"/>
        <v>321736.16393461847</v>
      </c>
    </row>
    <row r="33" spans="1:29" hidden="1">
      <c r="B33" s="125"/>
      <c r="C33" s="125"/>
      <c r="D33" s="125"/>
      <c r="E33" s="125"/>
      <c r="F33" s="125"/>
      <c r="G33" s="11"/>
      <c r="H33" s="11"/>
      <c r="I33" s="11"/>
      <c r="J33" s="11"/>
      <c r="K33" s="11"/>
      <c r="L33" s="11"/>
      <c r="M33" s="11"/>
      <c r="N33" s="11"/>
      <c r="O33" s="11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</row>
    <row r="34" spans="1:29" hidden="1">
      <c r="A34" s="9" t="s">
        <v>109</v>
      </c>
      <c r="B34" s="125"/>
      <c r="C34" s="125"/>
      <c r="D34" s="125"/>
      <c r="E34" s="125"/>
      <c r="F34" s="125">
        <v>-4447737</v>
      </c>
      <c r="G34" s="11">
        <v>239165</v>
      </c>
      <c r="H34" s="11"/>
      <c r="I34" s="11"/>
      <c r="J34" s="11"/>
      <c r="K34" s="11"/>
      <c r="L34" s="11"/>
      <c r="M34" s="11"/>
      <c r="N34" s="11"/>
      <c r="O34" s="11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</row>
    <row r="35" spans="1:29">
      <c r="B35" s="125"/>
      <c r="C35" s="125"/>
      <c r="D35" s="125"/>
      <c r="E35" s="125"/>
      <c r="F35" s="125"/>
      <c r="G35" s="11"/>
      <c r="H35" s="11"/>
      <c r="I35" s="11"/>
      <c r="J35" s="11"/>
      <c r="K35" s="11"/>
      <c r="L35" s="11"/>
      <c r="M35" s="11"/>
      <c r="N35" s="11"/>
      <c r="O35" s="11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</row>
    <row r="36" spans="1:29" ht="13" thickBot="1">
      <c r="A36" s="9" t="s">
        <v>41</v>
      </c>
      <c r="B36" s="129">
        <f>+B27+B32</f>
        <v>4017125</v>
      </c>
      <c r="C36" s="129">
        <f>+C27+C32</f>
        <v>3881372</v>
      </c>
      <c r="D36" s="129">
        <f>+D27+D32</f>
        <v>3539098</v>
      </c>
      <c r="E36" s="129">
        <f t="shared" ref="E36:S36" si="34">+E27+E32</f>
        <v>3652085</v>
      </c>
      <c r="F36" s="129">
        <f>+F27+F32+F34</f>
        <v>-628091</v>
      </c>
      <c r="G36" s="31">
        <f>+G27+G32+G34</f>
        <v>-386639</v>
      </c>
      <c r="H36" s="31">
        <f>+H27+H32+H34</f>
        <v>425707</v>
      </c>
      <c r="I36" s="31">
        <f t="shared" si="34"/>
        <v>985291</v>
      </c>
      <c r="J36" s="31">
        <f t="shared" si="34"/>
        <v>2019406</v>
      </c>
      <c r="K36" s="31">
        <f t="shared" si="34"/>
        <v>2758352</v>
      </c>
      <c r="L36" s="31">
        <f t="shared" si="34"/>
        <v>2617553</v>
      </c>
      <c r="M36" s="31">
        <f t="shared" si="34"/>
        <v>2849576</v>
      </c>
      <c r="N36" s="31">
        <f t="shared" si="34"/>
        <v>3243477</v>
      </c>
      <c r="O36" s="31">
        <f t="shared" si="34"/>
        <v>5656442</v>
      </c>
      <c r="P36" s="129">
        <f t="shared" si="34"/>
        <v>0</v>
      </c>
      <c r="Q36" s="129">
        <f t="shared" si="34"/>
        <v>0</v>
      </c>
      <c r="R36" s="129">
        <f t="shared" si="34"/>
        <v>97148.040000000037</v>
      </c>
      <c r="S36" s="129">
        <f t="shared" si="34"/>
        <v>-60474.959999999963</v>
      </c>
      <c r="T36" s="129">
        <f t="shared" ref="T36:Z36" si="35">+T27+T32</f>
        <v>11685.040000000037</v>
      </c>
      <c r="U36" s="129">
        <f t="shared" si="35"/>
        <v>416731.04000000004</v>
      </c>
      <c r="V36" s="129">
        <f t="shared" si="35"/>
        <v>734032.04</v>
      </c>
      <c r="W36" s="129">
        <f t="shared" si="35"/>
        <v>938262.04</v>
      </c>
      <c r="X36" s="129">
        <f t="shared" si="35"/>
        <v>908370.04</v>
      </c>
      <c r="Y36" s="129">
        <f t="shared" si="35"/>
        <v>769691.66506000003</v>
      </c>
      <c r="Z36" s="129">
        <f t="shared" si="35"/>
        <v>629001.80960758985</v>
      </c>
      <c r="AA36" s="129">
        <f t="shared" ref="AA36:AB36" si="36">+AA27+AA32</f>
        <v>476956.62220250111</v>
      </c>
      <c r="AB36" s="129">
        <f t="shared" si="36"/>
        <v>321736.16393461847</v>
      </c>
      <c r="AC36" s="129">
        <f t="shared" ref="AC36" si="37">+AC27+AC32</f>
        <v>162168.98533671512</v>
      </c>
    </row>
    <row r="37" spans="1:29" ht="13" thickTop="1">
      <c r="B37" s="125"/>
      <c r="C37" s="125"/>
      <c r="D37" s="125"/>
      <c r="E37" s="125"/>
      <c r="F37" s="125"/>
      <c r="G37" s="11"/>
      <c r="H37" s="11"/>
      <c r="I37" s="11"/>
      <c r="J37" s="11"/>
      <c r="K37" s="11"/>
      <c r="L37" s="11"/>
      <c r="M37" s="11"/>
      <c r="N37" s="11"/>
      <c r="O37" s="11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</row>
    <row r="38" spans="1:29" ht="36">
      <c r="A38" s="67" t="s">
        <v>81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130">
        <v>0</v>
      </c>
      <c r="Q38" s="130">
        <v>0</v>
      </c>
      <c r="R38" s="130">
        <f t="shared" ref="R38:W38" si="38">+R36/R24</f>
        <v>0.146632468739259</v>
      </c>
      <c r="S38" s="130">
        <f t="shared" si="38"/>
        <v>-7.3235427684281484E-2</v>
      </c>
      <c r="T38" s="130">
        <f t="shared" si="38"/>
        <v>1.4025638563472293E-2</v>
      </c>
      <c r="U38" s="130">
        <f t="shared" si="38"/>
        <v>0.63872112021531291</v>
      </c>
      <c r="V38" s="130">
        <f t="shared" si="38"/>
        <v>1.0814707360015323</v>
      </c>
      <c r="W38" s="130">
        <f t="shared" si="38"/>
        <v>1.6588028838844042</v>
      </c>
      <c r="X38" s="130">
        <f t="shared" ref="X38:AC38" si="39">+X36/X24</f>
        <v>1.4642580299889421</v>
      </c>
      <c r="Y38" s="130">
        <f t="shared" si="39"/>
        <v>1.2203748924767839</v>
      </c>
      <c r="Z38" s="130">
        <f t="shared" si="39"/>
        <v>0.98302366094510274</v>
      </c>
      <c r="AA38" s="130">
        <f t="shared" si="39"/>
        <v>0.72708036774080331</v>
      </c>
      <c r="AB38" s="130">
        <f t="shared" si="39"/>
        <v>0.47822710352921288</v>
      </c>
      <c r="AC38" s="130">
        <f t="shared" si="39"/>
        <v>0.23465500632206324</v>
      </c>
    </row>
    <row r="39" spans="1:29" hidden="1">
      <c r="A39" s="21"/>
      <c r="E39" s="125"/>
      <c r="F39" s="12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9" ht="31" hidden="1" thickBot="1">
      <c r="A40" s="69" t="s">
        <v>94</v>
      </c>
      <c r="B40" s="22">
        <f>+B24/12</f>
        <v>614077.41666666663</v>
      </c>
      <c r="C40" s="22">
        <f>+C24/12</f>
        <v>647331</v>
      </c>
      <c r="D40" s="70">
        <f>+D36/(+D24/365)</f>
        <v>157.63713813904403</v>
      </c>
      <c r="E40" s="70">
        <f t="shared" ref="E40:S40" si="40">+E36/(+E24/365)</f>
        <v>159.73975756666474</v>
      </c>
      <c r="F40" s="70">
        <f t="shared" si="40"/>
        <v>-28.261544879505188</v>
      </c>
      <c r="G40" s="70">
        <f t="shared" si="40"/>
        <v>-16.503960239839895</v>
      </c>
      <c r="H40" s="70">
        <f t="shared" si="40"/>
        <v>19.054751226829367</v>
      </c>
      <c r="I40" s="70">
        <f t="shared" si="40"/>
        <v>41.755939719688236</v>
      </c>
      <c r="J40" s="70">
        <f t="shared" si="40"/>
        <v>84.136077085060762</v>
      </c>
      <c r="K40" s="70">
        <f t="shared" si="40"/>
        <v>106.33523426686614</v>
      </c>
      <c r="L40" s="70">
        <f t="shared" si="40"/>
        <v>100.50479734973884</v>
      </c>
      <c r="M40" s="70">
        <f t="shared" si="40"/>
        <v>106.95546247626115</v>
      </c>
      <c r="N40" s="70">
        <f t="shared" si="40"/>
        <v>117.26324716041009</v>
      </c>
      <c r="O40" s="70">
        <f t="shared" si="40"/>
        <v>236.60478992027112</v>
      </c>
      <c r="P40" s="70" t="e">
        <f t="shared" si="40"/>
        <v>#DIV/0!</v>
      </c>
      <c r="Q40" s="70" t="e">
        <f t="shared" si="40"/>
        <v>#DIV/0!</v>
      </c>
      <c r="R40" s="70">
        <f t="shared" si="40"/>
        <v>53.520851089829534</v>
      </c>
      <c r="S40" s="70">
        <f t="shared" si="40"/>
        <v>-26.730931104762746</v>
      </c>
      <c r="T40" s="70">
        <f>+T36/(+T24/365)</f>
        <v>5.1193580756673871</v>
      </c>
      <c r="U40" s="70">
        <f>+U36/(+U24/365)</f>
        <v>233.13320887858922</v>
      </c>
    </row>
    <row r="41" spans="1:29" hidden="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9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9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9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9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9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9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9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7:21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7:21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7:2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7:21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7:21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7:21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7:21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7:21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7:21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7:21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7:21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7:21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7:2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7:21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7:21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7:21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7:21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7:21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7:21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7:21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127" spans="16:22">
      <c r="P127" s="9" t="s">
        <v>99</v>
      </c>
      <c r="Q127" s="131" t="s">
        <v>100</v>
      </c>
      <c r="R127" s="131" t="s">
        <v>101</v>
      </c>
      <c r="S127" s="131" t="s">
        <v>104</v>
      </c>
      <c r="T127" s="131" t="s">
        <v>105</v>
      </c>
      <c r="U127" s="131" t="s">
        <v>106</v>
      </c>
      <c r="V127" s="131" t="s">
        <v>14</v>
      </c>
    </row>
  </sheetData>
  <phoneticPr fontId="16" type="noConversion"/>
  <pageMargins left="0.69" right="0.53" top="1.25" bottom="0.5" header="0.5" footer="0.25"/>
  <pageSetup scale="98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5"/>
  <sheetViews>
    <sheetView view="pageLayout" topLeftCell="A2" zoomScale="150" zoomScaleNormal="150" zoomScalePageLayoutView="150" workbookViewId="0">
      <selection activeCell="P3" sqref="P3"/>
    </sheetView>
  </sheetViews>
  <sheetFormatPr baseColWidth="10" defaultColWidth="11.5" defaultRowHeight="12" x14ac:dyDescent="0"/>
  <cols>
    <col min="1" max="1" width="36.6640625" customWidth="1"/>
    <col min="2" max="3" width="13.6640625" hidden="1" customWidth="1"/>
    <col min="4" max="4" width="11.6640625" hidden="1" customWidth="1"/>
    <col min="5" max="5" width="11.5" hidden="1" customWidth="1"/>
    <col min="6" max="6" width="14.1640625" hidden="1" customWidth="1"/>
    <col min="7" max="7" width="12.5" hidden="1" customWidth="1"/>
    <col min="8" max="8" width="10.83203125" customWidth="1"/>
    <col min="9" max="9" width="10.83203125" bestFit="1" customWidth="1"/>
    <col min="10" max="10" width="10.6640625" customWidth="1"/>
    <col min="11" max="12" width="10.1640625" customWidth="1"/>
  </cols>
  <sheetData>
    <row r="1" spans="1:16" ht="18">
      <c r="A1" s="105" t="s">
        <v>146</v>
      </c>
    </row>
    <row r="2" spans="1:16">
      <c r="B2" s="5" t="s">
        <v>2</v>
      </c>
      <c r="C2" s="5" t="s">
        <v>67</v>
      </c>
      <c r="D2" s="3" t="s">
        <v>33</v>
      </c>
      <c r="E2" s="3" t="s">
        <v>126</v>
      </c>
      <c r="F2" s="3" t="s">
        <v>111</v>
      </c>
      <c r="G2" s="153" t="s">
        <v>129</v>
      </c>
      <c r="H2" s="153" t="s">
        <v>130</v>
      </c>
      <c r="I2" s="2" t="s">
        <v>131</v>
      </c>
      <c r="J2" s="2" t="s">
        <v>132</v>
      </c>
      <c r="K2" s="2" t="s">
        <v>135</v>
      </c>
      <c r="L2" s="2" t="s">
        <v>136</v>
      </c>
      <c r="M2" s="2" t="s">
        <v>150</v>
      </c>
      <c r="N2" s="2" t="s">
        <v>162</v>
      </c>
      <c r="O2" s="2" t="s">
        <v>168</v>
      </c>
      <c r="P2" s="2" t="s">
        <v>172</v>
      </c>
    </row>
    <row r="3" spans="1:16">
      <c r="B3" s="6" t="s">
        <v>90</v>
      </c>
      <c r="C3" s="6" t="s">
        <v>71</v>
      </c>
      <c r="D3" s="153" t="s">
        <v>2</v>
      </c>
      <c r="E3" s="153" t="s">
        <v>127</v>
      </c>
      <c r="F3" s="153" t="s">
        <v>2</v>
      </c>
      <c r="G3" s="153" t="s">
        <v>2</v>
      </c>
      <c r="H3" s="153" t="s">
        <v>2</v>
      </c>
      <c r="I3" s="153" t="s">
        <v>2</v>
      </c>
      <c r="J3" s="154" t="s">
        <v>127</v>
      </c>
      <c r="K3" s="153" t="s">
        <v>128</v>
      </c>
      <c r="L3" s="153" t="s">
        <v>128</v>
      </c>
      <c r="M3" s="153" t="s">
        <v>128</v>
      </c>
      <c r="N3" s="153" t="s">
        <v>128</v>
      </c>
      <c r="O3" s="153" t="s">
        <v>128</v>
      </c>
    </row>
    <row r="4" spans="1:16">
      <c r="A4" s="59" t="str">
        <f>+'Operating Funds Total'!A4</f>
        <v>Revenue: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6">
      <c r="A5" s="88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</row>
    <row r="6" spans="1:16">
      <c r="A6" s="88" t="s">
        <v>54</v>
      </c>
      <c r="B6" s="101">
        <f>+'Debt Service'!P10</f>
        <v>1373697</v>
      </c>
      <c r="C6" s="101">
        <f>+'Debt Service'!Q10</f>
        <v>1357293</v>
      </c>
      <c r="D6" s="101">
        <f>+'Debt Service'!R10</f>
        <v>2243671.02</v>
      </c>
      <c r="E6" s="101">
        <f>+'Debt Service'!S10</f>
        <v>1284468</v>
      </c>
      <c r="F6" s="101">
        <f>+'Debt Service'!T10</f>
        <v>1399979</v>
      </c>
      <c r="G6" s="101">
        <f>+'Debt Service'!U10</f>
        <v>1375023</v>
      </c>
      <c r="H6" s="101">
        <f>+'Debt Service'!V10</f>
        <v>1398964</v>
      </c>
      <c r="I6" s="101">
        <f>+'Debt Service'!W10</f>
        <v>1408567</v>
      </c>
      <c r="J6" s="101">
        <f>+'Debt Service'!X10</f>
        <v>1407556</v>
      </c>
      <c r="K6" s="101">
        <f>+'Debt Service'!Y10</f>
        <v>1415088.7799999998</v>
      </c>
      <c r="L6" s="101">
        <f>+'Debt Service'!Z10</f>
        <v>1422256.7238999996</v>
      </c>
      <c r="M6" s="101">
        <f>+'Debt Service'!AA10</f>
        <v>1429360.0075194994</v>
      </c>
      <c r="N6" s="101">
        <f>+'Debt Service'!AB10</f>
        <v>1436498.8075570967</v>
      </c>
      <c r="O6" s="101">
        <f>+'Debt Service'!AC10</f>
        <v>1443673.301594882</v>
      </c>
    </row>
    <row r="7" spans="1:16">
      <c r="A7" s="88" t="s">
        <v>4</v>
      </c>
      <c r="B7" s="101"/>
      <c r="C7" s="101"/>
      <c r="D7" s="101">
        <f>+'Capital Projects'!R11</f>
        <v>0</v>
      </c>
      <c r="E7" s="101">
        <f>+'Capital Projects'!S11</f>
        <v>0</v>
      </c>
      <c r="F7" s="101">
        <f>+'Capital Projects'!T11</f>
        <v>0</v>
      </c>
      <c r="G7" s="101">
        <f>+'Capital Projects'!U11</f>
        <v>0</v>
      </c>
      <c r="H7" s="101">
        <f>+'Capital Projects'!V11</f>
        <v>0</v>
      </c>
      <c r="I7" s="101">
        <f>+'Capital Projects'!W11</f>
        <v>0</v>
      </c>
      <c r="J7" s="101">
        <f>+'Capital Projects'!X11</f>
        <v>0</v>
      </c>
      <c r="K7" s="101">
        <f>+'Capital Projects'!Y11</f>
        <v>0</v>
      </c>
      <c r="L7" s="101">
        <f>+'Capital Projects'!Z11</f>
        <v>0</v>
      </c>
      <c r="M7" s="101">
        <f>+'Capital Projects'!AA11</f>
        <v>0</v>
      </c>
      <c r="N7" s="101">
        <f>+'Capital Projects'!AB11</f>
        <v>0</v>
      </c>
      <c r="O7" s="101">
        <f>+'Capital Projects'!AC11</f>
        <v>0</v>
      </c>
    </row>
    <row r="8" spans="1:16">
      <c r="A8" s="88" t="s">
        <v>7</v>
      </c>
      <c r="B8" s="101">
        <f>+Fire_Prev!P11</f>
        <v>610464</v>
      </c>
      <c r="C8" s="101">
        <f>+Fire_Prev!Q11</f>
        <v>921525</v>
      </c>
      <c r="D8" s="101">
        <f>+Fire_Prev!R11</f>
        <v>799456</v>
      </c>
      <c r="E8" s="101">
        <f>+Fire_Prev!S11</f>
        <v>749739</v>
      </c>
      <c r="F8" s="101">
        <f>+Fire_Prev!T11</f>
        <v>358425</v>
      </c>
      <c r="G8" s="101">
        <f>+Fire_Prev!U11</f>
        <v>-5350</v>
      </c>
      <c r="H8" s="101">
        <f>+Fire_Prev!V11</f>
        <v>-5501</v>
      </c>
      <c r="I8" s="101">
        <f>+Fire_Prev!W11</f>
        <v>3757</v>
      </c>
      <c r="J8" s="101">
        <f>+Fire_Prev!X11</f>
        <v>50</v>
      </c>
      <c r="K8" s="101">
        <f>+Fire_Prev!Y11</f>
        <v>0</v>
      </c>
      <c r="L8" s="101">
        <f>+Fire_Prev!Z11</f>
        <v>0</v>
      </c>
      <c r="M8" s="101">
        <f>+Fire_Prev!AA11</f>
        <v>0</v>
      </c>
      <c r="N8" s="101">
        <f>+Fire_Prev!AB11</f>
        <v>0</v>
      </c>
      <c r="O8" s="101">
        <f>+Fire_Prev!AC11</f>
        <v>0</v>
      </c>
    </row>
    <row r="9" spans="1:16" ht="13" thickBot="1">
      <c r="A9" s="88" t="s">
        <v>8</v>
      </c>
      <c r="B9" s="102">
        <f t="shared" ref="B9:H9" si="0">SUM(B6:B8)</f>
        <v>1984161</v>
      </c>
      <c r="C9" s="102">
        <f t="shared" si="0"/>
        <v>2278818</v>
      </c>
      <c r="D9" s="102">
        <f t="shared" si="0"/>
        <v>3043127.02</v>
      </c>
      <c r="E9" s="102">
        <f t="shared" si="0"/>
        <v>2034207</v>
      </c>
      <c r="F9" s="102">
        <f t="shared" si="0"/>
        <v>1758404</v>
      </c>
      <c r="G9" s="102">
        <f t="shared" si="0"/>
        <v>1369673</v>
      </c>
      <c r="H9" s="102">
        <f t="shared" si="0"/>
        <v>1393463</v>
      </c>
      <c r="I9" s="102">
        <f t="shared" ref="I9:O9" si="1">SUM(I6:I8)</f>
        <v>1412324</v>
      </c>
      <c r="J9" s="102">
        <f t="shared" si="1"/>
        <v>1407606</v>
      </c>
      <c r="K9" s="102">
        <f t="shared" si="1"/>
        <v>1415088.7799999998</v>
      </c>
      <c r="L9" s="102">
        <f t="shared" si="1"/>
        <v>1422256.7238999996</v>
      </c>
      <c r="M9" s="102">
        <f t="shared" si="1"/>
        <v>1429360.0075194994</v>
      </c>
      <c r="N9" s="102">
        <f t="shared" si="1"/>
        <v>1436498.8075570967</v>
      </c>
      <c r="O9" s="102">
        <f t="shared" si="1"/>
        <v>1443673.301594882</v>
      </c>
    </row>
    <row r="10" spans="1:16">
      <c r="A10" s="85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</row>
    <row r="11" spans="1:16">
      <c r="A11" s="85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</row>
    <row r="12" spans="1:16">
      <c r="A12" s="86" t="str">
        <f>+'Operating Funds Total'!A15</f>
        <v>Expenditures: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1:16">
      <c r="A13" s="86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1:16">
      <c r="A14" s="88" t="s">
        <v>54</v>
      </c>
      <c r="B14" s="101">
        <f>+'Debt Service'!P24</f>
        <v>1268705</v>
      </c>
      <c r="C14" s="101">
        <f>+'Debt Service'!Q24</f>
        <v>1445781</v>
      </c>
      <c r="D14" s="101">
        <f>+'Debt Service'!R24</f>
        <v>2068858.76</v>
      </c>
      <c r="E14" s="101">
        <f>+'Debt Service'!S24</f>
        <v>2049550</v>
      </c>
      <c r="F14" s="101">
        <f>+'Debt Service'!T24</f>
        <v>2230490</v>
      </c>
      <c r="G14" s="101">
        <f>+'Debt Service'!U24</f>
        <v>2370499</v>
      </c>
      <c r="H14" s="101">
        <f>+'Debt Service'!V24</f>
        <v>2403490</v>
      </c>
      <c r="I14" s="101">
        <f>+'Debt Service'!W24</f>
        <v>4422634</v>
      </c>
      <c r="J14" s="101">
        <f>+'Debt Service'!X24</f>
        <v>2352515</v>
      </c>
      <c r="K14" s="101">
        <f>+'Debt Service'!Y24</f>
        <v>2363677</v>
      </c>
      <c r="L14" s="101">
        <f>+'Debt Service'!Z24</f>
        <v>2396282</v>
      </c>
      <c r="M14" s="101">
        <f>+'Debt Service'!AA24</f>
        <v>2204402</v>
      </c>
      <c r="N14" s="101">
        <f>+'Debt Service'!AB24</f>
        <v>2259329</v>
      </c>
      <c r="O14" s="101">
        <f>+'Debt Service'!AC24</f>
        <v>2281026</v>
      </c>
    </row>
    <row r="15" spans="1:16">
      <c r="A15" s="88" t="s">
        <v>4</v>
      </c>
      <c r="B15" s="101"/>
      <c r="C15" s="101"/>
      <c r="D15" s="101">
        <f>+'Capital Projects'!R23</f>
        <v>0</v>
      </c>
      <c r="E15" s="101">
        <f>+'Capital Projects'!S23</f>
        <v>0</v>
      </c>
      <c r="F15" s="101">
        <f>+'Capital Projects'!T23</f>
        <v>0</v>
      </c>
      <c r="G15" s="101">
        <f>+'Capital Projects'!U23</f>
        <v>-4136703</v>
      </c>
      <c r="H15" s="101">
        <f>+'Capital Projects'!V23</f>
        <v>-1417317</v>
      </c>
      <c r="I15" s="101">
        <f>+'Capital Projects'!W23</f>
        <v>-2765422</v>
      </c>
      <c r="J15" s="101">
        <f>+'Capital Projects'!U23</f>
        <v>-4136703</v>
      </c>
      <c r="K15" s="101">
        <f>+'Capital Projects'!Y23</f>
        <v>0</v>
      </c>
      <c r="L15" s="101">
        <f>+'Capital Projects'!Z23</f>
        <v>0</v>
      </c>
      <c r="M15" s="101">
        <f>+'Capital Projects'!AA23</f>
        <v>0</v>
      </c>
      <c r="N15" s="101">
        <f>+'Capital Projects'!AB23</f>
        <v>0</v>
      </c>
      <c r="O15" s="101">
        <f>+'Capital Projects'!AC23</f>
        <v>0</v>
      </c>
    </row>
    <row r="16" spans="1:16">
      <c r="A16" s="88" t="s">
        <v>7</v>
      </c>
      <c r="B16" s="101">
        <f>+Fire_Prev!P23</f>
        <v>1579837</v>
      </c>
      <c r="C16" s="101">
        <f>+Fire_Prev!Q23</f>
        <v>3703206</v>
      </c>
      <c r="D16" s="101">
        <f>+Fire_Prev!R23</f>
        <v>3042764</v>
      </c>
      <c r="E16" s="101">
        <f>+Fire_Prev!S23</f>
        <v>2918138</v>
      </c>
      <c r="F16" s="101">
        <f>+Fire_Prev!T23</f>
        <v>1515645</v>
      </c>
      <c r="G16" s="101">
        <f>+Fire_Prev!U23</f>
        <v>788127</v>
      </c>
      <c r="H16" s="101">
        <f>+Fire_Prev!V23</f>
        <v>0</v>
      </c>
      <c r="I16" s="101">
        <f>+Fire_Prev!W23</f>
        <v>164768</v>
      </c>
      <c r="J16" s="101">
        <f>+Fire_Prev!X23</f>
        <v>19000</v>
      </c>
      <c r="K16" s="101">
        <f>+Fire_Prev!Y23</f>
        <v>0</v>
      </c>
      <c r="L16" s="101">
        <f>+Fire_Prev!Z23</f>
        <v>0</v>
      </c>
      <c r="M16" s="101">
        <f>+Fire_Prev!AA23</f>
        <v>0</v>
      </c>
      <c r="N16" s="101">
        <f>+Fire_Prev!AB23</f>
        <v>0</v>
      </c>
      <c r="O16" s="101">
        <f>+Fire_Prev!AC23</f>
        <v>0</v>
      </c>
    </row>
    <row r="17" spans="1:15" ht="13" thickBot="1">
      <c r="A17" s="88" t="s">
        <v>8</v>
      </c>
      <c r="B17" s="102">
        <f t="shared" ref="B17:H17" si="2">SUM(B14:B16)</f>
        <v>2848542</v>
      </c>
      <c r="C17" s="102">
        <f t="shared" si="2"/>
        <v>5148987</v>
      </c>
      <c r="D17" s="102">
        <f t="shared" si="2"/>
        <v>5111622.76</v>
      </c>
      <c r="E17" s="102">
        <f t="shared" si="2"/>
        <v>4967688</v>
      </c>
      <c r="F17" s="102">
        <f t="shared" si="2"/>
        <v>3746135</v>
      </c>
      <c r="G17" s="102">
        <f t="shared" si="2"/>
        <v>-978077</v>
      </c>
      <c r="H17" s="102">
        <f t="shared" si="2"/>
        <v>986173</v>
      </c>
      <c r="I17" s="102">
        <f t="shared" ref="I17:N17" si="3">SUM(I14:I16)</f>
        <v>1821980</v>
      </c>
      <c r="J17" s="102">
        <f t="shared" si="3"/>
        <v>-1765188</v>
      </c>
      <c r="K17" s="102">
        <f t="shared" si="3"/>
        <v>2363677</v>
      </c>
      <c r="L17" s="102">
        <f t="shared" si="3"/>
        <v>2396282</v>
      </c>
      <c r="M17" s="102">
        <f t="shared" si="3"/>
        <v>2204402</v>
      </c>
      <c r="N17" s="102">
        <f t="shared" si="3"/>
        <v>2259329</v>
      </c>
      <c r="O17" s="102">
        <f t="shared" ref="O17" si="4">SUM(O14:O16)</f>
        <v>2281026</v>
      </c>
    </row>
    <row r="18" spans="1:15">
      <c r="A18" s="85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5">
      <c r="A19" s="88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1:15">
      <c r="A20" s="89" t="str">
        <f>+'Operating Funds Total'!A26</f>
        <v>Excess (deficit) of Revenue over Expenditures</v>
      </c>
      <c r="B20" s="101">
        <f t="shared" ref="B20:H20" si="5">+B9-B17</f>
        <v>-864381</v>
      </c>
      <c r="C20" s="101">
        <f t="shared" si="5"/>
        <v>-2870169</v>
      </c>
      <c r="D20" s="101">
        <f t="shared" si="5"/>
        <v>-2068495.7399999998</v>
      </c>
      <c r="E20" s="101">
        <f t="shared" si="5"/>
        <v>-2933481</v>
      </c>
      <c r="F20" s="101">
        <f t="shared" si="5"/>
        <v>-1987731</v>
      </c>
      <c r="G20" s="101">
        <f t="shared" si="5"/>
        <v>2347750</v>
      </c>
      <c r="H20" s="101">
        <f t="shared" si="5"/>
        <v>407290</v>
      </c>
      <c r="I20" s="101">
        <f t="shared" ref="I20:O20" si="6">+I9-I17</f>
        <v>-409656</v>
      </c>
      <c r="J20" s="101">
        <f t="shared" si="6"/>
        <v>3172794</v>
      </c>
      <c r="K20" s="101">
        <f t="shared" si="6"/>
        <v>-948588.2200000002</v>
      </c>
      <c r="L20" s="101">
        <f t="shared" si="6"/>
        <v>-974025.27610000037</v>
      </c>
      <c r="M20" s="101">
        <f t="shared" si="6"/>
        <v>-775041.9924805006</v>
      </c>
      <c r="N20" s="101">
        <f t="shared" si="6"/>
        <v>-822830.1924429033</v>
      </c>
      <c r="O20" s="101">
        <f t="shared" si="6"/>
        <v>-837352.69840511796</v>
      </c>
    </row>
    <row r="21" spans="1:15">
      <c r="A21" s="9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1:15">
      <c r="A22" s="1" t="s">
        <v>0</v>
      </c>
      <c r="B22" s="101"/>
      <c r="C22" s="101"/>
      <c r="D22" s="101"/>
      <c r="E22" s="101"/>
      <c r="F22" s="101" t="s">
        <v>12</v>
      </c>
      <c r="G22" s="101"/>
      <c r="H22" s="101"/>
      <c r="I22" s="101" t="s">
        <v>12</v>
      </c>
      <c r="J22" s="101"/>
      <c r="K22" s="101"/>
      <c r="L22" s="101"/>
    </row>
    <row r="23" spans="1:15">
      <c r="A23" s="82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5">
      <c r="A24" s="135" t="s">
        <v>82</v>
      </c>
      <c r="B24" s="101">
        <f>'Debt Service'!P38+Fire_Prev!P35</f>
        <v>0</v>
      </c>
      <c r="C24" s="101">
        <f>'Debt Service'!Q38+Fire_Prev!Q35</f>
        <v>7316321</v>
      </c>
      <c r="D24" s="101">
        <f>'Debt Service'!R38+Fire_Prev!R35</f>
        <v>802700</v>
      </c>
      <c r="E24" s="101">
        <f>'Debt Service'!S38+Fire_Prev!S35</f>
        <v>5205632</v>
      </c>
      <c r="F24" s="101">
        <f>'Debt Service'!T38+Fire_Prev!T35</f>
        <v>1218333</v>
      </c>
      <c r="G24" s="101">
        <f>'Debt Service'!U38+Fire_Prev!U35</f>
        <v>800700</v>
      </c>
      <c r="H24" s="101">
        <f>'Debt Service'!V38+Fire_Prev!V35</f>
        <v>801100</v>
      </c>
      <c r="I24" s="101">
        <f>'Debt Service'!W38+Fire_Prev!W35</f>
        <v>2929888</v>
      </c>
      <c r="J24" s="101">
        <f>'Debt Service'!X38+Fire_Prev!X35+'Capital Projects'!U33</f>
        <v>5131356</v>
      </c>
      <c r="K24" s="101">
        <f>'Debt Service'!Y38+Fire_Prev!Y35</f>
        <v>992928</v>
      </c>
      <c r="L24" s="101">
        <f>'Debt Service'!Z38+Fire_Prev!Z35</f>
        <v>958453</v>
      </c>
      <c r="M24" s="101">
        <f>'Debt Service'!AA38+Fire_Prev!AA35</f>
        <v>799543</v>
      </c>
      <c r="N24" s="101">
        <f>'Debt Service'!AB38+Fire_Prev!AB35</f>
        <v>799643</v>
      </c>
      <c r="O24" s="101">
        <f>'Debt Service'!AC38+Fire_Prev!AC35</f>
        <v>798743</v>
      </c>
    </row>
    <row r="25" spans="1:15">
      <c r="A25" s="9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1:15">
      <c r="A26" s="13" t="s">
        <v>89</v>
      </c>
      <c r="B26" s="101">
        <f t="shared" ref="B26:H26" si="7">SUM(B20:B24)</f>
        <v>-864381</v>
      </c>
      <c r="C26" s="101">
        <f t="shared" si="7"/>
        <v>4446152</v>
      </c>
      <c r="D26" s="101">
        <f t="shared" si="7"/>
        <v>-1265795.7399999998</v>
      </c>
      <c r="E26" s="101">
        <f t="shared" si="7"/>
        <v>2272151</v>
      </c>
      <c r="F26" s="101">
        <f t="shared" si="7"/>
        <v>-769398</v>
      </c>
      <c r="G26" s="101">
        <f t="shared" si="7"/>
        <v>3148450</v>
      </c>
      <c r="H26" s="101">
        <f t="shared" si="7"/>
        <v>1208390</v>
      </c>
      <c r="I26" s="101">
        <f t="shared" ref="I26:N26" si="8">SUM(I20:I24)</f>
        <v>2520232</v>
      </c>
      <c r="J26" s="101">
        <f t="shared" si="8"/>
        <v>8304150</v>
      </c>
      <c r="K26" s="101">
        <f t="shared" si="8"/>
        <v>44339.779999999795</v>
      </c>
      <c r="L26" s="101">
        <f t="shared" si="8"/>
        <v>-15572.276100000367</v>
      </c>
      <c r="M26" s="101">
        <f t="shared" si="8"/>
        <v>24501.007519499399</v>
      </c>
      <c r="N26" s="101">
        <f t="shared" si="8"/>
        <v>-23187.192442903295</v>
      </c>
      <c r="O26" s="101">
        <f t="shared" ref="O26" si="9">SUM(O20:O24)</f>
        <v>-38609.698405117961</v>
      </c>
    </row>
    <row r="27" spans="1:15">
      <c r="A27" s="9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</row>
    <row r="28" spans="1:15">
      <c r="A28" s="91" t="str">
        <f>+'Operating Funds Total'!A34</f>
        <v xml:space="preserve"> Fund Balance </v>
      </c>
      <c r="B28" s="101"/>
      <c r="C28" s="101"/>
      <c r="D28" s="101"/>
      <c r="E28" s="101"/>
      <c r="F28" s="101" t="s">
        <v>12</v>
      </c>
      <c r="G28" s="101"/>
      <c r="H28" s="101"/>
      <c r="I28" s="101"/>
      <c r="J28" s="101"/>
      <c r="K28" s="101"/>
      <c r="L28" s="101"/>
      <c r="M28" s="101"/>
      <c r="N28" s="101"/>
    </row>
    <row r="29" spans="1:15">
      <c r="A29" s="9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</row>
    <row r="30" spans="1:15">
      <c r="A30" s="90" t="str">
        <f>+'Operating Funds Total'!A36</f>
        <v xml:space="preserve"> Beginning of Year </v>
      </c>
      <c r="B30" s="101">
        <f>+'Debt Service'!P44+Fire_Prev!P41</f>
        <v>1776166</v>
      </c>
      <c r="C30" s="101">
        <f>+'Debt Service'!Q44+Fire_Prev!Q41</f>
        <v>911785</v>
      </c>
      <c r="D30" s="101">
        <f>+'Debt Service'!R44+Fire_Prev!R41+'Capital Projects'!R40</f>
        <v>3935824</v>
      </c>
      <c r="E30" s="101">
        <f>+'Debt Service'!S44+Fire_Prev!S41+'Capital Projects'!S40</f>
        <v>1867327.2599999998</v>
      </c>
      <c r="F30" s="101">
        <f>+'Debt Service'!T44+Fire_Prev!T41+'Capital Projects'!T40+1</f>
        <v>4139476.26</v>
      </c>
      <c r="G30" s="101">
        <f>+'Debt Service'!U44+Fire_Prev!U41+'Capital Projects'!U40+2</f>
        <v>3370082.26</v>
      </c>
      <c r="H30" s="101">
        <f>+'Debt Service'!V44+Fire_Prev!V41+'Capital Projects'!V40</f>
        <v>2381827.2599999998</v>
      </c>
      <c r="I30" s="101">
        <f>+'Debt Service'!W44+Fire_Prev!W41+'Capital Projects'!W40</f>
        <v>2172900.2599999998</v>
      </c>
      <c r="J30" s="101">
        <f>+'Debt Service'!X44+Fire_Prev!X41+'Capital Projects'!X40</f>
        <v>1927710.2599999998</v>
      </c>
      <c r="K30" s="101">
        <f>+'Debt Service'!Y44+Fire_Prev!Y41+'Capital Projects'!Y40</f>
        <v>1958454.2599999998</v>
      </c>
      <c r="L30" s="101">
        <f>+'Debt Service'!Z44+Fire_Prev!Z41+'Capital Projects'!Z40</f>
        <v>2002794.0399999996</v>
      </c>
      <c r="M30" s="101">
        <f>+'Debt Service'!AA44+Fire_Prev!AA41+'Capital Projects'!AA40</f>
        <v>1987221.7638999992</v>
      </c>
      <c r="N30" s="101">
        <f>+'Debt Service'!AB44+Fire_Prev!AB41+'Capital Projects'!AB40</f>
        <v>2011722.7714194986</v>
      </c>
      <c r="O30" s="101">
        <f>+'Debt Service'!AC44+Fire_Prev!AC41+'Capital Projects'!AC40</f>
        <v>1988535.5789765953</v>
      </c>
    </row>
    <row r="31" spans="1:15" ht="13" thickBot="1">
      <c r="A31" s="90" t="str">
        <f>+'Operating Funds Total'!A37</f>
        <v xml:space="preserve"> End of Year-(Projected) </v>
      </c>
      <c r="B31" s="103">
        <f>+'Debt Service'!P46+Fire_Prev!P43</f>
        <v>911785</v>
      </c>
      <c r="C31" s="103">
        <f>+'Debt Service'!Q46+Fire_Prev!Q43</f>
        <v>5357937</v>
      </c>
      <c r="D31" s="103">
        <f>+'Debt Service'!R46+Fire_Prev!R43+'Capital Projects'!R42</f>
        <v>1867327.2599999998</v>
      </c>
      <c r="E31" s="103">
        <f>+'Debt Service'!S46+Fire_Prev!S43+'Capital Projects'!S42+1</f>
        <v>4139476.26</v>
      </c>
      <c r="F31" s="103">
        <f>+'Debt Service'!T46+Fire_Prev!T43+'Capital Projects'!T42+2</f>
        <v>3370079.26</v>
      </c>
      <c r="G31" s="103">
        <f>+'Debt Service'!U46+Fire_Prev!U43+'Capital Projects'!U42+2</f>
        <v>2381829.2599999998</v>
      </c>
      <c r="H31" s="103">
        <f>+'Debt Service'!V46+Fire_Prev!V43+'Capital Projects'!V42</f>
        <v>2172900.2599999998</v>
      </c>
      <c r="I31" s="103">
        <f>+'Debt Service'!W46+Fire_Prev!W43+'Capital Projects'!W42</f>
        <v>1927710.2599999998</v>
      </c>
      <c r="J31" s="103">
        <f>+'Debt Service'!X46+Fire_Prev!X43+'Capital Projects'!X42</f>
        <v>1958454.2599999998</v>
      </c>
      <c r="K31" s="103">
        <f>+'Debt Service'!Y46+Fire_Prev!Y43+'Capital Projects'!Y42</f>
        <v>2002794.0399999996</v>
      </c>
      <c r="L31" s="103">
        <f>+'Debt Service'!Z46+Fire_Prev!Z43+'Capital Projects'!Z42</f>
        <v>1987221.7638999992</v>
      </c>
      <c r="M31" s="103">
        <f>+'Debt Service'!AA46+Fire_Prev!AA43+'Capital Projects'!AA42</f>
        <v>2011722.7714194986</v>
      </c>
      <c r="N31" s="103">
        <f>+'Debt Service'!AB46+Fire_Prev!AB43+'Capital Projects'!AB42</f>
        <v>1988535.5789765953</v>
      </c>
      <c r="O31" s="103">
        <f>+'Debt Service'!AC46+Fire_Prev!AC43+'Capital Projects'!AC42</f>
        <v>1949925.8805714773</v>
      </c>
    </row>
    <row r="32" spans="1:15" ht="13" thickTop="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1:12" hidden="1">
      <c r="A33" t="str">
        <f>+'Operating Funds Total'!A40</f>
        <v>Fund Balance as a Percentage of Expenditures</v>
      </c>
      <c r="B33" s="104">
        <f>+B31/B17</f>
        <v>0.32008831184514747</v>
      </c>
      <c r="C33" s="104">
        <f t="shared" ref="C33:J33" si="10">+C31/C17</f>
        <v>1.0405807977374968</v>
      </c>
      <c r="D33" s="104">
        <f t="shared" si="10"/>
        <v>0.36531006838227631</v>
      </c>
      <c r="E33" s="104">
        <f t="shared" si="10"/>
        <v>0.83328024223743513</v>
      </c>
      <c r="F33" s="104">
        <f t="shared" si="10"/>
        <v>0.89961500586604592</v>
      </c>
      <c r="G33" s="104">
        <f t="shared" si="10"/>
        <v>-2.4352165115834437</v>
      </c>
      <c r="H33" s="104">
        <f t="shared" si="10"/>
        <v>2.2033662045097562</v>
      </c>
      <c r="I33" s="104">
        <f t="shared" si="10"/>
        <v>1.0580304174579303</v>
      </c>
      <c r="J33" s="104">
        <f t="shared" si="10"/>
        <v>-1.1094876353113661</v>
      </c>
      <c r="K33" s="104">
        <f>+K31/K17</f>
        <v>0.84732137259024798</v>
      </c>
      <c r="L33" s="104">
        <f>+L31/L17</f>
        <v>0.82929378257650777</v>
      </c>
    </row>
    <row r="35" spans="1:12">
      <c r="G35" t="s">
        <v>12</v>
      </c>
    </row>
  </sheetData>
  <phoneticPr fontId="16" type="noConversion"/>
  <pageMargins left="0.5" right="0.5" top="1.33" bottom="1" header="0.5" footer="0.5"/>
  <pageSetup scale="96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Projections&amp;R&amp;K000000_x000D_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C111"/>
  <sheetViews>
    <sheetView view="pageLayout" zoomScale="150" zoomScaleNormal="150" zoomScalePageLayoutView="150" workbookViewId="0">
      <selection activeCell="AD1" sqref="AD1"/>
    </sheetView>
  </sheetViews>
  <sheetFormatPr baseColWidth="10" defaultColWidth="9.1640625" defaultRowHeight="13" x14ac:dyDescent="0"/>
  <cols>
    <col min="1" max="1" width="27" style="34" customWidth="1"/>
    <col min="2" max="6" width="18.6640625" style="35" hidden="1" customWidth="1"/>
    <col min="7" max="10" width="18.6640625" style="34" hidden="1" customWidth="1"/>
    <col min="11" max="11" width="20.5" style="34" hidden="1" customWidth="1"/>
    <col min="12" max="16" width="18.6640625" style="34" hidden="1" customWidth="1"/>
    <col min="17" max="17" width="21" style="34" hidden="1" customWidth="1"/>
    <col min="18" max="21" width="12.5" style="34" hidden="1" customWidth="1"/>
    <col min="22" max="26" width="12.5" style="34" customWidth="1"/>
    <col min="27" max="27" width="12.33203125" style="34" customWidth="1"/>
    <col min="28" max="29" width="12.5" style="34" customWidth="1"/>
    <col min="30" max="30" width="7.33203125" style="34" customWidth="1"/>
    <col min="31" max="16384" width="9.1640625" style="34"/>
  </cols>
  <sheetData>
    <row r="1" spans="1:29" ht="31" customHeight="1">
      <c r="A1" s="105" t="s">
        <v>6</v>
      </c>
      <c r="B1" s="32" t="s">
        <v>44</v>
      </c>
      <c r="C1" s="33" t="s">
        <v>9</v>
      </c>
      <c r="D1" s="33" t="s">
        <v>56</v>
      </c>
      <c r="E1" s="33" t="s">
        <v>57</v>
      </c>
      <c r="F1" s="3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2" t="s">
        <v>33</v>
      </c>
      <c r="S1" s="2" t="s">
        <v>126</v>
      </c>
      <c r="T1" s="2" t="s">
        <v>111</v>
      </c>
      <c r="U1" s="153" t="s">
        <v>129</v>
      </c>
      <c r="V1" s="153" t="s">
        <v>130</v>
      </c>
      <c r="W1" s="2" t="s">
        <v>131</v>
      </c>
      <c r="X1" s="2" t="s">
        <v>132</v>
      </c>
      <c r="Y1" s="2" t="s">
        <v>135</v>
      </c>
      <c r="Z1" s="2" t="s">
        <v>136</v>
      </c>
      <c r="AA1" s="2" t="s">
        <v>150</v>
      </c>
      <c r="AB1" s="2" t="s">
        <v>159</v>
      </c>
      <c r="AC1" s="2" t="s">
        <v>167</v>
      </c>
    </row>
    <row r="2" spans="1:29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3" t="s">
        <v>127</v>
      </c>
      <c r="Y2" s="153" t="s">
        <v>128</v>
      </c>
      <c r="Z2" s="153" t="s">
        <v>128</v>
      </c>
      <c r="AA2" s="153" t="s">
        <v>128</v>
      </c>
      <c r="AB2" s="153" t="s">
        <v>128</v>
      </c>
      <c r="AC2" s="153" t="s">
        <v>128</v>
      </c>
    </row>
    <row r="3" spans="1:29">
      <c r="A3" s="61" t="s">
        <v>92</v>
      </c>
    </row>
    <row r="5" spans="1:29" s="188" customFormat="1">
      <c r="A5" s="188" t="s">
        <v>93</v>
      </c>
      <c r="B5" s="188">
        <v>6767894</v>
      </c>
      <c r="C5" s="188">
        <v>6425287</v>
      </c>
      <c r="D5" s="188">
        <v>6287730</v>
      </c>
      <c r="E5" s="188">
        <v>9578347</v>
      </c>
      <c r="F5" s="189">
        <v>9825319</v>
      </c>
      <c r="G5" s="189">
        <v>10039174</v>
      </c>
      <c r="H5" s="189">
        <v>10262671</v>
      </c>
      <c r="I5" s="189">
        <v>10420869</v>
      </c>
      <c r="J5" s="189">
        <v>10753249</v>
      </c>
      <c r="K5" s="189">
        <v>11056375</v>
      </c>
      <c r="L5" s="189">
        <v>11242031</v>
      </c>
      <c r="M5" s="189">
        <v>11699600</v>
      </c>
      <c r="N5" s="189">
        <v>17049954</v>
      </c>
      <c r="O5" s="189">
        <v>18975577</v>
      </c>
      <c r="P5" s="189">
        <v>1319696</v>
      </c>
      <c r="Q5" s="189">
        <v>1324036</v>
      </c>
      <c r="R5" s="249">
        <f>2243671.02-32486.06</f>
        <v>2211184.96</v>
      </c>
      <c r="S5" s="189">
        <v>1283480</v>
      </c>
      <c r="T5" s="189">
        <v>1399298</v>
      </c>
      <c r="U5" s="189">
        <v>1371918</v>
      </c>
      <c r="V5" s="189">
        <v>1396534</v>
      </c>
      <c r="W5" s="189">
        <v>1405511</v>
      </c>
      <c r="X5" s="189">
        <v>1406556</v>
      </c>
      <c r="Y5" s="189">
        <f>X5*1.005</f>
        <v>1413588.7799999998</v>
      </c>
      <c r="Z5" s="189">
        <f>Y5*1.005</f>
        <v>1420656.7238999996</v>
      </c>
      <c r="AA5" s="189">
        <f>Z5*1.005</f>
        <v>1427760.0075194994</v>
      </c>
      <c r="AB5" s="189">
        <f>AA5*1.005</f>
        <v>1434898.8075570967</v>
      </c>
      <c r="AC5" s="189">
        <f>AB5*1.005</f>
        <v>1442073.301594882</v>
      </c>
    </row>
    <row r="6" spans="1:29" s="182" customFormat="1">
      <c r="A6" s="182" t="s">
        <v>27</v>
      </c>
      <c r="B6" s="182">
        <v>0</v>
      </c>
      <c r="C6" s="182">
        <v>0</v>
      </c>
      <c r="D6" s="182">
        <v>0</v>
      </c>
      <c r="E6" s="182">
        <f>D6*1.06</f>
        <v>0</v>
      </c>
      <c r="F6" s="183">
        <v>0</v>
      </c>
      <c r="G6" s="182">
        <f t="shared" ref="G6:Q6" si="0">E6*1.06</f>
        <v>0</v>
      </c>
      <c r="H6" s="182">
        <f t="shared" si="0"/>
        <v>0</v>
      </c>
      <c r="I6" s="182">
        <f t="shared" si="0"/>
        <v>0</v>
      </c>
      <c r="J6" s="182">
        <f t="shared" si="0"/>
        <v>0</v>
      </c>
      <c r="K6" s="182">
        <f t="shared" si="0"/>
        <v>0</v>
      </c>
      <c r="L6" s="182">
        <f t="shared" si="0"/>
        <v>0</v>
      </c>
      <c r="M6" s="182">
        <f t="shared" si="0"/>
        <v>0</v>
      </c>
      <c r="N6" s="182">
        <f t="shared" si="0"/>
        <v>0</v>
      </c>
      <c r="O6" s="182">
        <f t="shared" si="0"/>
        <v>0</v>
      </c>
      <c r="P6" s="182">
        <f t="shared" si="0"/>
        <v>0</v>
      </c>
      <c r="Q6" s="182">
        <f t="shared" si="0"/>
        <v>0</v>
      </c>
      <c r="R6" s="177">
        <f>P6*1.06</f>
        <v>0</v>
      </c>
      <c r="S6" s="182">
        <f>Q6*1.06</f>
        <v>0</v>
      </c>
      <c r="T6" s="182">
        <v>0</v>
      </c>
      <c r="U6" s="182">
        <f>S6*1.06</f>
        <v>0</v>
      </c>
      <c r="V6" s="182">
        <f>T6*1.06</f>
        <v>0</v>
      </c>
      <c r="W6" s="182">
        <f>U6*1.06</f>
        <v>0</v>
      </c>
      <c r="X6" s="182">
        <v>0</v>
      </c>
      <c r="Y6" s="182">
        <v>0</v>
      </c>
      <c r="Z6" s="182">
        <v>0</v>
      </c>
      <c r="AA6" s="182">
        <v>0</v>
      </c>
      <c r="AB6" s="182">
        <v>0</v>
      </c>
      <c r="AC6" s="182">
        <v>0</v>
      </c>
    </row>
    <row r="7" spans="1:29" s="182" customFormat="1">
      <c r="A7" s="184"/>
      <c r="B7" s="185"/>
      <c r="C7" s="185"/>
      <c r="R7" s="177"/>
    </row>
    <row r="8" spans="1:29" s="182" customFormat="1">
      <c r="A8" s="182" t="s">
        <v>112</v>
      </c>
      <c r="B8" s="186">
        <f>70796+18121</f>
        <v>88917</v>
      </c>
      <c r="C8" s="186">
        <f>123187+194426</f>
        <v>317613</v>
      </c>
      <c r="D8" s="186">
        <v>117535</v>
      </c>
      <c r="E8" s="186">
        <v>278226</v>
      </c>
      <c r="F8" s="187">
        <v>317656</v>
      </c>
      <c r="G8" s="186">
        <v>333821</v>
      </c>
      <c r="H8" s="186">
        <v>313777</v>
      </c>
      <c r="I8" s="186">
        <v>407083</v>
      </c>
      <c r="J8" s="186">
        <v>630490</v>
      </c>
      <c r="K8" s="186">
        <v>281261</v>
      </c>
      <c r="L8" s="186">
        <v>168249</v>
      </c>
      <c r="M8" s="186">
        <v>158659</v>
      </c>
      <c r="N8" s="186">
        <v>286093</v>
      </c>
      <c r="O8" s="186">
        <v>562311</v>
      </c>
      <c r="P8" s="186">
        <v>54001</v>
      </c>
      <c r="Q8" s="186">
        <v>33257</v>
      </c>
      <c r="R8" s="251">
        <v>32486.06</v>
      </c>
      <c r="S8" s="186">
        <v>988</v>
      </c>
      <c r="T8" s="186">
        <v>681</v>
      </c>
      <c r="U8" s="186">
        <v>3105</v>
      </c>
      <c r="V8" s="186">
        <v>2430</v>
      </c>
      <c r="W8" s="186">
        <v>3056</v>
      </c>
      <c r="X8" s="186">
        <v>1000</v>
      </c>
      <c r="Y8" s="186">
        <v>1500</v>
      </c>
      <c r="Z8" s="186">
        <v>1600</v>
      </c>
      <c r="AA8" s="186">
        <v>1600</v>
      </c>
      <c r="AB8" s="186">
        <v>1600</v>
      </c>
      <c r="AC8" s="186">
        <v>1600</v>
      </c>
    </row>
    <row r="9" spans="1:29">
      <c r="E9" s="35" t="s">
        <v>12</v>
      </c>
      <c r="F9" s="40" t="s">
        <v>12</v>
      </c>
      <c r="G9" s="40"/>
      <c r="H9" s="40"/>
      <c r="I9" s="40"/>
      <c r="J9" s="40"/>
      <c r="K9" s="40"/>
      <c r="L9" s="40"/>
      <c r="M9" s="40"/>
      <c r="N9" s="40"/>
      <c r="O9" s="40"/>
      <c r="P9" s="117"/>
      <c r="Q9" s="117"/>
      <c r="R9" s="117"/>
      <c r="S9" s="117"/>
      <c r="T9" s="117"/>
      <c r="U9" s="117"/>
      <c r="V9" s="117"/>
      <c r="W9" s="117"/>
    </row>
    <row r="10" spans="1:29" ht="14" thickBot="1">
      <c r="A10" s="34" t="s">
        <v>22</v>
      </c>
      <c r="B10" s="42">
        <f>SUM(B5:B9)</f>
        <v>6856811</v>
      </c>
      <c r="C10" s="42">
        <f>SUM(C5:C9)</f>
        <v>6742900</v>
      </c>
      <c r="D10" s="42">
        <f>SUM(D5:D8)</f>
        <v>6405265</v>
      </c>
      <c r="E10" s="42">
        <f t="shared" ref="E10:M10" si="1">SUM(E5:E8)</f>
        <v>9856573</v>
      </c>
      <c r="F10" s="43">
        <f t="shared" si="1"/>
        <v>10142975</v>
      </c>
      <c r="G10" s="43">
        <f t="shared" si="1"/>
        <v>10372995</v>
      </c>
      <c r="H10" s="43">
        <f t="shared" si="1"/>
        <v>10576448</v>
      </c>
      <c r="I10" s="43">
        <f t="shared" si="1"/>
        <v>10827952</v>
      </c>
      <c r="J10" s="43">
        <f t="shared" si="1"/>
        <v>11383739</v>
      </c>
      <c r="K10" s="43">
        <f t="shared" si="1"/>
        <v>11337636</v>
      </c>
      <c r="L10" s="43">
        <f t="shared" si="1"/>
        <v>11410280</v>
      </c>
      <c r="M10" s="43">
        <f t="shared" si="1"/>
        <v>11858259</v>
      </c>
      <c r="N10" s="43">
        <f t="shared" ref="N10:U10" si="2">SUM(N5:N8)</f>
        <v>17336047</v>
      </c>
      <c r="O10" s="43">
        <f t="shared" si="2"/>
        <v>19537888</v>
      </c>
      <c r="P10" s="118">
        <f t="shared" si="2"/>
        <v>1373697</v>
      </c>
      <c r="Q10" s="118">
        <f t="shared" si="2"/>
        <v>1357293</v>
      </c>
      <c r="R10" s="118">
        <f t="shared" si="2"/>
        <v>2243671.02</v>
      </c>
      <c r="S10" s="118">
        <f t="shared" si="2"/>
        <v>1284468</v>
      </c>
      <c r="T10" s="118">
        <f t="shared" si="2"/>
        <v>1399979</v>
      </c>
      <c r="U10" s="118">
        <f t="shared" si="2"/>
        <v>1375023</v>
      </c>
      <c r="V10" s="118">
        <f t="shared" ref="V10:AA10" si="3">SUM(V5:V8)</f>
        <v>1398964</v>
      </c>
      <c r="W10" s="118">
        <f t="shared" si="3"/>
        <v>1408567</v>
      </c>
      <c r="X10" s="118">
        <f t="shared" si="3"/>
        <v>1407556</v>
      </c>
      <c r="Y10" s="118">
        <f t="shared" si="3"/>
        <v>1415088.7799999998</v>
      </c>
      <c r="Z10" s="118">
        <f t="shared" si="3"/>
        <v>1422256.7238999996</v>
      </c>
      <c r="AA10" s="118">
        <f t="shared" si="3"/>
        <v>1429360.0075194994</v>
      </c>
      <c r="AB10" s="118">
        <f t="shared" ref="AB10:AC10" si="4">SUM(AB5:AB8)</f>
        <v>1436498.8075570967</v>
      </c>
      <c r="AC10" s="118">
        <f t="shared" si="4"/>
        <v>1443673.301594882</v>
      </c>
    </row>
    <row r="11" spans="1:29">
      <c r="E11" s="35" t="s">
        <v>12</v>
      </c>
      <c r="F11" s="40" t="s">
        <v>12</v>
      </c>
      <c r="G11" s="40"/>
      <c r="H11" s="40"/>
      <c r="I11" s="40"/>
      <c r="J11" s="40"/>
      <c r="K11" s="40"/>
      <c r="L11" s="40"/>
      <c r="M11" s="40"/>
      <c r="N11" s="40"/>
      <c r="O11" s="40"/>
      <c r="P11" s="117"/>
      <c r="Q11" s="117"/>
      <c r="R11" s="117"/>
      <c r="S11" s="117"/>
      <c r="T11" s="117"/>
      <c r="U11" s="117"/>
      <c r="V11" s="117"/>
      <c r="W11" s="117"/>
    </row>
    <row r="12" spans="1:29">
      <c r="E12" s="35" t="s">
        <v>12</v>
      </c>
      <c r="F12" s="40" t="s">
        <v>12</v>
      </c>
      <c r="G12" s="40"/>
      <c r="H12" s="40"/>
      <c r="I12" s="40"/>
      <c r="J12" s="40"/>
      <c r="K12" s="40"/>
      <c r="L12" s="40"/>
      <c r="M12" s="40"/>
      <c r="N12" s="40"/>
      <c r="O12" s="40"/>
      <c r="P12" s="117"/>
      <c r="Q12" s="117"/>
      <c r="R12" s="117"/>
      <c r="S12" s="117"/>
      <c r="T12" s="117"/>
      <c r="U12" s="117"/>
      <c r="V12" s="117"/>
      <c r="W12" s="117"/>
      <c r="X12" s="264"/>
    </row>
    <row r="13" spans="1:29">
      <c r="A13" s="61" t="s">
        <v>102</v>
      </c>
      <c r="E13" s="35" t="s">
        <v>12</v>
      </c>
      <c r="F13" s="40" t="s">
        <v>12</v>
      </c>
      <c r="G13" s="40"/>
      <c r="H13" s="40"/>
      <c r="I13" s="40"/>
      <c r="J13" s="40"/>
      <c r="K13" s="40"/>
      <c r="L13" s="40"/>
      <c r="M13" s="40"/>
      <c r="N13" s="40"/>
      <c r="O13" s="40"/>
      <c r="P13" s="117"/>
      <c r="Q13" s="117"/>
      <c r="R13" s="117"/>
      <c r="S13" s="117"/>
      <c r="T13" s="117"/>
      <c r="U13" s="117"/>
      <c r="V13" s="117"/>
      <c r="W13" s="117"/>
    </row>
    <row r="14" spans="1:29">
      <c r="E14" s="35" t="s">
        <v>12</v>
      </c>
      <c r="F14" s="40" t="s">
        <v>12</v>
      </c>
      <c r="G14" s="40"/>
      <c r="H14" s="40"/>
      <c r="I14" s="40"/>
      <c r="J14" s="40"/>
      <c r="K14" s="40"/>
      <c r="L14" s="40"/>
      <c r="M14" s="40"/>
      <c r="N14" s="40"/>
      <c r="O14" s="40"/>
      <c r="P14" s="117"/>
      <c r="Q14" s="117"/>
      <c r="R14" s="117"/>
      <c r="S14" s="117"/>
      <c r="T14" s="117"/>
      <c r="U14" s="117"/>
      <c r="V14" s="117"/>
      <c r="W14" s="117"/>
    </row>
    <row r="15" spans="1:29" s="182" customFormat="1">
      <c r="A15" s="182" t="s">
        <v>103</v>
      </c>
      <c r="B15" s="182">
        <v>0</v>
      </c>
      <c r="C15" s="182">
        <v>0</v>
      </c>
      <c r="D15" s="182">
        <v>0</v>
      </c>
      <c r="E15" s="182">
        <f t="shared" ref="E15:M15" si="5">D15*1.06</f>
        <v>0</v>
      </c>
      <c r="F15" s="182">
        <f t="shared" si="5"/>
        <v>0</v>
      </c>
      <c r="G15" s="182">
        <f t="shared" si="5"/>
        <v>0</v>
      </c>
      <c r="H15" s="182">
        <f t="shared" si="5"/>
        <v>0</v>
      </c>
      <c r="I15" s="182">
        <f t="shared" si="5"/>
        <v>0</v>
      </c>
      <c r="J15" s="182">
        <f t="shared" si="5"/>
        <v>0</v>
      </c>
      <c r="K15" s="182">
        <f t="shared" si="5"/>
        <v>0</v>
      </c>
      <c r="L15" s="182">
        <f t="shared" si="5"/>
        <v>0</v>
      </c>
      <c r="M15" s="182">
        <f t="shared" si="5"/>
        <v>0</v>
      </c>
      <c r="N15" s="182">
        <f t="shared" ref="N15:O20" si="6">M15*1.06</f>
        <v>0</v>
      </c>
      <c r="O15" s="182">
        <f t="shared" si="6"/>
        <v>0</v>
      </c>
      <c r="P15" s="182">
        <f t="shared" ref="P15:R20" si="7">O15*1.06</f>
        <v>0</v>
      </c>
      <c r="Q15" s="182">
        <f t="shared" si="7"/>
        <v>0</v>
      </c>
      <c r="R15" s="177">
        <f t="shared" si="7"/>
        <v>0</v>
      </c>
      <c r="S15" s="182">
        <f t="shared" ref="S15:T20" si="8">R15*1.06</f>
        <v>0</v>
      </c>
      <c r="T15" s="182">
        <f t="shared" si="8"/>
        <v>0</v>
      </c>
      <c r="U15" s="182">
        <f t="shared" ref="U15:W20" si="9">T15*1.06</f>
        <v>0</v>
      </c>
      <c r="V15" s="182">
        <f t="shared" si="9"/>
        <v>0</v>
      </c>
      <c r="W15" s="182">
        <f t="shared" si="9"/>
        <v>0</v>
      </c>
      <c r="X15" s="182">
        <v>0</v>
      </c>
      <c r="Y15" s="182">
        <v>0</v>
      </c>
      <c r="Z15" s="182">
        <v>0</v>
      </c>
      <c r="AA15" s="182">
        <v>0</v>
      </c>
      <c r="AB15" s="182">
        <v>0</v>
      </c>
      <c r="AC15" s="182">
        <v>0</v>
      </c>
    </row>
    <row r="16" spans="1:29" hidden="1">
      <c r="A16" s="34" t="s">
        <v>66</v>
      </c>
      <c r="B16" s="36">
        <v>0</v>
      </c>
      <c r="C16" s="36">
        <v>0</v>
      </c>
      <c r="D16" s="36">
        <v>0</v>
      </c>
      <c r="E16" s="36">
        <f t="shared" ref="E16:M16" si="10">D16*1.06</f>
        <v>0</v>
      </c>
      <c r="F16" s="36">
        <f t="shared" si="10"/>
        <v>0</v>
      </c>
      <c r="G16" s="36">
        <f t="shared" si="10"/>
        <v>0</v>
      </c>
      <c r="H16" s="36">
        <f t="shared" si="10"/>
        <v>0</v>
      </c>
      <c r="I16" s="36">
        <f t="shared" si="10"/>
        <v>0</v>
      </c>
      <c r="J16" s="36">
        <f t="shared" si="10"/>
        <v>0</v>
      </c>
      <c r="K16" s="36">
        <f t="shared" si="10"/>
        <v>0</v>
      </c>
      <c r="L16" s="36">
        <f t="shared" si="10"/>
        <v>0</v>
      </c>
      <c r="M16" s="36">
        <f t="shared" si="10"/>
        <v>0</v>
      </c>
      <c r="N16" s="36">
        <f t="shared" si="6"/>
        <v>0</v>
      </c>
      <c r="O16" s="36">
        <f t="shared" si="6"/>
        <v>0</v>
      </c>
      <c r="P16" s="117">
        <f t="shared" si="7"/>
        <v>0</v>
      </c>
      <c r="Q16" s="117">
        <f t="shared" si="7"/>
        <v>0</v>
      </c>
      <c r="R16" s="177">
        <f t="shared" si="7"/>
        <v>0</v>
      </c>
      <c r="S16" s="117">
        <f t="shared" si="8"/>
        <v>0</v>
      </c>
      <c r="T16" s="117">
        <f t="shared" si="8"/>
        <v>0</v>
      </c>
      <c r="U16" s="117">
        <f t="shared" si="9"/>
        <v>0</v>
      </c>
      <c r="V16" s="117">
        <f t="shared" si="9"/>
        <v>0</v>
      </c>
      <c r="W16" s="117">
        <f t="shared" si="9"/>
        <v>0</v>
      </c>
    </row>
    <row r="17" spans="1:29" hidden="1">
      <c r="A17" s="34" t="s">
        <v>83</v>
      </c>
      <c r="B17" s="36">
        <v>0</v>
      </c>
      <c r="C17" s="36">
        <v>0</v>
      </c>
      <c r="D17" s="36">
        <v>0</v>
      </c>
      <c r="E17" s="36">
        <f t="shared" ref="E17:M17" si="11">D17*1.06</f>
        <v>0</v>
      </c>
      <c r="F17" s="36">
        <f t="shared" si="11"/>
        <v>0</v>
      </c>
      <c r="G17" s="36">
        <f t="shared" si="11"/>
        <v>0</v>
      </c>
      <c r="H17" s="36">
        <f t="shared" si="11"/>
        <v>0</v>
      </c>
      <c r="I17" s="36">
        <f t="shared" si="11"/>
        <v>0</v>
      </c>
      <c r="J17" s="36">
        <f t="shared" si="11"/>
        <v>0</v>
      </c>
      <c r="K17" s="36">
        <f t="shared" si="11"/>
        <v>0</v>
      </c>
      <c r="L17" s="36">
        <f t="shared" si="11"/>
        <v>0</v>
      </c>
      <c r="M17" s="36">
        <f t="shared" si="11"/>
        <v>0</v>
      </c>
      <c r="N17" s="36">
        <f t="shared" si="6"/>
        <v>0</v>
      </c>
      <c r="O17" s="36">
        <f t="shared" si="6"/>
        <v>0</v>
      </c>
      <c r="P17" s="117">
        <f t="shared" si="7"/>
        <v>0</v>
      </c>
      <c r="Q17" s="117">
        <f t="shared" si="7"/>
        <v>0</v>
      </c>
      <c r="R17" s="177">
        <f t="shared" si="7"/>
        <v>0</v>
      </c>
      <c r="S17" s="117">
        <f t="shared" si="8"/>
        <v>0</v>
      </c>
      <c r="T17" s="117">
        <f t="shared" si="8"/>
        <v>0</v>
      </c>
      <c r="U17" s="117">
        <f t="shared" si="9"/>
        <v>0</v>
      </c>
      <c r="V17" s="117">
        <f t="shared" si="9"/>
        <v>0</v>
      </c>
      <c r="W17" s="117">
        <f t="shared" si="9"/>
        <v>0</v>
      </c>
    </row>
    <row r="18" spans="1:29" hidden="1">
      <c r="A18" s="34" t="s">
        <v>84</v>
      </c>
      <c r="B18" s="36">
        <v>0</v>
      </c>
      <c r="C18" s="36">
        <v>0</v>
      </c>
      <c r="D18" s="36">
        <v>0</v>
      </c>
      <c r="E18" s="36">
        <f t="shared" ref="E18:M18" si="12">D18*1.06</f>
        <v>0</v>
      </c>
      <c r="F18" s="36">
        <f t="shared" si="12"/>
        <v>0</v>
      </c>
      <c r="G18" s="36">
        <f t="shared" si="12"/>
        <v>0</v>
      </c>
      <c r="H18" s="36">
        <f t="shared" si="12"/>
        <v>0</v>
      </c>
      <c r="I18" s="36">
        <f t="shared" si="12"/>
        <v>0</v>
      </c>
      <c r="J18" s="36">
        <f t="shared" si="12"/>
        <v>0</v>
      </c>
      <c r="K18" s="36">
        <f t="shared" si="12"/>
        <v>0</v>
      </c>
      <c r="L18" s="36">
        <f t="shared" si="12"/>
        <v>0</v>
      </c>
      <c r="M18" s="36">
        <f t="shared" si="12"/>
        <v>0</v>
      </c>
      <c r="N18" s="36">
        <f t="shared" si="6"/>
        <v>0</v>
      </c>
      <c r="O18" s="36">
        <f t="shared" si="6"/>
        <v>0</v>
      </c>
      <c r="P18" s="117">
        <f t="shared" si="7"/>
        <v>0</v>
      </c>
      <c r="Q18" s="117">
        <f t="shared" si="7"/>
        <v>0</v>
      </c>
      <c r="R18" s="177">
        <f t="shared" si="7"/>
        <v>0</v>
      </c>
      <c r="S18" s="117">
        <f t="shared" si="8"/>
        <v>0</v>
      </c>
      <c r="T18" s="117">
        <f t="shared" si="8"/>
        <v>0</v>
      </c>
      <c r="U18" s="117">
        <f t="shared" si="9"/>
        <v>0</v>
      </c>
      <c r="V18" s="117">
        <f t="shared" si="9"/>
        <v>0</v>
      </c>
      <c r="W18" s="117">
        <f t="shared" si="9"/>
        <v>0</v>
      </c>
    </row>
    <row r="19" spans="1:29" hidden="1">
      <c r="A19" s="34" t="s">
        <v>85</v>
      </c>
      <c r="B19" s="36">
        <v>0</v>
      </c>
      <c r="C19" s="36">
        <v>0</v>
      </c>
      <c r="D19" s="36">
        <v>0</v>
      </c>
      <c r="E19" s="36">
        <f t="shared" ref="E19:M19" si="13">D19*1.06</f>
        <v>0</v>
      </c>
      <c r="F19" s="36">
        <f t="shared" si="13"/>
        <v>0</v>
      </c>
      <c r="G19" s="36">
        <f t="shared" si="13"/>
        <v>0</v>
      </c>
      <c r="H19" s="36">
        <f t="shared" si="13"/>
        <v>0</v>
      </c>
      <c r="I19" s="36">
        <f t="shared" si="13"/>
        <v>0</v>
      </c>
      <c r="J19" s="36">
        <f t="shared" si="13"/>
        <v>0</v>
      </c>
      <c r="K19" s="36">
        <f t="shared" si="13"/>
        <v>0</v>
      </c>
      <c r="L19" s="36">
        <f t="shared" si="13"/>
        <v>0</v>
      </c>
      <c r="M19" s="36">
        <f t="shared" si="13"/>
        <v>0</v>
      </c>
      <c r="N19" s="36">
        <f t="shared" si="6"/>
        <v>0</v>
      </c>
      <c r="O19" s="36">
        <f t="shared" si="6"/>
        <v>0</v>
      </c>
      <c r="P19" s="117">
        <f t="shared" si="7"/>
        <v>0</v>
      </c>
      <c r="Q19" s="117">
        <f t="shared" si="7"/>
        <v>0</v>
      </c>
      <c r="R19" s="177">
        <f t="shared" si="7"/>
        <v>0</v>
      </c>
      <c r="S19" s="117">
        <f t="shared" si="8"/>
        <v>0</v>
      </c>
      <c r="T19" s="117">
        <f t="shared" si="8"/>
        <v>0</v>
      </c>
      <c r="U19" s="117">
        <f t="shared" si="9"/>
        <v>0</v>
      </c>
      <c r="V19" s="117">
        <f t="shared" si="9"/>
        <v>0</v>
      </c>
      <c r="W19" s="117">
        <f t="shared" si="9"/>
        <v>0</v>
      </c>
    </row>
    <row r="20" spans="1:29" hidden="1">
      <c r="A20" s="34" t="s">
        <v>86</v>
      </c>
      <c r="B20" s="36">
        <v>0</v>
      </c>
      <c r="C20" s="36">
        <v>0</v>
      </c>
      <c r="D20" s="36">
        <v>0</v>
      </c>
      <c r="E20" s="36">
        <f t="shared" ref="E20:M20" si="14">D20*1.06</f>
        <v>0</v>
      </c>
      <c r="F20" s="36">
        <f t="shared" si="14"/>
        <v>0</v>
      </c>
      <c r="G20" s="36">
        <f t="shared" si="14"/>
        <v>0</v>
      </c>
      <c r="H20" s="36">
        <f t="shared" si="14"/>
        <v>0</v>
      </c>
      <c r="I20" s="36">
        <f t="shared" si="14"/>
        <v>0</v>
      </c>
      <c r="J20" s="36">
        <f t="shared" si="14"/>
        <v>0</v>
      </c>
      <c r="K20" s="36">
        <f t="shared" si="14"/>
        <v>0</v>
      </c>
      <c r="L20" s="36">
        <f t="shared" si="14"/>
        <v>0</v>
      </c>
      <c r="M20" s="36">
        <f t="shared" si="14"/>
        <v>0</v>
      </c>
      <c r="N20" s="36">
        <f t="shared" si="6"/>
        <v>0</v>
      </c>
      <c r="O20" s="36">
        <f t="shared" si="6"/>
        <v>0</v>
      </c>
      <c r="P20" s="117">
        <f t="shared" si="7"/>
        <v>0</v>
      </c>
      <c r="Q20" s="117">
        <f t="shared" si="7"/>
        <v>0</v>
      </c>
      <c r="R20" s="177">
        <f t="shared" si="7"/>
        <v>0</v>
      </c>
      <c r="S20" s="117">
        <f t="shared" si="8"/>
        <v>0</v>
      </c>
      <c r="T20" s="117">
        <f t="shared" si="8"/>
        <v>0</v>
      </c>
      <c r="U20" s="117">
        <f t="shared" si="9"/>
        <v>0</v>
      </c>
      <c r="V20" s="117">
        <f t="shared" si="9"/>
        <v>0</v>
      </c>
      <c r="W20" s="117">
        <f t="shared" si="9"/>
        <v>0</v>
      </c>
    </row>
    <row r="21" spans="1:29" s="182" customFormat="1">
      <c r="A21" s="182" t="s">
        <v>79</v>
      </c>
      <c r="B21" s="190">
        <v>8530690</v>
      </c>
      <c r="C21" s="190">
        <v>6658534</v>
      </c>
      <c r="D21" s="190">
        <v>7838996</v>
      </c>
      <c r="E21" s="190">
        <v>8835256</v>
      </c>
      <c r="F21" s="190">
        <v>9836001</v>
      </c>
      <c r="G21" s="191">
        <v>9670564</v>
      </c>
      <c r="H21" s="191">
        <v>9878455</v>
      </c>
      <c r="I21" s="191">
        <v>10180900</v>
      </c>
      <c r="J21" s="191">
        <v>10634900</v>
      </c>
      <c r="K21" s="191">
        <v>11060928</v>
      </c>
      <c r="L21" s="191">
        <v>11181243</v>
      </c>
      <c r="M21" s="191">
        <v>11814015</v>
      </c>
      <c r="N21" s="191">
        <v>16706773</v>
      </c>
      <c r="O21" s="191">
        <v>18437875</v>
      </c>
      <c r="P21" s="191">
        <v>1268705</v>
      </c>
      <c r="Q21" s="191">
        <v>1445781</v>
      </c>
      <c r="R21" s="252">
        <v>2068858.76</v>
      </c>
      <c r="S21" s="191">
        <v>2049550</v>
      </c>
      <c r="T21" s="191">
        <v>2230490</v>
      </c>
      <c r="U21" s="191">
        <v>2370499</v>
      </c>
      <c r="V21" s="191">
        <v>2403490</v>
      </c>
      <c r="W21" s="191">
        <v>4422634</v>
      </c>
      <c r="X21" s="182">
        <v>2352515</v>
      </c>
      <c r="Y21" s="182">
        <v>2363677</v>
      </c>
      <c r="Z21" s="182">
        <v>2396282</v>
      </c>
      <c r="AA21" s="182">
        <v>2204402</v>
      </c>
      <c r="AB21" s="182">
        <f>1187863+30163+799643+120830+120830</f>
        <v>2259329</v>
      </c>
      <c r="AC21" s="182">
        <v>2281026</v>
      </c>
    </row>
    <row r="22" spans="1:29" ht="14" thickBot="1">
      <c r="B22" s="64"/>
      <c r="C22" s="64"/>
      <c r="D22" s="64"/>
      <c r="E22" s="64"/>
      <c r="F22" s="64"/>
      <c r="G22" s="65"/>
      <c r="H22" s="65">
        <v>0</v>
      </c>
      <c r="I22" s="65"/>
      <c r="J22" s="65"/>
      <c r="K22" s="65"/>
      <c r="L22" s="65"/>
      <c r="M22" s="65"/>
      <c r="N22" s="65"/>
      <c r="O22" s="65"/>
      <c r="P22" s="119"/>
      <c r="Q22" s="119"/>
      <c r="R22" s="119"/>
      <c r="S22" s="119"/>
      <c r="T22" s="119"/>
      <c r="U22" s="119"/>
      <c r="V22" s="119"/>
      <c r="W22" s="119" t="s">
        <v>12</v>
      </c>
      <c r="X22" s="119"/>
      <c r="Y22" s="119"/>
      <c r="Z22" s="119"/>
      <c r="AA22" s="119"/>
      <c r="AB22" s="119"/>
      <c r="AC22" s="119"/>
    </row>
    <row r="23" spans="1:29">
      <c r="E23" s="35" t="s">
        <v>12</v>
      </c>
      <c r="F23" s="40" t="s">
        <v>12</v>
      </c>
      <c r="G23" s="40"/>
      <c r="H23" s="40"/>
      <c r="I23" s="40"/>
      <c r="J23" s="40"/>
      <c r="K23" s="40"/>
      <c r="L23" s="40"/>
      <c r="M23" s="40"/>
      <c r="N23" s="40"/>
      <c r="O23" s="40"/>
      <c r="P23" s="117"/>
      <c r="Q23" s="117"/>
      <c r="R23" s="117"/>
      <c r="S23" s="117"/>
      <c r="T23" s="117"/>
      <c r="U23" s="117"/>
      <c r="V23" s="117"/>
      <c r="W23" s="117"/>
    </row>
    <row r="24" spans="1:29" ht="14" thickBot="1">
      <c r="A24" s="34" t="s">
        <v>22</v>
      </c>
      <c r="B24" s="42">
        <f>SUM(B15:B23)</f>
        <v>8530690</v>
      </c>
      <c r="C24" s="42">
        <f>SUM(C15:C23)</f>
        <v>6658534</v>
      </c>
      <c r="D24" s="42">
        <f>SUM(D15:D23)</f>
        <v>7838996</v>
      </c>
      <c r="E24" s="42">
        <f>SUM(E15:E21)</f>
        <v>8835256</v>
      </c>
      <c r="F24" s="43">
        <f>SUM(F15:F21)</f>
        <v>9836001</v>
      </c>
      <c r="G24" s="43">
        <f>SUM(G15:G21)</f>
        <v>9670564</v>
      </c>
      <c r="H24" s="43">
        <f t="shared" ref="H24:Q24" si="15">SUM(H15:H22)</f>
        <v>9878455</v>
      </c>
      <c r="I24" s="43">
        <f t="shared" si="15"/>
        <v>10180900</v>
      </c>
      <c r="J24" s="43">
        <f t="shared" si="15"/>
        <v>10634900</v>
      </c>
      <c r="K24" s="43">
        <f t="shared" si="15"/>
        <v>11060928</v>
      </c>
      <c r="L24" s="43">
        <f t="shared" si="15"/>
        <v>11181243</v>
      </c>
      <c r="M24" s="43">
        <f t="shared" si="15"/>
        <v>11814015</v>
      </c>
      <c r="N24" s="43">
        <f t="shared" si="15"/>
        <v>16706773</v>
      </c>
      <c r="O24" s="43">
        <f t="shared" si="15"/>
        <v>18437875</v>
      </c>
      <c r="P24" s="118">
        <f t="shared" si="15"/>
        <v>1268705</v>
      </c>
      <c r="Q24" s="118">
        <f t="shared" si="15"/>
        <v>1445781</v>
      </c>
      <c r="R24" s="118">
        <f t="shared" ref="R24:X24" si="16">SUM(R15:R22)</f>
        <v>2068858.76</v>
      </c>
      <c r="S24" s="118">
        <f t="shared" si="16"/>
        <v>2049550</v>
      </c>
      <c r="T24" s="118">
        <f t="shared" si="16"/>
        <v>2230490</v>
      </c>
      <c r="U24" s="118">
        <f t="shared" si="16"/>
        <v>2370499</v>
      </c>
      <c r="V24" s="118">
        <f t="shared" si="16"/>
        <v>2403490</v>
      </c>
      <c r="W24" s="118">
        <f t="shared" si="16"/>
        <v>4422634</v>
      </c>
      <c r="X24" s="118">
        <f t="shared" si="16"/>
        <v>2352515</v>
      </c>
      <c r="Y24" s="118">
        <f>SUM(Y15:Y22)</f>
        <v>2363677</v>
      </c>
      <c r="Z24" s="118">
        <f>SUM(Z15:Z22)</f>
        <v>2396282</v>
      </c>
      <c r="AA24" s="118">
        <f>SUM(AA15:AA22)</f>
        <v>2204402</v>
      </c>
      <c r="AB24" s="118">
        <f>SUM(AB15:AB22)</f>
        <v>2259329</v>
      </c>
      <c r="AC24" s="118">
        <f>SUM(AC15:AC22)</f>
        <v>2281026</v>
      </c>
    </row>
    <row r="25" spans="1:29">
      <c r="E25" s="35" t="s">
        <v>12</v>
      </c>
      <c r="F25" s="40" t="s">
        <v>12</v>
      </c>
      <c r="G25" s="40"/>
      <c r="H25" s="40"/>
      <c r="I25" s="40"/>
      <c r="J25" s="40"/>
      <c r="K25" s="40"/>
      <c r="L25" s="40"/>
      <c r="M25" s="40"/>
      <c r="N25" s="40"/>
      <c r="O25" s="40"/>
      <c r="P25" s="117"/>
      <c r="Q25" s="117"/>
      <c r="R25" s="117"/>
      <c r="S25" s="117"/>
      <c r="T25" s="117"/>
      <c r="U25" s="117"/>
      <c r="V25" s="117"/>
      <c r="W25" s="117"/>
    </row>
    <row r="26" spans="1:29">
      <c r="E26" s="35" t="s">
        <v>12</v>
      </c>
      <c r="F26" s="40" t="s">
        <v>12</v>
      </c>
      <c r="G26" s="40"/>
      <c r="H26" s="40"/>
      <c r="I26" s="40"/>
      <c r="J26" s="40"/>
      <c r="K26" s="40"/>
      <c r="L26" s="40"/>
      <c r="M26" s="40"/>
      <c r="N26" s="40"/>
      <c r="O26" s="40"/>
      <c r="P26" s="117"/>
      <c r="Q26" s="117"/>
      <c r="R26" s="117"/>
      <c r="S26" s="117"/>
      <c r="T26" s="117"/>
      <c r="U26" s="117"/>
      <c r="V26" s="117"/>
      <c r="W26" s="117"/>
    </row>
    <row r="27" spans="1:29" ht="39">
      <c r="A27" s="60" t="s">
        <v>46</v>
      </c>
      <c r="B27" s="44">
        <f>+B10-B24</f>
        <v>-1673879</v>
      </c>
      <c r="C27" s="44">
        <f t="shared" ref="C27:M27" si="17">+C10-C24</f>
        <v>84366</v>
      </c>
      <c r="D27" s="44">
        <f t="shared" si="17"/>
        <v>-1433731</v>
      </c>
      <c r="E27" s="44">
        <f t="shared" si="17"/>
        <v>1021317</v>
      </c>
      <c r="F27" s="45">
        <f t="shared" si="17"/>
        <v>306974</v>
      </c>
      <c r="G27" s="45">
        <f t="shared" si="17"/>
        <v>702431</v>
      </c>
      <c r="H27" s="45">
        <f t="shared" si="17"/>
        <v>697993</v>
      </c>
      <c r="I27" s="45">
        <f t="shared" si="17"/>
        <v>647052</v>
      </c>
      <c r="J27" s="45">
        <f t="shared" si="17"/>
        <v>748839</v>
      </c>
      <c r="K27" s="45">
        <f t="shared" si="17"/>
        <v>276708</v>
      </c>
      <c r="L27" s="45">
        <f t="shared" si="17"/>
        <v>229037</v>
      </c>
      <c r="M27" s="45">
        <f t="shared" si="17"/>
        <v>44244</v>
      </c>
      <c r="N27" s="45">
        <f t="shared" ref="N27:U27" si="18">+N10-N24</f>
        <v>629274</v>
      </c>
      <c r="O27" s="45">
        <f t="shared" si="18"/>
        <v>1100013</v>
      </c>
      <c r="P27" s="120">
        <f t="shared" si="18"/>
        <v>104992</v>
      </c>
      <c r="Q27" s="120">
        <f t="shared" si="18"/>
        <v>-88488</v>
      </c>
      <c r="R27" s="120">
        <f t="shared" si="18"/>
        <v>174812.26</v>
      </c>
      <c r="S27" s="120">
        <f t="shared" si="18"/>
        <v>-765082</v>
      </c>
      <c r="T27" s="120">
        <f t="shared" si="18"/>
        <v>-830511</v>
      </c>
      <c r="U27" s="120">
        <f t="shared" si="18"/>
        <v>-995476</v>
      </c>
      <c r="V27" s="120">
        <f t="shared" ref="V27:AC27" si="19">+V10-V24</f>
        <v>-1004526</v>
      </c>
      <c r="W27" s="120">
        <f t="shared" si="19"/>
        <v>-3014067</v>
      </c>
      <c r="X27" s="120">
        <f t="shared" si="19"/>
        <v>-944959</v>
      </c>
      <c r="Y27" s="120">
        <f t="shared" si="19"/>
        <v>-948588.2200000002</v>
      </c>
      <c r="Z27" s="120">
        <f t="shared" si="19"/>
        <v>-974025.27610000037</v>
      </c>
      <c r="AA27" s="120">
        <f t="shared" si="19"/>
        <v>-775041.9924805006</v>
      </c>
      <c r="AB27" s="120">
        <f t="shared" si="19"/>
        <v>-822830.1924429033</v>
      </c>
      <c r="AC27" s="120">
        <f t="shared" si="19"/>
        <v>-837352.69840511796</v>
      </c>
    </row>
    <row r="28" spans="1:29">
      <c r="A28" s="60"/>
      <c r="B28" s="44"/>
      <c r="C28" s="44"/>
      <c r="D28" s="44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spans="1:29" s="9" customFormat="1">
      <c r="A29" s="1" t="s">
        <v>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spans="1:29" s="9" customFormat="1">
      <c r="A30" s="1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spans="1:29" s="9" customFormat="1">
      <c r="A31" s="123" t="s">
        <v>43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0"/>
      <c r="Q31" s="120">
        <v>1343661</v>
      </c>
      <c r="R31" s="120"/>
      <c r="S31" s="120">
        <v>3372431</v>
      </c>
      <c r="T31" s="120">
        <v>1065000</v>
      </c>
      <c r="U31" s="120"/>
      <c r="V31" s="120" t="s">
        <v>12</v>
      </c>
      <c r="W31" s="120">
        <v>2045000</v>
      </c>
      <c r="X31" s="120"/>
      <c r="Y31" s="120"/>
      <c r="Z31" s="120"/>
      <c r="AA31" s="120"/>
    </row>
    <row r="32" spans="1:29" s="9" customFormat="1">
      <c r="A32" s="123" t="s">
        <v>35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0"/>
      <c r="Q32" s="120">
        <v>12030</v>
      </c>
      <c r="R32" s="120"/>
      <c r="S32" s="120">
        <v>77311</v>
      </c>
      <c r="T32" s="120">
        <v>773114</v>
      </c>
      <c r="U32" s="120"/>
      <c r="V32" s="120"/>
      <c r="W32" s="120"/>
      <c r="X32" s="120"/>
      <c r="Y32" s="120"/>
      <c r="Z32" s="120"/>
      <c r="AA32" s="120"/>
    </row>
    <row r="33" spans="1:29" s="9" customFormat="1">
      <c r="A33" s="123" t="s">
        <v>107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0"/>
      <c r="Q33" s="120">
        <v>12228</v>
      </c>
      <c r="R33" s="120"/>
      <c r="S33" s="120"/>
      <c r="T33" s="120"/>
      <c r="U33" s="120"/>
      <c r="V33" s="120" t="s">
        <v>12</v>
      </c>
      <c r="W33" s="120"/>
      <c r="X33" s="120"/>
      <c r="Y33" s="120"/>
      <c r="Z33" s="120"/>
      <c r="AA33" s="120"/>
    </row>
    <row r="34" spans="1:29" s="9" customFormat="1">
      <c r="A34" s="123" t="s">
        <v>108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0"/>
      <c r="Q34" s="120">
        <v>-36166</v>
      </c>
      <c r="R34" s="120"/>
      <c r="S34" s="120">
        <v>-3376679</v>
      </c>
      <c r="T34" s="120">
        <v>-1032281</v>
      </c>
      <c r="U34" s="120"/>
      <c r="V34" s="120"/>
      <c r="W34" s="120"/>
      <c r="X34" s="120"/>
      <c r="Y34" s="120"/>
      <c r="Z34" s="120"/>
      <c r="AA34" s="120"/>
    </row>
    <row r="35" spans="1:29" s="9" customFormat="1">
      <c r="A35" s="123" t="s">
        <v>78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0"/>
      <c r="Q35" s="120">
        <v>-1198054</v>
      </c>
      <c r="R35" s="120">
        <v>0</v>
      </c>
      <c r="S35" s="120">
        <v>0</v>
      </c>
      <c r="T35" s="120">
        <f>-'O_&amp;_M'!T39</f>
        <v>412500</v>
      </c>
      <c r="U35" s="120">
        <v>800700</v>
      </c>
      <c r="V35" s="120">
        <v>801100</v>
      </c>
      <c r="W35" s="120">
        <v>884888</v>
      </c>
      <c r="X35" s="120">
        <v>798943</v>
      </c>
      <c r="Y35" s="120">
        <v>797218</v>
      </c>
      <c r="Z35" s="267">
        <v>762743</v>
      </c>
      <c r="AA35" s="267">
        <v>799543</v>
      </c>
      <c r="AB35" s="267">
        <v>799643</v>
      </c>
      <c r="AC35" s="267">
        <v>798743</v>
      </c>
    </row>
    <row r="36" spans="1:29">
      <c r="A36" s="37" t="s">
        <v>171</v>
      </c>
      <c r="B36" s="38"/>
      <c r="C36" s="38"/>
      <c r="D36" s="35">
        <v>2000000</v>
      </c>
      <c r="E36" s="38"/>
      <c r="F36" s="39"/>
      <c r="G36" s="40"/>
      <c r="H36" s="40"/>
      <c r="I36" s="40"/>
      <c r="J36" s="40"/>
      <c r="K36" s="40"/>
      <c r="L36" s="40"/>
      <c r="M36" s="40"/>
      <c r="N36" s="40"/>
      <c r="O36" s="40"/>
      <c r="P36" s="117"/>
      <c r="Q36" s="117"/>
      <c r="R36" s="117">
        <v>802700</v>
      </c>
      <c r="S36" s="117">
        <v>801400</v>
      </c>
      <c r="T36" s="117">
        <v>386600</v>
      </c>
      <c r="U36" s="117">
        <v>0</v>
      </c>
      <c r="V36" s="117">
        <v>0</v>
      </c>
      <c r="W36" s="117">
        <v>0</v>
      </c>
      <c r="X36" s="117">
        <v>195710</v>
      </c>
      <c r="Y36" s="117">
        <v>195710</v>
      </c>
      <c r="Z36" s="117">
        <v>195710</v>
      </c>
      <c r="AA36" s="117">
        <v>0</v>
      </c>
      <c r="AB36" s="117">
        <v>0</v>
      </c>
      <c r="AC36" s="117">
        <v>0</v>
      </c>
    </row>
    <row r="37" spans="1:29" s="9" customFormat="1" ht="14" thickBot="1">
      <c r="A37" s="41" t="s">
        <v>120</v>
      </c>
      <c r="B37" s="14"/>
      <c r="C37" s="14"/>
      <c r="D37" s="14"/>
      <c r="E37" s="14"/>
      <c r="F37" s="14"/>
      <c r="G37" s="14"/>
      <c r="H37" s="16"/>
      <c r="I37" s="19">
        <f>-Education!I36</f>
        <v>0</v>
      </c>
      <c r="J37" s="19">
        <f>-Education!J36</f>
        <v>-950000</v>
      </c>
      <c r="K37" s="19">
        <f>-Education!K36</f>
        <v>0</v>
      </c>
      <c r="L37" s="19">
        <v>0</v>
      </c>
      <c r="M37" s="19">
        <f>-Education!M36</f>
        <v>0</v>
      </c>
      <c r="N37" s="19">
        <f>-Education!N36</f>
        <v>0</v>
      </c>
      <c r="O37" s="19">
        <f>-Education!O36</f>
        <v>0</v>
      </c>
      <c r="P37" s="133">
        <f>-Education!P36</f>
        <v>0</v>
      </c>
      <c r="Q37" s="133">
        <f>-Fire_Prev!Q30</f>
        <v>0</v>
      </c>
      <c r="R37" s="133">
        <v>0</v>
      </c>
      <c r="S37" s="133">
        <v>0</v>
      </c>
      <c r="T37" s="133">
        <v>0</v>
      </c>
      <c r="U37" s="133">
        <v>0</v>
      </c>
      <c r="V37" s="133">
        <v>0</v>
      </c>
      <c r="W37" s="133">
        <v>0</v>
      </c>
      <c r="X37" s="133">
        <v>0</v>
      </c>
      <c r="Y37" s="133">
        <v>0</v>
      </c>
      <c r="Z37" s="133">
        <v>0</v>
      </c>
      <c r="AA37" s="133">
        <v>0</v>
      </c>
      <c r="AB37" s="133">
        <v>0</v>
      </c>
      <c r="AC37" s="133">
        <v>0</v>
      </c>
    </row>
    <row r="38" spans="1:29" s="9" customFormat="1" ht="25" thickBot="1">
      <c r="A38" s="136" t="s">
        <v>96</v>
      </c>
      <c r="B38" s="128"/>
      <c r="C38" s="128"/>
      <c r="D38" s="128"/>
      <c r="E38" s="128"/>
      <c r="F38" s="128"/>
      <c r="G38" s="128"/>
      <c r="H38" s="16"/>
      <c r="I38" s="15"/>
      <c r="J38" s="15"/>
      <c r="K38" s="15"/>
      <c r="L38" s="15"/>
      <c r="M38" s="15"/>
      <c r="N38" s="15"/>
      <c r="O38" s="15"/>
      <c r="P38" s="137">
        <f>SUM(P31:P37)</f>
        <v>0</v>
      </c>
      <c r="Q38" s="137">
        <f t="shared" ref="Q38:V38" si="20">SUM(Q31:Q37)</f>
        <v>133699</v>
      </c>
      <c r="R38" s="201">
        <f t="shared" si="20"/>
        <v>802700</v>
      </c>
      <c r="S38" s="201">
        <f t="shared" si="20"/>
        <v>874463</v>
      </c>
      <c r="T38" s="201">
        <f t="shared" si="20"/>
        <v>1604933</v>
      </c>
      <c r="U38" s="201">
        <f t="shared" si="20"/>
        <v>800700</v>
      </c>
      <c r="V38" s="201">
        <f t="shared" si="20"/>
        <v>801100</v>
      </c>
      <c r="W38" s="201">
        <f t="shared" ref="W38:AB38" si="21">SUM(W31:W37)</f>
        <v>2929888</v>
      </c>
      <c r="X38" s="201">
        <f t="shared" si="21"/>
        <v>994653</v>
      </c>
      <c r="Y38" s="201">
        <f t="shared" si="21"/>
        <v>992928</v>
      </c>
      <c r="Z38" s="201">
        <f t="shared" si="21"/>
        <v>958453</v>
      </c>
      <c r="AA38" s="201">
        <f t="shared" si="21"/>
        <v>799543</v>
      </c>
      <c r="AB38" s="201">
        <f t="shared" si="21"/>
        <v>799643</v>
      </c>
      <c r="AC38" s="201">
        <f t="shared" ref="AC38" si="22">SUM(AC31:AC37)</f>
        <v>798743</v>
      </c>
    </row>
    <row r="39" spans="1:29">
      <c r="A39" s="60"/>
      <c r="B39" s="44"/>
      <c r="C39" s="44"/>
      <c r="D39" s="44"/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</row>
    <row r="40" spans="1:29">
      <c r="A40" s="13" t="s">
        <v>89</v>
      </c>
      <c r="B40" s="38"/>
      <c r="C40" s="38"/>
      <c r="D40" s="38"/>
      <c r="E40" s="38"/>
      <c r="F40" s="39"/>
      <c r="G40" s="40"/>
      <c r="H40" s="40"/>
      <c r="I40" s="40">
        <f t="shared" ref="I40:O40" si="23">+I27+I37</f>
        <v>647052</v>
      </c>
      <c r="J40" s="40">
        <f t="shared" si="23"/>
        <v>-201161</v>
      </c>
      <c r="K40" s="40">
        <f t="shared" si="23"/>
        <v>276708</v>
      </c>
      <c r="L40" s="40">
        <f t="shared" si="23"/>
        <v>229037</v>
      </c>
      <c r="M40" s="40">
        <f t="shared" si="23"/>
        <v>44244</v>
      </c>
      <c r="N40" s="40">
        <f t="shared" si="23"/>
        <v>629274</v>
      </c>
      <c r="O40" s="40">
        <f t="shared" si="23"/>
        <v>1100013</v>
      </c>
      <c r="P40" s="117">
        <f t="shared" ref="P40:V40" si="24">+P27+P38</f>
        <v>104992</v>
      </c>
      <c r="Q40" s="117">
        <f t="shared" si="24"/>
        <v>45211</v>
      </c>
      <c r="R40" s="117">
        <f>+R27+R38</f>
        <v>977512.26</v>
      </c>
      <c r="S40" s="117">
        <f t="shared" si="24"/>
        <v>109381</v>
      </c>
      <c r="T40" s="117">
        <f t="shared" si="24"/>
        <v>774422</v>
      </c>
      <c r="U40" s="117">
        <f t="shared" si="24"/>
        <v>-194776</v>
      </c>
      <c r="V40" s="117">
        <f t="shared" si="24"/>
        <v>-203426</v>
      </c>
      <c r="W40" s="117">
        <f t="shared" ref="W40:AC40" si="25">+W27+W38</f>
        <v>-84179</v>
      </c>
      <c r="X40" s="117">
        <f t="shared" si="25"/>
        <v>49694</v>
      </c>
      <c r="Y40" s="117">
        <f t="shared" si="25"/>
        <v>44339.779999999795</v>
      </c>
      <c r="Z40" s="117">
        <f t="shared" si="25"/>
        <v>-15572.276100000367</v>
      </c>
      <c r="AA40" s="117">
        <f t="shared" si="25"/>
        <v>24501.007519499399</v>
      </c>
      <c r="AB40" s="117">
        <f t="shared" si="25"/>
        <v>-23187.192442903295</v>
      </c>
      <c r="AC40" s="117">
        <f t="shared" si="25"/>
        <v>-38609.698405117961</v>
      </c>
    </row>
    <row r="41" spans="1:29">
      <c r="E41" s="35" t="s">
        <v>12</v>
      </c>
      <c r="F41" s="40" t="s">
        <v>12</v>
      </c>
      <c r="G41" s="40"/>
      <c r="H41" s="40"/>
      <c r="I41" s="40"/>
      <c r="J41" s="40"/>
      <c r="K41" s="40"/>
      <c r="L41" s="40"/>
      <c r="M41" s="40"/>
      <c r="N41" s="40"/>
      <c r="O41" s="40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</row>
    <row r="42" spans="1:29">
      <c r="A42" s="62" t="s">
        <v>47</v>
      </c>
      <c r="E42" s="35" t="s">
        <v>12</v>
      </c>
      <c r="F42" s="40" t="s">
        <v>12</v>
      </c>
      <c r="G42" s="40"/>
      <c r="H42" s="40"/>
      <c r="I42" s="40"/>
      <c r="J42" s="40"/>
      <c r="K42" s="40"/>
      <c r="L42" s="40"/>
      <c r="M42" s="40"/>
      <c r="N42" s="40"/>
      <c r="O42" s="40"/>
      <c r="P42" s="117"/>
      <c r="Q42" s="117"/>
      <c r="R42" s="117"/>
      <c r="S42" s="117" t="s">
        <v>12</v>
      </c>
      <c r="T42" s="117"/>
      <c r="U42" s="117"/>
      <c r="V42" s="117"/>
      <c r="W42" s="117"/>
      <c r="X42" s="117"/>
      <c r="Y42" s="117"/>
      <c r="Z42" s="117"/>
      <c r="AA42" s="117"/>
      <c r="AB42" s="117"/>
    </row>
    <row r="43" spans="1:29">
      <c r="E43" s="35" t="s">
        <v>12</v>
      </c>
      <c r="F43" s="40" t="s">
        <v>12</v>
      </c>
      <c r="G43" s="40"/>
      <c r="H43" s="40"/>
      <c r="I43" s="40"/>
      <c r="J43" s="40"/>
      <c r="K43" s="40"/>
      <c r="L43" s="40"/>
      <c r="M43" s="40"/>
      <c r="N43" s="40"/>
      <c r="O43" s="40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</row>
    <row r="44" spans="1:29">
      <c r="A44" s="34" t="s">
        <v>48</v>
      </c>
      <c r="B44" s="35">
        <v>2173698</v>
      </c>
      <c r="C44" s="35">
        <f>+B46</f>
        <v>499819</v>
      </c>
      <c r="D44" s="35">
        <f t="shared" ref="D44:Q44" si="26">+C46</f>
        <v>584185</v>
      </c>
      <c r="E44" s="40">
        <f t="shared" si="26"/>
        <v>1164564</v>
      </c>
      <c r="F44" s="40">
        <f t="shared" si="26"/>
        <v>2185881</v>
      </c>
      <c r="G44" s="40">
        <v>2448290</v>
      </c>
      <c r="H44" s="40">
        <f t="shared" si="26"/>
        <v>3150721</v>
      </c>
      <c r="I44" s="40">
        <f t="shared" si="26"/>
        <v>3848714</v>
      </c>
      <c r="J44" s="40">
        <f t="shared" si="26"/>
        <v>4495766</v>
      </c>
      <c r="K44" s="40">
        <f t="shared" si="26"/>
        <v>4294605</v>
      </c>
      <c r="L44" s="40">
        <f t="shared" si="26"/>
        <v>4571313</v>
      </c>
      <c r="M44" s="40">
        <f t="shared" si="26"/>
        <v>4800350</v>
      </c>
      <c r="N44" s="40">
        <f t="shared" si="26"/>
        <v>4844594</v>
      </c>
      <c r="O44" s="40">
        <f t="shared" si="26"/>
        <v>5473868</v>
      </c>
      <c r="P44" s="117">
        <v>1109001</v>
      </c>
      <c r="Q44" s="117">
        <f t="shared" si="26"/>
        <v>1213993</v>
      </c>
      <c r="R44" s="117">
        <v>1331877</v>
      </c>
      <c r="S44" s="117">
        <f t="shared" ref="S44:X44" si="27">+R46</f>
        <v>1506688.2599999998</v>
      </c>
      <c r="T44" s="117">
        <f t="shared" si="27"/>
        <v>1616067.2599999998</v>
      </c>
      <c r="U44" s="117">
        <f>+T46+2</f>
        <v>2390491.2599999998</v>
      </c>
      <c r="V44" s="117">
        <f t="shared" si="27"/>
        <v>2195715.2599999998</v>
      </c>
      <c r="W44" s="117">
        <f t="shared" si="27"/>
        <v>1992289.2599999998</v>
      </c>
      <c r="X44" s="117">
        <f t="shared" si="27"/>
        <v>1908110.2599999998</v>
      </c>
      <c r="Y44" s="117">
        <f>+X46</f>
        <v>1957804.2599999998</v>
      </c>
      <c r="Z44" s="117">
        <f>+Y46</f>
        <v>2002144.0399999996</v>
      </c>
      <c r="AA44" s="117">
        <f>+Z46</f>
        <v>1986571.7638999992</v>
      </c>
      <c r="AB44" s="117">
        <f>+AA46</f>
        <v>2011072.7714194986</v>
      </c>
      <c r="AC44" s="117">
        <f>+AB46</f>
        <v>1987885.5789765953</v>
      </c>
    </row>
    <row r="45" spans="1:29">
      <c r="A45" s="34" t="s">
        <v>109</v>
      </c>
      <c r="D45" s="35">
        <v>2014110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</row>
    <row r="46" spans="1:29" ht="14" thickBot="1">
      <c r="A46" s="34" t="s">
        <v>41</v>
      </c>
      <c r="B46" s="46">
        <f>+B44+B27</f>
        <v>499819</v>
      </c>
      <c r="C46" s="46">
        <f>+C44+C27</f>
        <v>584185</v>
      </c>
      <c r="D46" s="46">
        <f>+D44+D27+D45</f>
        <v>1164564</v>
      </c>
      <c r="E46" s="46">
        <f>+E44+E27</f>
        <v>2185881</v>
      </c>
      <c r="F46" s="46">
        <f>+F44+F27</f>
        <v>2492855</v>
      </c>
      <c r="G46" s="46">
        <f>+G44+G27</f>
        <v>3150721</v>
      </c>
      <c r="H46" s="46">
        <f>+H44+H27</f>
        <v>3848714</v>
      </c>
      <c r="I46" s="46">
        <f>+I44+I40</f>
        <v>4495766</v>
      </c>
      <c r="J46" s="46">
        <f t="shared" ref="J46:Q46" si="28">+J44+J40</f>
        <v>4294605</v>
      </c>
      <c r="K46" s="46">
        <f t="shared" si="28"/>
        <v>4571313</v>
      </c>
      <c r="L46" s="46">
        <f t="shared" si="28"/>
        <v>4800350</v>
      </c>
      <c r="M46" s="46">
        <f t="shared" si="28"/>
        <v>4844594</v>
      </c>
      <c r="N46" s="46">
        <f t="shared" si="28"/>
        <v>5473868</v>
      </c>
      <c r="O46" s="46">
        <f t="shared" si="28"/>
        <v>6573881</v>
      </c>
      <c r="P46" s="122">
        <f t="shared" si="28"/>
        <v>1213993</v>
      </c>
      <c r="Q46" s="122">
        <f t="shared" si="28"/>
        <v>1259204</v>
      </c>
      <c r="R46" s="122">
        <f>+R44+R40-R36-1</f>
        <v>1506688.2599999998</v>
      </c>
      <c r="S46" s="122">
        <f>+S44+S40-2</f>
        <v>1616067.2599999998</v>
      </c>
      <c r="T46" s="122">
        <f t="shared" ref="T46:X46" si="29">+T44+T40</f>
        <v>2390489.2599999998</v>
      </c>
      <c r="U46" s="122">
        <f t="shared" si="29"/>
        <v>2195715.2599999998</v>
      </c>
      <c r="V46" s="122">
        <f t="shared" si="29"/>
        <v>1992289.2599999998</v>
      </c>
      <c r="W46" s="122">
        <f t="shared" si="29"/>
        <v>1908110.2599999998</v>
      </c>
      <c r="X46" s="122">
        <f t="shared" si="29"/>
        <v>1957804.2599999998</v>
      </c>
      <c r="Y46" s="122">
        <f>+Y44+Y40</f>
        <v>2002144.0399999996</v>
      </c>
      <c r="Z46" s="122">
        <f>+Z44+Z40</f>
        <v>1986571.7638999992</v>
      </c>
      <c r="AA46" s="122">
        <f>+AA44+AA40</f>
        <v>2011072.7714194986</v>
      </c>
      <c r="AB46" s="122">
        <f>+AB44+AB40</f>
        <v>1987885.5789765953</v>
      </c>
      <c r="AC46" s="122">
        <f>+AC44+AC40</f>
        <v>1949275.8805714773</v>
      </c>
    </row>
    <row r="47" spans="1:29" ht="14" thickTop="1"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  <row r="48" spans="1:29" ht="15" customHeight="1"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</row>
    <row r="49" spans="1:22">
      <c r="E49" s="35" t="s">
        <v>12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</row>
    <row r="50" spans="1:22">
      <c r="A50" s="47"/>
      <c r="B50" s="34"/>
      <c r="E50" s="35" t="s">
        <v>12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</row>
    <row r="51" spans="1:22" ht="31" hidden="1" thickBot="1">
      <c r="A51" s="69" t="s">
        <v>94</v>
      </c>
      <c r="B51" s="48">
        <f>+B24/12</f>
        <v>710890.83333333337</v>
      </c>
      <c r="C51" s="48">
        <f>+C24/12</f>
        <v>554877.83333333337</v>
      </c>
      <c r="D51" s="71">
        <f t="shared" ref="D51:U51" si="30">+D46/(+D24/365)</f>
        <v>54.224528243157671</v>
      </c>
      <c r="E51" s="71">
        <f t="shared" si="30"/>
        <v>90.302597344095062</v>
      </c>
      <c r="F51" s="71">
        <f t="shared" si="30"/>
        <v>92.506301595536641</v>
      </c>
      <c r="G51" s="71">
        <f t="shared" si="30"/>
        <v>118.91893430414193</v>
      </c>
      <c r="H51" s="71">
        <f t="shared" si="30"/>
        <v>142.2065100261124</v>
      </c>
      <c r="I51" s="71">
        <f t="shared" si="30"/>
        <v>161.17971790313231</v>
      </c>
      <c r="J51" s="71">
        <f t="shared" si="30"/>
        <v>147.39497550517635</v>
      </c>
      <c r="K51" s="71">
        <f t="shared" si="30"/>
        <v>150.84893826268464</v>
      </c>
      <c r="L51" s="71">
        <f t="shared" si="30"/>
        <v>156.70241224522175</v>
      </c>
      <c r="M51" s="71">
        <f t="shared" si="30"/>
        <v>149.67619475682059</v>
      </c>
      <c r="N51" s="71">
        <f t="shared" si="30"/>
        <v>119.58993038332417</v>
      </c>
      <c r="O51" s="71">
        <f t="shared" si="30"/>
        <v>130.1379125848288</v>
      </c>
      <c r="P51" s="71">
        <f t="shared" si="30"/>
        <v>349.2596348244864</v>
      </c>
      <c r="Q51" s="71">
        <f t="shared" si="30"/>
        <v>317.89701206475945</v>
      </c>
      <c r="R51" s="71">
        <f t="shared" si="30"/>
        <v>265.81863659943605</v>
      </c>
      <c r="S51" s="71">
        <f t="shared" si="30"/>
        <v>287.80198087385031</v>
      </c>
      <c r="T51" s="71">
        <f t="shared" si="30"/>
        <v>391.18246658805907</v>
      </c>
      <c r="U51" s="71">
        <f t="shared" si="30"/>
        <v>338.08749545981669</v>
      </c>
    </row>
    <row r="52" spans="1:22"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 hidden="1"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</row>
    <row r="54" spans="1:22"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34" t="s">
        <v>157</v>
      </c>
    </row>
    <row r="55" spans="1:22"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</row>
    <row r="56" spans="1:22"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</row>
    <row r="57" spans="1:22"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</row>
    <row r="58" spans="1:22"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</row>
    <row r="59" spans="1:22"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</row>
    <row r="60" spans="1:22"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</row>
    <row r="61" spans="1:22"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</row>
    <row r="62" spans="1:22"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</row>
    <row r="63" spans="1:22"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</row>
    <row r="64" spans="1:22"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</row>
    <row r="65" spans="6:21"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</row>
    <row r="66" spans="6:21"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6:21"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</row>
    <row r="68" spans="6:21"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</row>
    <row r="69" spans="6:21"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</row>
    <row r="70" spans="6:21"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</row>
    <row r="71" spans="6:21"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</row>
    <row r="72" spans="6:21"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</row>
    <row r="73" spans="6:21"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</row>
    <row r="74" spans="6:21"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</row>
    <row r="75" spans="6:21"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</row>
    <row r="76" spans="6:21"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</row>
    <row r="77" spans="6:21"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</row>
    <row r="78" spans="6:21"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</row>
    <row r="79" spans="6:21"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</row>
    <row r="80" spans="6:21"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  <row r="81" spans="6:21"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</row>
    <row r="82" spans="6:21"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</row>
    <row r="83" spans="6:21"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</row>
    <row r="84" spans="6:21"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</row>
    <row r="85" spans="6:21"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</row>
    <row r="86" spans="6:21"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</row>
    <row r="87" spans="6:21"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</row>
    <row r="88" spans="6:21"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</row>
    <row r="89" spans="6:21"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</row>
    <row r="90" spans="6:21"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</row>
    <row r="91" spans="6:21"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</row>
    <row r="92" spans="6:21"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</row>
    <row r="93" spans="6:21"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</row>
    <row r="94" spans="6:21"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</row>
    <row r="95" spans="6:21"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</row>
    <row r="96" spans="6:21"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</row>
    <row r="97" spans="6:21"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</row>
    <row r="98" spans="6:21"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</row>
    <row r="99" spans="6:21"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</row>
    <row r="100" spans="6:21"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</row>
    <row r="101" spans="6:21"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</row>
    <row r="102" spans="6:21"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</row>
    <row r="103" spans="6:21"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</row>
    <row r="104" spans="6:21"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</row>
    <row r="105" spans="6:21"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</row>
    <row r="106" spans="6:21"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</row>
    <row r="107" spans="6:21"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</row>
    <row r="108" spans="6:21"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</row>
    <row r="109" spans="6:21"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</row>
    <row r="110" spans="6:21"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</row>
    <row r="111" spans="6:21"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</row>
  </sheetData>
  <phoneticPr fontId="0" type="noConversion"/>
  <pageMargins left="0.74" right="0.72" top="1.25" bottom="0.5" header="0.5" footer="0.25"/>
  <pageSetup scale="81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Projections_x000D__x000D_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7</vt:i4>
      </vt:variant>
    </vt:vector>
  </HeadingPairs>
  <TitlesOfParts>
    <vt:vector size="19" baseType="lpstr">
      <vt:lpstr>Operating Funds Total</vt:lpstr>
      <vt:lpstr>Education</vt:lpstr>
      <vt:lpstr>O_&amp;_M</vt:lpstr>
      <vt:lpstr>Transportation</vt:lpstr>
      <vt:lpstr>MUIF</vt:lpstr>
      <vt:lpstr>Working_Cash</vt:lpstr>
      <vt:lpstr>Tort</vt:lpstr>
      <vt:lpstr>Non-Operating Funds</vt:lpstr>
      <vt:lpstr>Debt Service</vt:lpstr>
      <vt:lpstr>Capital Projects</vt:lpstr>
      <vt:lpstr>Fire_Prev</vt:lpstr>
      <vt:lpstr>All Funds</vt:lpstr>
      <vt:lpstr>Chart9</vt:lpstr>
      <vt:lpstr>Chart10</vt:lpstr>
      <vt:lpstr>Chart11</vt:lpstr>
      <vt:lpstr>Chart12</vt:lpstr>
      <vt:lpstr>Chart13</vt:lpstr>
      <vt:lpstr>Chart15</vt:lpstr>
      <vt:lpstr>Chart16</vt:lpstr>
    </vt:vector>
  </TitlesOfParts>
  <Manager/>
  <Company>D39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Nohelty</dc:creator>
  <cp:keywords/>
  <dc:description/>
  <cp:lastModifiedBy>Gail Buscemi</cp:lastModifiedBy>
  <cp:lastPrinted>2015-11-18T16:34:46Z</cp:lastPrinted>
  <dcterms:created xsi:type="dcterms:W3CDTF">1998-03-06T14:03:17Z</dcterms:created>
  <dcterms:modified xsi:type="dcterms:W3CDTF">2016-01-04T23:15:39Z</dcterms:modified>
  <cp:category/>
</cp:coreProperties>
</file>