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tarekghani/Dropbox/Afg Direct Aid/Submissions/Science/3. Replication Package/Do files/"/>
    </mc:Choice>
  </mc:AlternateContent>
  <xr:revisionPtr revIDLastSave="0" documentId="13_ncr:1_{D78A8C2A-C955-8F47-BC44-6DE99B20F619}" xr6:coauthVersionLast="47" xr6:coauthVersionMax="47" xr10:uidLastSave="{00000000-0000-0000-0000-000000000000}"/>
  <bookViews>
    <workbookView xWindow="0" yWindow="760" windowWidth="30240" windowHeight="17520" xr2:uid="{00000000-000D-0000-FFFF-FFFF00000000}"/>
  </bookViews>
  <sheets>
    <sheet name="1.ReadMeSummary" sheetId="1" r:id="rId1"/>
    <sheet name="2.RawCosts" sheetId="2" r:id="rId2"/>
    <sheet name="3.InputsAssumptions" sheetId="3" r:id="rId3"/>
    <sheet name="4.EfficiencyEstimates" sheetId="4" r:id="rId4"/>
    <sheet name="5.ScaleEstimate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5" l="1"/>
  <c r="D24" i="5"/>
  <c r="D31" i="5" s="1"/>
  <c r="C24" i="5"/>
  <c r="C31" i="5" s="1"/>
  <c r="B24" i="5"/>
  <c r="B31" i="5" s="1"/>
  <c r="D23" i="5"/>
  <c r="B23" i="5"/>
  <c r="B30" i="5" s="1"/>
  <c r="D22" i="5"/>
  <c r="D29" i="5" s="1"/>
  <c r="C22" i="5"/>
  <c r="C29" i="5" s="1"/>
  <c r="B22" i="5"/>
  <c r="B29" i="5" s="1"/>
  <c r="B6" i="5"/>
  <c r="B5" i="5"/>
  <c r="B44" i="3"/>
  <c r="B43" i="3"/>
  <c r="B42" i="3"/>
  <c r="B41" i="3"/>
  <c r="B39" i="3"/>
  <c r="B38" i="3"/>
  <c r="D32" i="3"/>
  <c r="B18" i="3"/>
  <c r="B11" i="3"/>
  <c r="F70" i="2"/>
  <c r="B68" i="2"/>
  <c r="D68" i="2" s="1"/>
  <c r="D67" i="2"/>
  <c r="B67" i="2"/>
  <c r="B66" i="2"/>
  <c r="D66" i="2" s="1"/>
  <c r="D65" i="2"/>
  <c r="B65" i="2"/>
  <c r="B64" i="2"/>
  <c r="F57" i="2"/>
  <c r="B57" i="2"/>
  <c r="C53" i="2" s="1"/>
  <c r="B55" i="2"/>
  <c r="C55" i="2" s="1"/>
  <c r="B54" i="2"/>
  <c r="C54" i="2" s="1"/>
  <c r="D53" i="2"/>
  <c r="B53" i="2"/>
  <c r="D52" i="2"/>
  <c r="B52" i="2"/>
  <c r="F46" i="2"/>
  <c r="B46" i="2"/>
  <c r="D46" i="2" s="1"/>
  <c r="F44" i="2"/>
  <c r="B42" i="2"/>
  <c r="D42" i="2" s="1"/>
  <c r="B41" i="2"/>
  <c r="B44" i="2" s="1"/>
  <c r="F37" i="2"/>
  <c r="B35" i="2"/>
  <c r="B34" i="2"/>
  <c r="D34" i="2" s="1"/>
  <c r="D33" i="2"/>
  <c r="B33" i="2"/>
  <c r="B32" i="2"/>
  <c r="D32" i="2" s="1"/>
  <c r="B31" i="2"/>
  <c r="D31" i="2" s="1"/>
  <c r="B30" i="2"/>
  <c r="D30" i="2" s="1"/>
  <c r="B29" i="2"/>
  <c r="D29" i="2" s="1"/>
  <c r="D28" i="2"/>
  <c r="B28" i="2"/>
  <c r="B27" i="2"/>
  <c r="D26" i="2"/>
  <c r="B26" i="2"/>
  <c r="B25" i="2"/>
  <c r="D25" i="2" s="1"/>
  <c r="B24" i="2"/>
  <c r="B37" i="2" s="1"/>
  <c r="D23" i="2"/>
  <c r="B23" i="2"/>
  <c r="F19" i="2"/>
  <c r="F48" i="2" s="1"/>
  <c r="B17" i="2"/>
  <c r="D17" i="2" s="1"/>
  <c r="D16" i="2"/>
  <c r="B16" i="2"/>
  <c r="B15" i="2"/>
  <c r="D15" i="2" s="1"/>
  <c r="D14" i="2"/>
  <c r="B14" i="2"/>
  <c r="B13" i="2"/>
  <c r="D13" i="2" s="1"/>
  <c r="B12" i="2"/>
  <c r="D12" i="2" s="1"/>
  <c r="D11" i="2"/>
  <c r="B11" i="2"/>
  <c r="B10" i="2"/>
  <c r="D9" i="2"/>
  <c r="B9" i="2"/>
  <c r="B8" i="2"/>
  <c r="D8" i="2" s="1"/>
  <c r="F73" i="2" l="1"/>
  <c r="F60" i="2"/>
  <c r="C52" i="2"/>
  <c r="C57" i="2" s="1"/>
  <c r="D55" i="2"/>
  <c r="D64" i="2"/>
  <c r="D70" i="2" s="1"/>
  <c r="D10" i="2"/>
  <c r="D19" i="2" s="1"/>
  <c r="D27" i="2"/>
  <c r="D24" i="2"/>
  <c r="D37" i="2" s="1"/>
  <c r="D41" i="2"/>
  <c r="D44" i="2" s="1"/>
  <c r="B70" i="2"/>
  <c r="C64" i="2" s="1"/>
  <c r="B19" i="2"/>
  <c r="D35" i="2"/>
  <c r="D54" i="2"/>
  <c r="D57" i="2" s="1"/>
  <c r="D48" i="2" l="1"/>
  <c r="C68" i="2"/>
  <c r="C65" i="2"/>
  <c r="C70" i="2" s="1"/>
  <c r="B48" i="2"/>
  <c r="C67" i="2"/>
  <c r="C66" i="2"/>
  <c r="C33" i="2" l="1"/>
  <c r="B23" i="3"/>
  <c r="B73" i="2"/>
  <c r="B20" i="3" s="1"/>
  <c r="C16" i="2"/>
  <c r="B60" i="2"/>
  <c r="C11" i="2"/>
  <c r="C28" i="2"/>
  <c r="C23" i="2"/>
  <c r="C17" i="2"/>
  <c r="C13" i="2"/>
  <c r="C15" i="2"/>
  <c r="C24" i="2"/>
  <c r="C32" i="2"/>
  <c r="C29" i="2"/>
  <c r="C30" i="2"/>
  <c r="C12" i="2"/>
  <c r="C26" i="2"/>
  <c r="C9" i="2"/>
  <c r="C44" i="2"/>
  <c r="C27" i="2"/>
  <c r="C34" i="2"/>
  <c r="C37" i="2"/>
  <c r="C46" i="2"/>
  <c r="C14" i="2"/>
  <c r="C8" i="2"/>
  <c r="C31" i="2"/>
  <c r="C25" i="2"/>
  <c r="C10" i="2"/>
  <c r="C42" i="2"/>
  <c r="C35" i="2"/>
  <c r="C41" i="2"/>
  <c r="C19" i="2"/>
  <c r="D73" i="2"/>
  <c r="D60" i="2"/>
  <c r="D5" i="4" l="1"/>
  <c r="B22" i="3"/>
  <c r="B21" i="3"/>
  <c r="C48" i="2"/>
  <c r="B25" i="3"/>
  <c r="E5" i="4"/>
  <c r="B24" i="3"/>
  <c r="E6" i="4" l="1"/>
  <c r="E9" i="4" s="1"/>
  <c r="E12" i="4"/>
  <c r="D6" i="4"/>
  <c r="D9" i="4" s="1"/>
  <c r="D12" i="4"/>
  <c r="B7" i="5" l="1"/>
  <c r="B8" i="5" s="1"/>
  <c r="B10" i="5" s="1"/>
  <c r="C23" i="5"/>
  <c r="C30" i="5" s="1"/>
  <c r="B11" i="5" l="1"/>
  <c r="B12" i="5" s="1"/>
  <c r="B13" i="5" s="1"/>
  <c r="B15" i="5"/>
</calcChain>
</file>

<file path=xl/sharedStrings.xml><?xml version="1.0" encoding="utf-8"?>
<sst xmlns="http://schemas.openxmlformats.org/spreadsheetml/2006/main" count="224" uniqueCount="216">
  <si>
    <t>ReadMe sheet summarizing overall information and key cost quantities</t>
  </si>
  <si>
    <t>Metainformation for cost efficiency and effectiveness calculations</t>
  </si>
  <si>
    <t>File name</t>
  </si>
  <si>
    <t>Science: Cost efficiency and effectiveness</t>
  </si>
  <si>
    <t>Date</t>
  </si>
  <si>
    <t>11 Jan 2024</t>
  </si>
  <si>
    <t>Authors</t>
  </si>
  <si>
    <t>MC, MFS, MGF, TG</t>
  </si>
  <si>
    <t>Purpose</t>
  </si>
  <si>
    <t>This document reports all data and calcluations related to cost-efficiency, cost-effectiveness, and scale</t>
  </si>
  <si>
    <t>Summary information</t>
  </si>
  <si>
    <t>This sheet (below) summarizes the key cost quantities that we considered, including an explanation of each indicator and reference to the relevant sheet(s) where it is calculated</t>
  </si>
  <si>
    <t>Base costs</t>
  </si>
  <si>
    <t>All base data were supplied by the three program implementers and appear in the "2.RawCosts" Sheet. The research team verified through examination of raw costs coupled with multiple interviews with each implementer.</t>
  </si>
  <si>
    <t>Inputs and assumptions</t>
  </si>
  <si>
    <t>All relevant inputs and assumptions required for the cost analysis appear in the sheet "3.InputsAssumptions" and are organized by category</t>
  </si>
  <si>
    <t>Estimates</t>
  </si>
  <si>
    <t>Estimates are reported in the "4.EfficiencyEstimates", "5.ScaleEstimates", and "6.EffectivenessEstimates" sheets, pulling in relevant information from the "InputsAssumptions" and "BaseCosts" sheets</t>
  </si>
  <si>
    <t>Summary of key cost quantities reported in the paper and appendix with reference to relevant sheets</t>
  </si>
  <si>
    <t>Categories</t>
  </si>
  <si>
    <t>Indicators</t>
  </si>
  <si>
    <t>Notes</t>
  </si>
  <si>
    <t>1. Cost-efficiency</t>
  </si>
  <si>
    <t xml:space="preserve">Cost-per program beneficiary (CPB) </t>
  </si>
  <si>
    <t>Total program cost per beneficiary household</t>
  </si>
  <si>
    <t>(Sheet: "4.EfficiencyEstimates")</t>
  </si>
  <si>
    <t xml:space="preserve">Cost-transfer ratio (CTR) </t>
  </si>
  <si>
    <t>Total cost to deliver a single dollar (excluding the transferred dollar)</t>
  </si>
  <si>
    <t xml:space="preserve">Total cost-transfer ratio (TCTR) </t>
  </si>
  <si>
    <t>Total cost to deliver a single dollar (including the transferred dollar)</t>
  </si>
  <si>
    <t>2. Scale scenarios</t>
  </si>
  <si>
    <t>Additional individuals served</t>
  </si>
  <si>
    <t xml:space="preserve">Additional individuals served for the four-month lean season reallocating the amount saved from the lower cost of digital delivery </t>
  </si>
  <si>
    <t>(Sheet: "5.ScaleEstimates")</t>
  </si>
  <si>
    <t>3. Cost-effectiveness</t>
  </si>
  <si>
    <t>Cost-effectiveness ratio (CER) for skipped meals</t>
  </si>
  <si>
    <t>Cost per unit of effectiveness (UoE), where UoE is a reduction of a day with skipped meals</t>
  </si>
  <si>
    <t>Base costs provided by implementers and verified by research team through multiple interviews with each implementer</t>
  </si>
  <si>
    <t>Category/Sub</t>
  </si>
  <si>
    <t>Variable costs related to digital aid program</t>
  </si>
  <si>
    <t>Overall raw costs supplied by implementers</t>
  </si>
  <si>
    <t>(USD)</t>
  </si>
  <si>
    <t>% of total</t>
  </si>
  <si>
    <t>Avg costs</t>
  </si>
  <si>
    <t>% to digital aid</t>
  </si>
  <si>
    <t>DigitalPlatform: Distribution</t>
  </si>
  <si>
    <t xml:space="preserve">Personnel </t>
  </si>
  <si>
    <t xml:space="preserve">  -HQ Technology</t>
  </si>
  <si>
    <t xml:space="preserve">  -HQ Systems</t>
  </si>
  <si>
    <t xml:space="preserve">  -HQ Admin</t>
  </si>
  <si>
    <t xml:space="preserve">  -HQ Security</t>
  </si>
  <si>
    <t xml:space="preserve">  -HQ Customer Service</t>
  </si>
  <si>
    <t xml:space="preserve">  -HQ Finance</t>
  </si>
  <si>
    <t xml:space="preserve">  -HQ Facilities</t>
  </si>
  <si>
    <t xml:space="preserve">  -HQ Operations</t>
  </si>
  <si>
    <t xml:space="preserve">  -HQ Transport</t>
  </si>
  <si>
    <t xml:space="preserve">  -Field Staff</t>
  </si>
  <si>
    <t xml:space="preserve">  Subtotal (Personnel)</t>
  </si>
  <si>
    <t>Facilities</t>
  </si>
  <si>
    <t xml:space="preserve">  -HQ Trainings</t>
  </si>
  <si>
    <t xml:space="preserve">  -HQ Generator Fuel</t>
  </si>
  <si>
    <t xml:space="preserve">  -HQ Insurance</t>
  </si>
  <si>
    <t xml:space="preserve">  -HQ Food</t>
  </si>
  <si>
    <t xml:space="preserve">  -HQ Utilities</t>
  </si>
  <si>
    <t xml:space="preserve">  -HQ Indirects</t>
  </si>
  <si>
    <t xml:space="preserve">  -HQ Office Supplies</t>
  </si>
  <si>
    <t xml:space="preserve">  -HQ Office Technology</t>
  </si>
  <si>
    <t xml:space="preserve">  -HQ Office Facilities</t>
  </si>
  <si>
    <t xml:space="preserve">  -HQ Office Rent</t>
  </si>
  <si>
    <t xml:space="preserve">  -HQ Legal/Profess Consult</t>
  </si>
  <si>
    <t xml:space="preserve">  -Field Facilities/Transport</t>
  </si>
  <si>
    <t xml:space="preserve">  Subtotal (Facilities)</t>
  </si>
  <si>
    <t>Outside Technology / Algorand fee</t>
  </si>
  <si>
    <t xml:space="preserve">  -Account creation fee</t>
  </si>
  <si>
    <t xml:space="preserve">  -Transaction fee</t>
  </si>
  <si>
    <t xml:space="preserve">  Subtotal (Outside Technology)</t>
  </si>
  <si>
    <t xml:space="preserve">  Cash transfers</t>
  </si>
  <si>
    <t>Total Distribution</t>
  </si>
  <si>
    <t>CommunityOrganization: Targeting/Onboarding</t>
  </si>
  <si>
    <t>HQ Facility</t>
  </si>
  <si>
    <t>HQ Personnel</t>
  </si>
  <si>
    <t>Recruitment Personnel</t>
  </si>
  <si>
    <t>Recruitment Logistics</t>
  </si>
  <si>
    <t>Total ID / Onboarding</t>
  </si>
  <si>
    <t>Total HesabPay+CDDO costs</t>
  </si>
  <si>
    <t>Int'l NGO: Contracting/Coordinating</t>
  </si>
  <si>
    <t>Personnel</t>
  </si>
  <si>
    <t>Admin</t>
  </si>
  <si>
    <t>Finance</t>
  </si>
  <si>
    <t>Legal/Professional Fees</t>
  </si>
  <si>
    <t>Transfer fees</t>
  </si>
  <si>
    <t>Total contracting/coordination</t>
  </si>
  <si>
    <t>Total DigitalPlatform, CommunityOrganization, and IntlNGO</t>
  </si>
  <si>
    <t>Key Inputs &amp; Assumptions</t>
  </si>
  <si>
    <t>Values</t>
  </si>
  <si>
    <t>Program scope</t>
  </si>
  <si>
    <t>Total participants</t>
  </si>
  <si>
    <t>Total number of households (HH) randomized into the early or late group and included in the study</t>
  </si>
  <si>
    <t>Late Group (Control)</t>
  </si>
  <si>
    <t>Total number of HHs in the late (control) group</t>
  </si>
  <si>
    <t>Early Group (Treated)</t>
  </si>
  <si>
    <t>Total number of HHs in the early (treatment) group</t>
  </si>
  <si>
    <t>Household size</t>
  </si>
  <si>
    <t>Average number of individuals per HH across entire program</t>
  </si>
  <si>
    <t>Distributions</t>
  </si>
  <si>
    <t>Total number of distributions to the HH within each group</t>
  </si>
  <si>
    <t>Amount Transferred</t>
  </si>
  <si>
    <t>Approximate USD amount transferred to the HH in each distribution</t>
  </si>
  <si>
    <t>Approximate overall USD amount distributed</t>
  </si>
  <si>
    <t>Program duration</t>
  </si>
  <si>
    <t>Number of weeks that a HH received bi-weekly distributions</t>
  </si>
  <si>
    <t>Cost Estimates</t>
  </si>
  <si>
    <t>See `BaseCostsAssumptions` for raw costs by category</t>
  </si>
  <si>
    <t>Registration cost</t>
  </si>
  <si>
    <t>Cost to the payments provider to register a single participant (in USD)</t>
  </si>
  <si>
    <t>Distribution cost</t>
  </si>
  <si>
    <t>Transaction cost to the payments provider to make a single distribution (in USD)</t>
  </si>
  <si>
    <t>Fraction of year personnel working on digital aid</t>
  </si>
  <si>
    <t>Fraction of time that employees were assigned to work on this program relative to other responsibilities</t>
  </si>
  <si>
    <t>Total costs (with registration)</t>
  </si>
  <si>
    <t>Total program costs (distributions, administrative, targeting/recruitment)</t>
  </si>
  <si>
    <t>Treated program costs (with registration)</t>
  </si>
  <si>
    <t>Total program costs for early (treated) group</t>
  </si>
  <si>
    <t>Control program costs (with registration)</t>
  </si>
  <si>
    <t>Total program costs for late (control) group</t>
  </si>
  <si>
    <t>Total costs (without registration)</t>
  </si>
  <si>
    <t>Program costs excluding targeting/recruitment</t>
  </si>
  <si>
    <t>Treated program costs (without registration)</t>
  </si>
  <si>
    <t>Program costs excluding targeting/recruitment for early (treated) group</t>
  </si>
  <si>
    <t>Control program costs (without registration)</t>
  </si>
  <si>
    <t>Program costs excluding targeting/recruitment for late (control) group</t>
  </si>
  <si>
    <t>Coefficients for "Days skipping meals (past week)" for cost-effectiveness calculations</t>
  </si>
  <si>
    <t>Period</t>
  </si>
  <si>
    <t>Treatment</t>
  </si>
  <si>
    <t>Control</t>
  </si>
  <si>
    <t>Difference</t>
  </si>
  <si>
    <t>Weeks 1-8</t>
  </si>
  <si>
    <t>Means and difference based on all eight weeks of the program</t>
  </si>
  <si>
    <t>Weeks 5-8</t>
  </si>
  <si>
    <t>Means and difference based only on the last four weeks of the program</t>
  </si>
  <si>
    <t>Week 8</t>
  </si>
  <si>
    <t>Means and difference based only on the final week of the program</t>
  </si>
  <si>
    <t>Assumptions</t>
  </si>
  <si>
    <t>Proportion of daily meals skipped</t>
  </si>
  <si>
    <t>In reporting a day without meals, the proportion assumed to be skipped in a day by a HH (range: 0 to 1)</t>
  </si>
  <si>
    <t>Proportion of HH skipping meals</t>
  </si>
  <si>
    <t>In reporting a day without meals, the propotion of the overall HH assumed to skip meals (range: 0 to 1)</t>
  </si>
  <si>
    <t>Possible days in control group</t>
  </si>
  <si>
    <t>Total possible days for computing reductions in days and foregone calories (control)</t>
  </si>
  <si>
    <t>Possible days in treatment group</t>
  </si>
  <si>
    <t>Total possible days for computing reductions in days and foregone calories (treatment)</t>
  </si>
  <si>
    <t>Calories, person, day</t>
  </si>
  <si>
    <t>The number of calories consumed per person per day (Afghanistan Cash &amp; Voucher Working Group [CVWG])</t>
  </si>
  <si>
    <t>Calories, household, day</t>
  </si>
  <si>
    <t>The total number of calories per day for each HH with 6.31 per HH on average in our sample</t>
  </si>
  <si>
    <t>Calories, household, week</t>
  </si>
  <si>
    <t>The total number of calories per HH per week</t>
  </si>
  <si>
    <t>Possible foregone calories for control group</t>
  </si>
  <si>
    <t>The total number of possible foregone calories for eight weeks for the late (control) group</t>
  </si>
  <si>
    <t>Possible foregone calories for treatment group</t>
  </si>
  <si>
    <t>The total number of possible foregone calories for eight weeks for the early (treatment) group</t>
  </si>
  <si>
    <t>Other relevant inputs</t>
  </si>
  <si>
    <t>World Food Programme cost-transfer ratio (CTR) global average</t>
  </si>
  <si>
    <t>Total cost to deliver a single dollar (excluding the transferred dollar) for the World Food Programme (global average)</t>
  </si>
  <si>
    <t>World Food Programme cost-transfer ratio (TCTR) global average</t>
  </si>
  <si>
    <t>Total cost to deliver a single dollar (including the transferred dollar) for the World Food Programme (global average)</t>
  </si>
  <si>
    <t>World Food Programme cash humanitarian assistance (2022)</t>
  </si>
  <si>
    <t>Total USD of WFP cash-based humanitarian assistance to Afghanistan in 2022</t>
  </si>
  <si>
    <t>World Food Programme food security humanitarian aid (2022)</t>
  </si>
  <si>
    <t>Total USD-equivalent of WFP food security humanitarian assistance to Afghanistan in 2022</t>
  </si>
  <si>
    <t>Share of Aghans living in cities</t>
  </si>
  <si>
    <t>Approximate proportion of Afghans living in cities</t>
  </si>
  <si>
    <t>Average household (HH) size</t>
  </si>
  <si>
    <t>Afghanistan CVWG assumption about the average number of individuals in an Afghan HH</t>
  </si>
  <si>
    <t>Tarek</t>
  </si>
  <si>
    <t>Minimum food basket cost for a HH</t>
  </si>
  <si>
    <t>The USD cost of a minimum food basket in August 2022 (e.g. excluding other recurrent needs categories; see CVWG Table 6)</t>
  </si>
  <si>
    <t>Number of months in the lean season</t>
  </si>
  <si>
    <t>The approximate length of the lean seasons in months</t>
  </si>
  <si>
    <t>Cost-efficiency estimates with and without registration</t>
  </si>
  <si>
    <t>Summary</t>
  </si>
  <si>
    <t>With registration</t>
  </si>
  <si>
    <t>Without registration</t>
  </si>
  <si>
    <t>Cost per beneficiary (CPB)</t>
  </si>
  <si>
    <t>CPB (household), including transfer value</t>
  </si>
  <si>
    <t>CPB (household), excluding transfer value</t>
  </si>
  <si>
    <t>Cost-transfer ratio (CTR)</t>
  </si>
  <si>
    <t>Cost to transfer 1 dollar, excluding the dollar transferred</t>
  </si>
  <si>
    <t>Total cost-transfer ratio (TCTR)</t>
  </si>
  <si>
    <t>Cost to transfer 1 dollar, including the dollar transferred</t>
  </si>
  <si>
    <t>Calculation of scale scenarios</t>
  </si>
  <si>
    <t>Benefits at scale (conservative)</t>
  </si>
  <si>
    <t>Estimate</t>
  </si>
  <si>
    <t>Total WFP transfers</t>
  </si>
  <si>
    <t>Amount of cash payments (excluding delivery)</t>
  </si>
  <si>
    <t xml:space="preserve">Estimate of the transfer portion </t>
  </si>
  <si>
    <t>WFP delivery costs</t>
  </si>
  <si>
    <t>Estimate of WFP delivery cost portion</t>
  </si>
  <si>
    <t>Our delivery costs</t>
  </si>
  <si>
    <t>Estimate of our delivery costs for the transfer portion</t>
  </si>
  <si>
    <t>Our savings</t>
  </si>
  <si>
    <t>The difference in delivery costs that could then be transferred to more households/individuals digitally</t>
  </si>
  <si>
    <t>Cash payments we can send w/these savings (excluding delivery)</t>
  </si>
  <si>
    <t>The portion of the savings that could be given in transfers (subtracting out our delivery costs)</t>
  </si>
  <si>
    <t>Additional household months covered</t>
  </si>
  <si>
    <t>At estimated household meal basket value (96 USD), additional months that could be covered</t>
  </si>
  <si>
    <t>Lean season (4 months) households served</t>
  </si>
  <si>
    <t>The number of households that can be served for all four months of the lean season</t>
  </si>
  <si>
    <t>Additional Individuals served for the four-month lean season</t>
  </si>
  <si>
    <t>The number of individuals that can be served given average household size</t>
  </si>
  <si>
    <t>Percentage point difference in savings between WFP and digital</t>
  </si>
  <si>
    <t>Savings amount varying our and WFP costs of delivery by 1 cent per dollar lower and higher</t>
  </si>
  <si>
    <t>WFP TCTR</t>
  </si>
  <si>
    <t>Digital aid TCTR</t>
  </si>
  <si>
    <t>Additional individuals served varying our and WFP costs of delivery by 1 cent per dollar lower and higher</t>
  </si>
  <si>
    <t>Cash estimate sourced from WFP: https://unwfp.maps.arcgis.com/apps/dashboards/5e403a8944104b328117c67ae4afa11e accessed 11 Jan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</si>
</sst>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0.00000"/>
    <numFmt numFmtId="167" formatCode="&quot;$&quot;#,##0.00"/>
    <numFmt numFmtId="168" formatCode="0.000"/>
  </numFmts>
  <fonts count="19">
    <font>
      <sz val="10"/>
      <color rgb="FF000000"/>
      <name val="Arial"/>
      <scheme val="minor"/>
    </font>
    <font>
      <b/>
      <sz val="10"/>
      <color theme="1"/>
      <name val="Arial"/>
      <family val="2"/>
      <scheme val="minor"/>
    </font>
    <font>
      <sz val="10"/>
      <color theme="1"/>
      <name val="Arial"/>
      <family val="2"/>
      <scheme val="minor"/>
    </font>
    <font>
      <i/>
      <sz val="10"/>
      <color theme="1"/>
      <name val="Arial"/>
      <family val="2"/>
      <scheme val="minor"/>
    </font>
    <font>
      <sz val="10"/>
      <color theme="1"/>
      <name val="Arial"/>
      <family val="2"/>
    </font>
    <font>
      <sz val="10"/>
      <color rgb="FF1F1F1F"/>
      <name val="Arial"/>
      <family val="2"/>
    </font>
    <font>
      <b/>
      <sz val="10"/>
      <color theme="1"/>
      <name val="Arial"/>
      <family val="2"/>
      <scheme val="minor"/>
    </font>
    <font>
      <sz val="10"/>
      <color theme="1"/>
      <name val="Arial"/>
      <family val="2"/>
      <scheme val="minor"/>
    </font>
    <font>
      <b/>
      <i/>
      <sz val="10"/>
      <color theme="1"/>
      <name val="Arial"/>
      <family val="2"/>
      <scheme val="minor"/>
    </font>
    <font>
      <i/>
      <sz val="10"/>
      <color theme="1"/>
      <name val="Arial"/>
      <family val="2"/>
      <scheme val="minor"/>
    </font>
    <font>
      <sz val="10"/>
      <color rgb="FF222222"/>
      <name val="Arial"/>
      <family val="2"/>
    </font>
    <font>
      <i/>
      <sz val="10"/>
      <color theme="1"/>
      <name val="Arial"/>
      <family val="2"/>
    </font>
    <font>
      <b/>
      <sz val="10"/>
      <color theme="1"/>
      <name val="Arial"/>
      <family val="2"/>
    </font>
    <font>
      <sz val="9"/>
      <color rgb="FF000000"/>
      <name val="&quot;Google Sans Mono&quot;"/>
    </font>
    <font>
      <sz val="10"/>
      <color rgb="FF000000"/>
      <name val="Arial"/>
      <family val="2"/>
    </font>
    <font>
      <sz val="11"/>
      <color rgb="FF222222"/>
      <name val="Calibri"/>
      <family val="2"/>
    </font>
    <font>
      <i/>
      <sz val="10"/>
      <color theme="1"/>
      <name val="Arial"/>
      <family val="2"/>
    </font>
    <font>
      <sz val="12"/>
      <color rgb="FF000000"/>
      <name val="Calibri"/>
      <family val="2"/>
    </font>
    <font>
      <u/>
      <sz val="11"/>
      <color rgb="FF222222"/>
      <name val="Calibri"/>
      <family val="2"/>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D9D9D9"/>
        <bgColor rgb="FFD9D9D9"/>
      </patternFill>
    </fill>
    <fill>
      <patternFill patternType="solid">
        <fgColor rgb="FF93C47D"/>
        <bgColor rgb="FF93C47D"/>
      </patternFill>
    </fill>
  </fills>
  <borders count="1">
    <border>
      <left/>
      <right/>
      <top/>
      <bottom/>
      <diagonal/>
    </border>
  </borders>
  <cellStyleXfs count="1">
    <xf numFmtId="0" fontId="0" fillId="0" borderId="0"/>
  </cellStyleXfs>
  <cellXfs count="61">
    <xf numFmtId="0" fontId="0" fillId="0" borderId="0" xfId="0"/>
    <xf numFmtId="0" fontId="1" fillId="2" borderId="0" xfId="0" applyFont="1" applyFill="1"/>
    <xf numFmtId="0" fontId="2" fillId="2" borderId="0" xfId="0" applyFont="1" applyFill="1"/>
    <xf numFmtId="0" fontId="1" fillId="0" borderId="0" xfId="0" applyFont="1"/>
    <xf numFmtId="0" fontId="2" fillId="0" borderId="0" xfId="0" applyFont="1"/>
    <xf numFmtId="49" fontId="2" fillId="0" borderId="0" xfId="0" applyNumberFormat="1" applyFont="1"/>
    <xf numFmtId="0" fontId="3" fillId="0" borderId="0" xfId="0" applyFont="1"/>
    <xf numFmtId="0" fontId="4" fillId="0" borderId="0" xfId="0" applyFont="1"/>
    <xf numFmtId="0" fontId="5" fillId="3" borderId="0" xfId="0" applyFont="1" applyFill="1"/>
    <xf numFmtId="0" fontId="6" fillId="2" borderId="0" xfId="0" applyFont="1" applyFill="1"/>
    <xf numFmtId="0" fontId="7" fillId="2" borderId="0" xfId="0" applyFont="1" applyFill="1"/>
    <xf numFmtId="0" fontId="7" fillId="0" borderId="0" xfId="0" applyFont="1"/>
    <xf numFmtId="0" fontId="6" fillId="0" borderId="0" xfId="0" applyFont="1"/>
    <xf numFmtId="0" fontId="6" fillId="0" borderId="0" xfId="0" applyFont="1" applyAlignment="1">
      <alignment horizontal="left"/>
    </xf>
    <xf numFmtId="0" fontId="6" fillId="4" borderId="0" xfId="0" applyFont="1" applyFill="1"/>
    <xf numFmtId="0" fontId="6" fillId="4" borderId="0" xfId="0" applyFont="1" applyFill="1" applyAlignment="1">
      <alignment horizontal="left"/>
    </xf>
    <xf numFmtId="0" fontId="2" fillId="4" borderId="0" xfId="0" applyFont="1" applyFill="1"/>
    <xf numFmtId="0" fontId="8" fillId="4" borderId="0" xfId="0" applyFont="1" applyFill="1"/>
    <xf numFmtId="0" fontId="7" fillId="4" borderId="0" xfId="0" applyFont="1" applyFill="1"/>
    <xf numFmtId="0" fontId="9" fillId="0" borderId="0" xfId="0" applyFont="1"/>
    <xf numFmtId="164" fontId="7" fillId="0" borderId="0" xfId="0" applyNumberFormat="1" applyFont="1"/>
    <xf numFmtId="4" fontId="7" fillId="0" borderId="0" xfId="0" applyNumberFormat="1" applyFont="1" applyAlignment="1">
      <alignment horizontal="right"/>
    </xf>
    <xf numFmtId="165" fontId="7" fillId="0" borderId="0" xfId="0" applyNumberFormat="1" applyFont="1"/>
    <xf numFmtId="166" fontId="7" fillId="0" borderId="0" xfId="0" applyNumberFormat="1" applyFont="1"/>
    <xf numFmtId="164" fontId="0" fillId="0" borderId="0" xfId="0" applyNumberFormat="1"/>
    <xf numFmtId="2" fontId="7" fillId="0" borderId="0" xfId="0" applyNumberFormat="1" applyFont="1"/>
    <xf numFmtId="0" fontId="10" fillId="0" borderId="0" xfId="0" applyFont="1"/>
    <xf numFmtId="4" fontId="7" fillId="0" borderId="0" xfId="0" applyNumberFormat="1" applyFont="1"/>
    <xf numFmtId="1" fontId="7" fillId="0" borderId="0" xfId="0" applyNumberFormat="1" applyFont="1"/>
    <xf numFmtId="9" fontId="7" fillId="0" borderId="0" xfId="0" applyNumberFormat="1" applyFont="1"/>
    <xf numFmtId="164" fontId="4" fillId="0" borderId="0" xfId="0" applyNumberFormat="1" applyFont="1" applyAlignment="1">
      <alignment horizontal="right"/>
    </xf>
    <xf numFmtId="0" fontId="9" fillId="4" borderId="0" xfId="0" applyFont="1" applyFill="1"/>
    <xf numFmtId="0" fontId="11" fillId="0" borderId="0" xfId="0" applyFont="1"/>
    <xf numFmtId="10" fontId="7" fillId="0" borderId="0" xfId="0" applyNumberFormat="1" applyFont="1"/>
    <xf numFmtId="0" fontId="8" fillId="0" borderId="0" xfId="0" applyFont="1"/>
    <xf numFmtId="164" fontId="7" fillId="4" borderId="0" xfId="0" applyNumberFormat="1" applyFont="1" applyFill="1"/>
    <xf numFmtId="2" fontId="7" fillId="4" borderId="0" xfId="0" applyNumberFormat="1" applyFont="1" applyFill="1"/>
    <xf numFmtId="0" fontId="4" fillId="0" borderId="0" xfId="0" applyFont="1" applyAlignment="1">
      <alignment horizontal="right"/>
    </xf>
    <xf numFmtId="0" fontId="12" fillId="0" borderId="0" xfId="0" applyFont="1"/>
    <xf numFmtId="0" fontId="12" fillId="0" borderId="0" xfId="0" applyFont="1" applyAlignment="1">
      <alignment horizontal="right"/>
    </xf>
    <xf numFmtId="167" fontId="13" fillId="3" borderId="0" xfId="0" applyNumberFormat="1" applyFont="1" applyFill="1"/>
    <xf numFmtId="167" fontId="14" fillId="3" borderId="0" xfId="0" applyNumberFormat="1" applyFont="1" applyFill="1"/>
    <xf numFmtId="167" fontId="4" fillId="0" borderId="0" xfId="0" applyNumberFormat="1" applyFont="1" applyAlignment="1">
      <alignment horizontal="right"/>
    </xf>
    <xf numFmtId="0" fontId="15" fillId="0" borderId="0" xfId="0" applyFont="1" applyAlignment="1">
      <alignment horizontal="left"/>
    </xf>
    <xf numFmtId="0" fontId="16" fillId="0" borderId="0" xfId="0" applyFont="1" applyAlignment="1">
      <alignment horizontal="left"/>
    </xf>
    <xf numFmtId="0" fontId="16" fillId="0" borderId="0" xfId="0" applyFont="1"/>
    <xf numFmtId="2" fontId="2" fillId="0" borderId="0" xfId="0" applyNumberFormat="1" applyFont="1"/>
    <xf numFmtId="168" fontId="2" fillId="0" borderId="0" xfId="0" applyNumberFormat="1" applyFont="1"/>
    <xf numFmtId="4" fontId="2" fillId="0" borderId="0" xfId="0" applyNumberFormat="1" applyFont="1"/>
    <xf numFmtId="3" fontId="2" fillId="0" borderId="0" xfId="0" applyNumberFormat="1" applyFont="1"/>
    <xf numFmtId="0" fontId="7" fillId="3" borderId="0" xfId="0" applyFont="1" applyFill="1"/>
    <xf numFmtId="0" fontId="2" fillId="5" borderId="0" xfId="0" applyFont="1" applyFill="1"/>
    <xf numFmtId="0" fontId="7" fillId="5" borderId="0" xfId="0" applyFont="1" applyFill="1"/>
    <xf numFmtId="0" fontId="1" fillId="0" borderId="0" xfId="0" applyFont="1" applyAlignment="1">
      <alignment horizontal="center"/>
    </xf>
    <xf numFmtId="0" fontId="3" fillId="0" borderId="0" xfId="0" applyFont="1" applyAlignment="1">
      <alignment horizontal="left"/>
    </xf>
    <xf numFmtId="0" fontId="13" fillId="0" borderId="0" xfId="0" applyFont="1"/>
    <xf numFmtId="0" fontId="13" fillId="5" borderId="0" xfId="0" applyFont="1" applyFill="1"/>
    <xf numFmtId="0" fontId="13" fillId="3" borderId="0" xfId="0" applyFont="1" applyFill="1"/>
    <xf numFmtId="0" fontId="17" fillId="0" borderId="0" xfId="0" applyFont="1"/>
    <xf numFmtId="4" fontId="17" fillId="0" borderId="0" xfId="0" applyNumberFormat="1" applyFont="1"/>
    <xf numFmtId="0" fontId="1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62"/>
  <sheetViews>
    <sheetView tabSelected="1" workbookViewId="0">
      <selection activeCell="C25" sqref="C25"/>
    </sheetView>
  </sheetViews>
  <sheetFormatPr baseColWidth="10" defaultColWidth="12.6640625" defaultRowHeight="15.75" customHeight="1"/>
  <cols>
    <col min="1" max="1" width="27.1640625" customWidth="1"/>
    <col min="2" max="2" width="55.1640625" customWidth="1"/>
  </cols>
  <sheetData>
    <row r="1" spans="1:12" ht="15.75" customHeight="1">
      <c r="A1" s="1" t="s">
        <v>0</v>
      </c>
      <c r="B1" s="2"/>
      <c r="C1" s="2"/>
      <c r="D1" s="2"/>
      <c r="E1" s="2"/>
      <c r="F1" s="2"/>
      <c r="G1" s="2"/>
      <c r="H1" s="2"/>
      <c r="I1" s="2"/>
      <c r="J1" s="2"/>
      <c r="K1" s="2"/>
      <c r="L1" s="2"/>
    </row>
    <row r="2" spans="1:12" ht="15.75" customHeight="1">
      <c r="A2" s="3"/>
      <c r="B2" s="4"/>
    </row>
    <row r="3" spans="1:12" ht="15.75" customHeight="1">
      <c r="A3" s="3" t="s">
        <v>1</v>
      </c>
      <c r="B3" s="4"/>
    </row>
    <row r="4" spans="1:12" ht="15.75" customHeight="1">
      <c r="A4" s="4" t="s">
        <v>2</v>
      </c>
      <c r="B4" s="4" t="s">
        <v>3</v>
      </c>
    </row>
    <row r="5" spans="1:12" ht="15.75" customHeight="1">
      <c r="A5" s="4" t="s">
        <v>4</v>
      </c>
      <c r="B5" s="5" t="s">
        <v>5</v>
      </c>
    </row>
    <row r="6" spans="1:12" ht="15.75" customHeight="1">
      <c r="A6" s="4" t="s">
        <v>6</v>
      </c>
      <c r="B6" s="4" t="s">
        <v>7</v>
      </c>
    </row>
    <row r="7" spans="1:12" ht="15.75" customHeight="1">
      <c r="A7" s="4" t="s">
        <v>8</v>
      </c>
      <c r="B7" s="4" t="s">
        <v>9</v>
      </c>
    </row>
    <row r="8" spans="1:12" ht="15.75" customHeight="1">
      <c r="A8" s="4" t="s">
        <v>10</v>
      </c>
      <c r="B8" s="4" t="s">
        <v>11</v>
      </c>
    </row>
    <row r="9" spans="1:12" ht="15.75" customHeight="1">
      <c r="A9" s="4" t="s">
        <v>12</v>
      </c>
      <c r="B9" s="4" t="s">
        <v>13</v>
      </c>
    </row>
    <row r="10" spans="1:12" ht="15.75" customHeight="1">
      <c r="A10" s="4" t="s">
        <v>14</v>
      </c>
      <c r="B10" s="4" t="s">
        <v>15</v>
      </c>
    </row>
    <row r="11" spans="1:12" ht="15.75" customHeight="1">
      <c r="A11" s="4" t="s">
        <v>16</v>
      </c>
      <c r="B11" s="4" t="s">
        <v>17</v>
      </c>
    </row>
    <row r="14" spans="1:12" ht="15.75" customHeight="1">
      <c r="A14" s="3" t="s">
        <v>18</v>
      </c>
    </row>
    <row r="15" spans="1:12" ht="15.75" customHeight="1">
      <c r="A15" s="3" t="s">
        <v>19</v>
      </c>
      <c r="B15" s="3" t="s">
        <v>20</v>
      </c>
      <c r="C15" s="3" t="s">
        <v>21</v>
      </c>
      <c r="F15" s="3"/>
      <c r="G15" s="3"/>
      <c r="I15" s="3"/>
    </row>
    <row r="16" spans="1:12" ht="15.75" customHeight="1">
      <c r="A16" s="6" t="s">
        <v>22</v>
      </c>
      <c r="B16" s="4" t="s">
        <v>23</v>
      </c>
      <c r="C16" s="4" t="s">
        <v>24</v>
      </c>
    </row>
    <row r="17" spans="1:3" ht="15.75" customHeight="1">
      <c r="A17" s="4" t="s">
        <v>25</v>
      </c>
      <c r="B17" s="4" t="s">
        <v>26</v>
      </c>
      <c r="C17" s="4" t="s">
        <v>27</v>
      </c>
    </row>
    <row r="18" spans="1:3" ht="15.75" customHeight="1">
      <c r="B18" s="4" t="s">
        <v>28</v>
      </c>
      <c r="C18" s="4" t="s">
        <v>29</v>
      </c>
    </row>
    <row r="20" spans="1:3" ht="15.75" customHeight="1">
      <c r="A20" s="6" t="s">
        <v>30</v>
      </c>
      <c r="B20" s="4" t="s">
        <v>31</v>
      </c>
      <c r="C20" s="4" t="s">
        <v>32</v>
      </c>
    </row>
    <row r="21" spans="1:3" ht="15.75" customHeight="1">
      <c r="A21" s="4" t="s">
        <v>33</v>
      </c>
      <c r="C21" s="4"/>
    </row>
    <row r="22" spans="1:3" ht="15.75" customHeight="1">
      <c r="A22" s="4"/>
    </row>
    <row r="23" spans="1:3" ht="15.75" customHeight="1">
      <c r="A23" s="6" t="s">
        <v>34</v>
      </c>
      <c r="B23" s="4" t="s">
        <v>35</v>
      </c>
      <c r="C23" s="7" t="s">
        <v>36</v>
      </c>
    </row>
    <row r="24" spans="1:3" ht="15.75" customHeight="1">
      <c r="A24" s="4"/>
      <c r="B24" s="4"/>
      <c r="C24" s="8"/>
    </row>
    <row r="32" spans="1:3" ht="15.75" customHeight="1">
      <c r="A32" s="3"/>
    </row>
    <row r="38" spans="1:3" ht="15.75" customHeight="1">
      <c r="A38" s="4"/>
    </row>
    <row r="41" spans="1:3" ht="15.75" customHeight="1">
      <c r="A41" s="3"/>
      <c r="B41" s="3"/>
      <c r="C41" s="3"/>
    </row>
    <row r="42" spans="1:3" ht="15.75" customHeight="1">
      <c r="A42" s="3"/>
      <c r="B42" s="3"/>
      <c r="C42" s="3"/>
    </row>
    <row r="44" spans="1:3" ht="15.75" customHeight="1">
      <c r="A44" s="3"/>
    </row>
    <row r="53" spans="1:1" ht="13">
      <c r="A53" s="3"/>
    </row>
    <row r="58" spans="1:1" ht="13">
      <c r="A58" s="3"/>
    </row>
    <row r="62" spans="1:1" ht="13">
      <c r="A6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33"/>
  <sheetViews>
    <sheetView workbookViewId="0">
      <pane ySplit="5" topLeftCell="A6" activePane="bottomLeft" state="frozen"/>
      <selection pane="bottomLeft" activeCell="B7" sqref="B7"/>
    </sheetView>
  </sheetViews>
  <sheetFormatPr baseColWidth="10" defaultColWidth="12.6640625" defaultRowHeight="15.75" customHeight="1"/>
  <cols>
    <col min="1" max="1" width="22.33203125" customWidth="1"/>
    <col min="2" max="2" width="14.1640625" customWidth="1"/>
    <col min="3" max="3" width="14.33203125" customWidth="1"/>
    <col min="5" max="5" width="19.5" customWidth="1"/>
    <col min="6" max="6" width="20.6640625" customWidth="1"/>
    <col min="7" max="7" width="15.33203125" customWidth="1"/>
  </cols>
  <sheetData>
    <row r="1" spans="1:16" ht="15.75" customHeight="1">
      <c r="A1" s="9" t="s">
        <v>37</v>
      </c>
      <c r="B1" s="9"/>
      <c r="C1" s="9"/>
      <c r="D1" s="9"/>
      <c r="E1" s="10"/>
      <c r="F1" s="10"/>
      <c r="G1" s="10"/>
      <c r="H1" s="10"/>
      <c r="I1" s="10"/>
      <c r="J1" s="10"/>
      <c r="K1" s="10"/>
      <c r="L1" s="10"/>
      <c r="M1" s="11"/>
      <c r="N1" s="11"/>
      <c r="O1" s="7"/>
      <c r="P1" s="7"/>
    </row>
    <row r="2" spans="1:16" ht="15.75" customHeight="1">
      <c r="A2" s="12"/>
      <c r="B2" s="13"/>
      <c r="D2" s="12"/>
      <c r="E2" s="11"/>
      <c r="F2" s="12"/>
      <c r="G2" s="12"/>
      <c r="H2" s="12"/>
      <c r="I2" s="11"/>
      <c r="J2" s="11"/>
      <c r="K2" s="11"/>
      <c r="L2" s="11"/>
      <c r="M2" s="11"/>
      <c r="N2" s="11"/>
      <c r="O2" s="7"/>
      <c r="P2" s="7"/>
    </row>
    <row r="3" spans="1:16" ht="15.75" customHeight="1">
      <c r="A3" s="14" t="s">
        <v>38</v>
      </c>
      <c r="B3" s="15" t="s">
        <v>39</v>
      </c>
      <c r="C3" s="16"/>
      <c r="D3" s="14"/>
      <c r="E3" s="11"/>
      <c r="F3" s="14" t="s">
        <v>40</v>
      </c>
      <c r="G3" s="14"/>
      <c r="H3" s="12"/>
      <c r="I3" s="11"/>
      <c r="J3" s="11"/>
      <c r="K3" s="11"/>
      <c r="L3" s="11"/>
      <c r="M3" s="11"/>
      <c r="N3" s="11"/>
      <c r="O3" s="7"/>
      <c r="P3" s="7"/>
    </row>
    <row r="4" spans="1:16" ht="15.75" customHeight="1">
      <c r="B4" s="11" t="s">
        <v>41</v>
      </c>
      <c r="C4" s="11" t="s">
        <v>42</v>
      </c>
      <c r="D4" s="11" t="s">
        <v>43</v>
      </c>
      <c r="E4" s="11"/>
      <c r="F4" s="11" t="s">
        <v>41</v>
      </c>
      <c r="G4" s="11" t="s">
        <v>44</v>
      </c>
      <c r="H4" s="11"/>
      <c r="I4" s="11"/>
      <c r="J4" s="11"/>
      <c r="K4" s="11"/>
      <c r="L4" s="11"/>
      <c r="M4" s="11"/>
      <c r="N4" s="11"/>
      <c r="O4" s="7"/>
      <c r="P4" s="7"/>
    </row>
    <row r="5" spans="1:16" ht="15.75" customHeight="1">
      <c r="A5" s="11"/>
      <c r="B5" s="11"/>
      <c r="C5" s="11"/>
      <c r="D5" s="11"/>
      <c r="E5" s="11"/>
      <c r="F5" s="11"/>
      <c r="G5" s="11"/>
      <c r="H5" s="11"/>
      <c r="I5" s="11"/>
      <c r="J5" s="11"/>
      <c r="K5" s="11"/>
      <c r="L5" s="11"/>
      <c r="M5" s="11"/>
      <c r="N5" s="11"/>
      <c r="O5" s="7"/>
      <c r="P5" s="7"/>
    </row>
    <row r="6" spans="1:16" ht="15.75" customHeight="1">
      <c r="A6" s="17" t="s">
        <v>45</v>
      </c>
      <c r="B6" s="18"/>
      <c r="C6" s="18"/>
      <c r="D6" s="18"/>
      <c r="E6" s="18"/>
      <c r="F6" s="18"/>
      <c r="G6" s="18"/>
      <c r="H6" s="18"/>
      <c r="I6" s="18"/>
      <c r="J6" s="18"/>
      <c r="K6" s="18"/>
      <c r="L6" s="18"/>
      <c r="M6" s="11"/>
      <c r="N6" s="11"/>
      <c r="O6" s="7"/>
      <c r="P6" s="7"/>
    </row>
    <row r="7" spans="1:16" ht="15.75" customHeight="1">
      <c r="A7" s="19" t="s">
        <v>46</v>
      </c>
      <c r="B7" s="11"/>
      <c r="C7" s="11"/>
      <c r="D7" s="11"/>
      <c r="E7" s="11"/>
      <c r="F7" s="11"/>
      <c r="G7" s="11"/>
      <c r="H7" s="11"/>
      <c r="I7" s="11"/>
      <c r="J7" s="11"/>
      <c r="K7" s="11"/>
      <c r="L7" s="11"/>
      <c r="M7" s="11"/>
      <c r="N7" s="11"/>
      <c r="O7" s="7"/>
      <c r="P7" s="7"/>
    </row>
    <row r="8" spans="1:16" ht="15.75" customHeight="1">
      <c r="A8" s="11" t="s">
        <v>47</v>
      </c>
      <c r="B8" s="20">
        <f>((F8*G8)*'3.InputsAssumptions'!B$19)</f>
        <v>0</v>
      </c>
      <c r="C8" s="20">
        <f t="shared" ref="C8:C17" si="0">(B8/B$48)*100</f>
        <v>0</v>
      </c>
      <c r="D8" s="20">
        <f>B8/'3.InputsAssumptions'!B$5</f>
        <v>0</v>
      </c>
      <c r="E8" s="11"/>
      <c r="F8" s="21">
        <v>86282.4</v>
      </c>
      <c r="G8" s="22">
        <v>0</v>
      </c>
      <c r="H8" s="11"/>
      <c r="I8" s="11"/>
      <c r="J8" s="11"/>
      <c r="K8" s="23"/>
      <c r="L8" s="23"/>
      <c r="M8" s="11"/>
      <c r="N8" s="24"/>
      <c r="O8" s="7"/>
      <c r="P8" s="7"/>
    </row>
    <row r="9" spans="1:16" ht="15.75" customHeight="1">
      <c r="A9" s="11" t="s">
        <v>48</v>
      </c>
      <c r="B9" s="20">
        <f>((F9*G9)*'3.InputsAssumptions'!B$19)</f>
        <v>0</v>
      </c>
      <c r="C9" s="20">
        <f t="shared" si="0"/>
        <v>0</v>
      </c>
      <c r="D9" s="20">
        <f>B9/'3.InputsAssumptions'!B$5</f>
        <v>0</v>
      </c>
      <c r="E9" s="11"/>
      <c r="F9" s="21">
        <v>73294.320000000007</v>
      </c>
      <c r="G9" s="22">
        <v>0</v>
      </c>
      <c r="H9" s="11"/>
      <c r="I9" s="11"/>
      <c r="J9" s="11"/>
      <c r="K9" s="23"/>
      <c r="L9" s="23"/>
      <c r="M9" s="11"/>
      <c r="N9" s="24"/>
      <c r="O9" s="7"/>
      <c r="P9" s="7"/>
    </row>
    <row r="10" spans="1:16" ht="15.75" customHeight="1">
      <c r="A10" s="11" t="s">
        <v>49</v>
      </c>
      <c r="B10" s="20">
        <f>((F10*G10)*'3.InputsAssumptions'!B$19)</f>
        <v>1824.216768</v>
      </c>
      <c r="C10" s="20">
        <f t="shared" si="0"/>
        <v>0.41506717578719199</v>
      </c>
      <c r="D10" s="20">
        <f>B10/'3.InputsAssumptions'!B$5</f>
        <v>0.75725063013698635</v>
      </c>
      <c r="E10" s="11"/>
      <c r="F10" s="21">
        <v>69099.12</v>
      </c>
      <c r="G10" s="22">
        <v>0.08</v>
      </c>
      <c r="H10" s="11"/>
      <c r="I10" s="11"/>
      <c r="J10" s="11"/>
      <c r="K10" s="23"/>
      <c r="L10" s="23"/>
      <c r="M10" s="11"/>
      <c r="N10" s="24"/>
      <c r="O10" s="7"/>
      <c r="P10" s="7"/>
    </row>
    <row r="11" spans="1:16" ht="15.75" customHeight="1">
      <c r="A11" s="11" t="s">
        <v>50</v>
      </c>
      <c r="B11" s="20">
        <f>((F11*G11)*'3.InputsAssumptions'!B$19)</f>
        <v>0</v>
      </c>
      <c r="C11" s="20">
        <f t="shared" si="0"/>
        <v>0</v>
      </c>
      <c r="D11" s="20">
        <f>B11/'3.InputsAssumptions'!B$5</f>
        <v>0</v>
      </c>
      <c r="E11" s="11"/>
      <c r="F11" s="21">
        <v>60800.28</v>
      </c>
      <c r="G11" s="22">
        <v>0</v>
      </c>
      <c r="H11" s="11"/>
      <c r="I11" s="11"/>
      <c r="J11" s="11"/>
      <c r="K11" s="23"/>
      <c r="L11" s="23"/>
      <c r="M11" s="11"/>
      <c r="N11" s="24"/>
      <c r="O11" s="7"/>
      <c r="P11" s="7"/>
    </row>
    <row r="12" spans="1:16" ht="15.75" customHeight="1">
      <c r="A12" s="11" t="s">
        <v>51</v>
      </c>
      <c r="B12" s="20">
        <f>((F12*G12)*'3.InputsAssumptions'!B$19)</f>
        <v>514.60595999999998</v>
      </c>
      <c r="C12" s="20">
        <f t="shared" si="0"/>
        <v>0.11708917832974149</v>
      </c>
      <c r="D12" s="20">
        <f>B12/'3.InputsAssumptions'!B$5</f>
        <v>0.21361808219178083</v>
      </c>
      <c r="E12" s="11"/>
      <c r="F12" s="21">
        <v>51980.4</v>
      </c>
      <c r="G12" s="22">
        <v>0.03</v>
      </c>
      <c r="H12" s="11"/>
      <c r="I12" s="11"/>
      <c r="J12" s="11"/>
      <c r="K12" s="23"/>
      <c r="L12" s="23"/>
      <c r="M12" s="11"/>
      <c r="N12" s="24"/>
      <c r="O12" s="7"/>
      <c r="P12" s="7"/>
    </row>
    <row r="13" spans="1:16" ht="15.75" customHeight="1">
      <c r="A13" s="11" t="s">
        <v>52</v>
      </c>
      <c r="B13" s="20">
        <f>((F13*G13)*'3.InputsAssumptions'!B$19)</f>
        <v>0</v>
      </c>
      <c r="C13" s="20">
        <f t="shared" si="0"/>
        <v>0</v>
      </c>
      <c r="D13" s="20">
        <f>B13/'3.InputsAssumptions'!B$5</f>
        <v>0</v>
      </c>
      <c r="E13" s="11"/>
      <c r="F13" s="21">
        <v>43264.32</v>
      </c>
      <c r="G13" s="22">
        <v>0</v>
      </c>
      <c r="H13" s="11"/>
      <c r="I13" s="11"/>
      <c r="J13" s="11"/>
      <c r="K13" s="23"/>
      <c r="L13" s="23"/>
      <c r="M13" s="11"/>
      <c r="N13" s="24"/>
      <c r="O13" s="7"/>
      <c r="P13" s="7"/>
    </row>
    <row r="14" spans="1:16" ht="15.75" customHeight="1">
      <c r="A14" s="11" t="s">
        <v>53</v>
      </c>
      <c r="B14" s="20">
        <f>((F14*G14)*'3.InputsAssumptions'!B$19)</f>
        <v>0</v>
      </c>
      <c r="C14" s="20">
        <f t="shared" si="0"/>
        <v>0</v>
      </c>
      <c r="D14" s="20">
        <f>B14/'3.InputsAssumptions'!B$5</f>
        <v>0</v>
      </c>
      <c r="E14" s="11"/>
      <c r="F14" s="21">
        <v>31725.84</v>
      </c>
      <c r="G14" s="22">
        <v>0</v>
      </c>
      <c r="H14" s="11"/>
      <c r="I14" s="11"/>
      <c r="J14" s="11"/>
      <c r="K14" s="23"/>
      <c r="L14" s="23"/>
      <c r="M14" s="11"/>
      <c r="N14" s="24"/>
      <c r="O14" s="7"/>
      <c r="P14" s="7"/>
    </row>
    <row r="15" spans="1:16" ht="15.75" customHeight="1">
      <c r="A15" s="11" t="s">
        <v>54</v>
      </c>
      <c r="B15" s="20">
        <f>((F15*G15)*'3.InputsAssumptions'!B$19)</f>
        <v>0</v>
      </c>
      <c r="C15" s="20">
        <f t="shared" si="0"/>
        <v>0</v>
      </c>
      <c r="D15" s="20">
        <f>B15/'3.InputsAssumptions'!B$5</f>
        <v>0</v>
      </c>
      <c r="E15" s="11"/>
      <c r="F15" s="21">
        <v>15003.36</v>
      </c>
      <c r="G15" s="22">
        <v>0</v>
      </c>
      <c r="H15" s="11"/>
      <c r="I15" s="11"/>
      <c r="J15" s="11"/>
      <c r="K15" s="23"/>
      <c r="L15" s="23"/>
      <c r="M15" s="11"/>
      <c r="N15" s="24"/>
      <c r="O15" s="7"/>
      <c r="P15" s="7"/>
    </row>
    <row r="16" spans="1:16" ht="15.75" customHeight="1">
      <c r="A16" s="11" t="s">
        <v>55</v>
      </c>
      <c r="B16" s="20">
        <f>((F16*G16)*'3.InputsAssumptions'!B$19)</f>
        <v>0</v>
      </c>
      <c r="C16" s="20">
        <f t="shared" si="0"/>
        <v>0</v>
      </c>
      <c r="D16" s="20">
        <f>B16/'3.InputsAssumptions'!B$5</f>
        <v>0</v>
      </c>
      <c r="E16" s="11"/>
      <c r="F16" s="21">
        <v>14020.8</v>
      </c>
      <c r="G16" s="22">
        <v>0</v>
      </c>
      <c r="H16" s="11"/>
      <c r="I16" s="11"/>
      <c r="J16" s="11"/>
      <c r="K16" s="23"/>
      <c r="L16" s="23"/>
      <c r="M16" s="11"/>
      <c r="N16" s="24"/>
      <c r="O16" s="7"/>
      <c r="P16" s="7"/>
    </row>
    <row r="17" spans="1:16" ht="15.75" customHeight="1">
      <c r="A17" s="11" t="s">
        <v>56</v>
      </c>
      <c r="B17" s="20">
        <f>((F17*G17)*'3.InputsAssumptions'!B$19)</f>
        <v>1715.3532000000005</v>
      </c>
      <c r="C17" s="20">
        <f t="shared" si="0"/>
        <v>0.39029726109913843</v>
      </c>
      <c r="D17" s="20">
        <f>B17/'3.InputsAssumptions'!B$5</f>
        <v>0.71206027397260296</v>
      </c>
      <c r="E17" s="11"/>
      <c r="F17" s="25">
        <v>51980.4</v>
      </c>
      <c r="G17" s="22">
        <v>0.1</v>
      </c>
      <c r="H17" s="11"/>
      <c r="I17" s="11"/>
      <c r="J17" s="11"/>
      <c r="K17" s="23"/>
      <c r="L17" s="23"/>
      <c r="M17" s="11"/>
      <c r="N17" s="24"/>
      <c r="O17" s="7"/>
      <c r="P17" s="7"/>
    </row>
    <row r="18" spans="1:16" ht="15.75" customHeight="1">
      <c r="A18" s="11"/>
      <c r="B18" s="20"/>
      <c r="C18" s="20"/>
      <c r="D18" s="20"/>
      <c r="E18" s="11"/>
      <c r="F18" s="23"/>
      <c r="G18" s="20"/>
      <c r="H18" s="11"/>
      <c r="I18" s="11"/>
      <c r="J18" s="11"/>
      <c r="K18" s="23"/>
      <c r="L18" s="23"/>
      <c r="M18" s="11"/>
      <c r="N18" s="20"/>
      <c r="O18" s="7"/>
      <c r="P18" s="7"/>
    </row>
    <row r="19" spans="1:16" ht="15.75" customHeight="1">
      <c r="A19" s="11" t="s">
        <v>57</v>
      </c>
      <c r="B19" s="20">
        <f>SUM(B8:B17)</f>
        <v>4054.1759280000006</v>
      </c>
      <c r="C19" s="20">
        <f>(B19/B$48)*100</f>
        <v>0.92245361521607205</v>
      </c>
      <c r="D19" s="20">
        <f>SUM(D8:D17)</f>
        <v>1.6829289863013701</v>
      </c>
      <c r="E19" s="11"/>
      <c r="F19" s="25">
        <f>SUM(F8:F17)</f>
        <v>497451.24000000005</v>
      </c>
      <c r="G19" s="20"/>
      <c r="H19" s="11"/>
      <c r="I19" s="11"/>
      <c r="J19" s="11"/>
      <c r="K19" s="23"/>
      <c r="L19" s="23"/>
      <c r="M19" s="11"/>
      <c r="N19" s="24"/>
      <c r="O19" s="7"/>
      <c r="P19" s="7"/>
    </row>
    <row r="20" spans="1:16" ht="15.75" customHeight="1">
      <c r="A20" s="11"/>
      <c r="B20" s="20"/>
      <c r="C20" s="20"/>
      <c r="D20" s="20"/>
      <c r="E20" s="11"/>
      <c r="F20" s="23"/>
      <c r="G20" s="20"/>
      <c r="H20" s="11"/>
      <c r="I20" s="11"/>
      <c r="J20" s="11"/>
      <c r="K20" s="23"/>
      <c r="L20" s="23"/>
      <c r="M20" s="11"/>
      <c r="N20" s="20"/>
      <c r="O20" s="7"/>
      <c r="P20" s="7"/>
    </row>
    <row r="21" spans="1:16" ht="15.75" customHeight="1">
      <c r="A21" s="11"/>
      <c r="B21" s="20"/>
      <c r="C21" s="20"/>
      <c r="D21" s="20"/>
      <c r="E21" s="11"/>
      <c r="F21" s="23"/>
      <c r="G21" s="20"/>
      <c r="H21" s="11"/>
      <c r="I21" s="11"/>
      <c r="J21" s="11"/>
      <c r="K21" s="23"/>
      <c r="L21" s="23"/>
      <c r="M21" s="11"/>
      <c r="N21" s="20"/>
      <c r="O21" s="7"/>
      <c r="P21" s="7"/>
    </row>
    <row r="22" spans="1:16" ht="15.75" customHeight="1">
      <c r="A22" s="19" t="s">
        <v>58</v>
      </c>
      <c r="B22" s="20"/>
      <c r="C22" s="20"/>
      <c r="D22" s="20"/>
      <c r="E22" s="11"/>
      <c r="F22" s="23"/>
      <c r="G22" s="20"/>
      <c r="H22" s="11"/>
      <c r="I22" s="11"/>
      <c r="J22" s="11"/>
      <c r="K22" s="23"/>
      <c r="L22" s="23"/>
      <c r="M22" s="11"/>
      <c r="N22" s="20"/>
      <c r="O22" s="7"/>
      <c r="P22" s="7"/>
    </row>
    <row r="23" spans="1:16" ht="15.75" customHeight="1">
      <c r="A23" s="11" t="s">
        <v>59</v>
      </c>
      <c r="B23" s="20">
        <f>((F23*G23)*'3.InputsAssumptions'!B$19)</f>
        <v>0</v>
      </c>
      <c r="C23" s="20">
        <f t="shared" ref="C23:C35" si="1">(B23/B$48)*100</f>
        <v>0</v>
      </c>
      <c r="D23" s="20">
        <f>B23/'3.InputsAssumptions'!B$5</f>
        <v>0</v>
      </c>
      <c r="E23" s="11"/>
      <c r="F23" s="21">
        <v>86187</v>
      </c>
      <c r="G23" s="22">
        <v>0</v>
      </c>
      <c r="H23" s="11"/>
      <c r="I23" s="11"/>
      <c r="J23" s="11"/>
      <c r="K23" s="23"/>
      <c r="L23" s="23"/>
      <c r="M23" s="11"/>
      <c r="N23" s="24"/>
      <c r="O23" s="7"/>
      <c r="P23" s="7"/>
    </row>
    <row r="24" spans="1:16" ht="15.75" customHeight="1">
      <c r="A24" s="11" t="s">
        <v>60</v>
      </c>
      <c r="B24" s="20">
        <f>((F24*G24)*'3.InputsAssumptions'!B$19)</f>
        <v>0</v>
      </c>
      <c r="C24" s="20">
        <f t="shared" si="1"/>
        <v>0</v>
      </c>
      <c r="D24" s="20">
        <f>B24/'3.InputsAssumptions'!B$5</f>
        <v>0</v>
      </c>
      <c r="E24" s="11"/>
      <c r="F24" s="21">
        <v>50777</v>
      </c>
      <c r="G24" s="22">
        <v>0</v>
      </c>
      <c r="H24" s="11"/>
      <c r="I24" s="11"/>
      <c r="J24" s="11"/>
      <c r="K24" s="23"/>
      <c r="L24" s="23"/>
      <c r="M24" s="11"/>
      <c r="N24" s="24"/>
      <c r="O24" s="7"/>
      <c r="P24" s="7"/>
    </row>
    <row r="25" spans="1:16" ht="15.75" customHeight="1">
      <c r="A25" s="11" t="s">
        <v>55</v>
      </c>
      <c r="B25" s="20">
        <f>((F25*G25)*'3.InputsAssumptions'!B$19)</f>
        <v>0</v>
      </c>
      <c r="C25" s="20">
        <f t="shared" si="1"/>
        <v>0</v>
      </c>
      <c r="D25" s="20">
        <f>B25/'3.InputsAssumptions'!B$5</f>
        <v>0</v>
      </c>
      <c r="E25" s="11"/>
      <c r="F25" s="21">
        <v>59219</v>
      </c>
      <c r="G25" s="22">
        <v>0</v>
      </c>
      <c r="H25" s="11"/>
      <c r="I25" s="11"/>
      <c r="J25" s="11"/>
      <c r="K25" s="23"/>
      <c r="L25" s="23"/>
      <c r="M25" s="11"/>
      <c r="N25" s="24"/>
      <c r="O25" s="7"/>
      <c r="P25" s="7"/>
    </row>
    <row r="26" spans="1:16" ht="15.75" customHeight="1">
      <c r="A26" s="11" t="s">
        <v>61</v>
      </c>
      <c r="B26" s="20">
        <f>((F26*G26)*'3.InputsAssumptions'!B$19)</f>
        <v>0</v>
      </c>
      <c r="C26" s="20">
        <f t="shared" si="1"/>
        <v>0</v>
      </c>
      <c r="D26" s="20">
        <f>B26/'3.InputsAssumptions'!B$5</f>
        <v>0</v>
      </c>
      <c r="E26" s="11"/>
      <c r="F26" s="21">
        <v>113916</v>
      </c>
      <c r="G26" s="22">
        <v>0</v>
      </c>
      <c r="H26" s="26"/>
      <c r="I26" s="11"/>
      <c r="J26" s="11"/>
      <c r="K26" s="23"/>
      <c r="L26" s="23"/>
      <c r="M26" s="11"/>
      <c r="N26" s="24"/>
      <c r="O26" s="7"/>
      <c r="P26" s="7"/>
    </row>
    <row r="27" spans="1:16" ht="15.75" customHeight="1">
      <c r="A27" s="11" t="s">
        <v>62</v>
      </c>
      <c r="B27" s="20">
        <f>((F27*G27)*'3.InputsAssumptions'!B$19)</f>
        <v>0</v>
      </c>
      <c r="C27" s="20">
        <f t="shared" si="1"/>
        <v>0</v>
      </c>
      <c r="D27" s="20">
        <f>B27/'3.InputsAssumptions'!B$5</f>
        <v>0</v>
      </c>
      <c r="E27" s="11"/>
      <c r="F27" s="21">
        <v>119165</v>
      </c>
      <c r="G27" s="22">
        <v>0</v>
      </c>
      <c r="H27" s="11"/>
      <c r="I27" s="11"/>
      <c r="J27" s="11"/>
      <c r="K27" s="23"/>
      <c r="L27" s="23"/>
      <c r="M27" s="11"/>
      <c r="N27" s="24"/>
      <c r="O27" s="7"/>
      <c r="P27" s="7"/>
    </row>
    <row r="28" spans="1:16" ht="15.75" customHeight="1">
      <c r="A28" s="11" t="s">
        <v>63</v>
      </c>
      <c r="B28" s="20">
        <f>((F28*G28)*'3.InputsAssumptions'!B$19)</f>
        <v>0</v>
      </c>
      <c r="C28" s="20">
        <f t="shared" si="1"/>
        <v>0</v>
      </c>
      <c r="D28" s="20">
        <f>B28/'3.InputsAssumptions'!B$5</f>
        <v>0</v>
      </c>
      <c r="E28" s="11"/>
      <c r="F28" s="21">
        <v>164128</v>
      </c>
      <c r="G28" s="22">
        <v>0</v>
      </c>
      <c r="H28" s="11"/>
      <c r="I28" s="11"/>
      <c r="J28" s="11"/>
      <c r="K28" s="23"/>
      <c r="L28" s="23"/>
      <c r="M28" s="11"/>
      <c r="N28" s="24"/>
      <c r="O28" s="7"/>
      <c r="P28" s="7"/>
    </row>
    <row r="29" spans="1:16" ht="15.75" customHeight="1">
      <c r="A29" s="11" t="s">
        <v>64</v>
      </c>
      <c r="B29" s="20">
        <f>((F29*G29)*'3.InputsAssumptions'!B$19)</f>
        <v>0</v>
      </c>
      <c r="C29" s="20">
        <f t="shared" si="1"/>
        <v>0</v>
      </c>
      <c r="D29" s="20">
        <f>B29/'3.InputsAssumptions'!B$5</f>
        <v>0</v>
      </c>
      <c r="E29" s="11"/>
      <c r="F29" s="21">
        <v>117092</v>
      </c>
      <c r="G29" s="22">
        <v>0</v>
      </c>
      <c r="H29" s="11"/>
      <c r="I29" s="11"/>
      <c r="J29" s="11"/>
      <c r="K29" s="23"/>
      <c r="L29" s="23"/>
      <c r="M29" s="11"/>
      <c r="N29" s="24"/>
      <c r="O29" s="7"/>
      <c r="P29" s="7"/>
    </row>
    <row r="30" spans="1:16" ht="15.75" customHeight="1">
      <c r="A30" s="11" t="s">
        <v>65</v>
      </c>
      <c r="B30" s="20">
        <f>((F30*G30)*'3.InputsAssumptions'!B$19)</f>
        <v>0</v>
      </c>
      <c r="C30" s="20">
        <f t="shared" si="1"/>
        <v>0</v>
      </c>
      <c r="D30" s="20">
        <f>B30/'3.InputsAssumptions'!B$5</f>
        <v>0</v>
      </c>
      <c r="E30" s="11"/>
      <c r="F30" s="21">
        <v>73212</v>
      </c>
      <c r="G30" s="22">
        <v>0</v>
      </c>
      <c r="H30" s="11"/>
      <c r="I30" s="11"/>
      <c r="J30" s="11"/>
      <c r="K30" s="23"/>
      <c r="L30" s="23"/>
      <c r="M30" s="11"/>
      <c r="N30" s="24"/>
      <c r="O30" s="7"/>
      <c r="P30" s="7"/>
    </row>
    <row r="31" spans="1:16" ht="15.75" customHeight="1">
      <c r="A31" s="11" t="s">
        <v>66</v>
      </c>
      <c r="B31" s="20">
        <f>((F31*G31)*'3.InputsAssumptions'!B$19)</f>
        <v>0</v>
      </c>
      <c r="C31" s="20">
        <f t="shared" si="1"/>
        <v>0</v>
      </c>
      <c r="D31" s="20">
        <f>B31/'3.InputsAssumptions'!B$5</f>
        <v>0</v>
      </c>
      <c r="E31" s="11"/>
      <c r="F31" s="21">
        <v>207560</v>
      </c>
      <c r="G31" s="22">
        <v>0</v>
      </c>
      <c r="H31" s="11"/>
      <c r="I31" s="11"/>
      <c r="J31" s="11"/>
      <c r="K31" s="23"/>
      <c r="L31" s="23"/>
      <c r="M31" s="11"/>
      <c r="N31" s="24"/>
      <c r="O31" s="7"/>
      <c r="P31" s="7"/>
    </row>
    <row r="32" spans="1:16" ht="15.75" customHeight="1">
      <c r="A32" s="11" t="s">
        <v>67</v>
      </c>
      <c r="B32" s="20">
        <f>((F32*G32)*'3.InputsAssumptions'!B$19)</f>
        <v>0</v>
      </c>
      <c r="C32" s="20">
        <f t="shared" si="1"/>
        <v>0</v>
      </c>
      <c r="D32" s="20">
        <f>B32/'3.InputsAssumptions'!B$5</f>
        <v>0</v>
      </c>
      <c r="E32" s="11"/>
      <c r="F32" s="21">
        <v>99700</v>
      </c>
      <c r="G32" s="22">
        <v>0</v>
      </c>
      <c r="H32" s="11"/>
      <c r="I32" s="11"/>
      <c r="J32" s="11"/>
      <c r="K32" s="23"/>
      <c r="L32" s="23"/>
      <c r="M32" s="11"/>
      <c r="N32" s="24"/>
      <c r="O32" s="7"/>
      <c r="P32" s="7"/>
    </row>
    <row r="33" spans="1:16" ht="15.75" customHeight="1">
      <c r="A33" s="11" t="s">
        <v>68</v>
      </c>
      <c r="B33" s="20">
        <f>((F33*G33)*'3.InputsAssumptions'!B$19)</f>
        <v>0</v>
      </c>
      <c r="C33" s="20">
        <f t="shared" si="1"/>
        <v>0</v>
      </c>
      <c r="D33" s="20">
        <f>B33/'3.InputsAssumptions'!B$5</f>
        <v>0</v>
      </c>
      <c r="E33" s="11"/>
      <c r="F33" s="21">
        <v>187212</v>
      </c>
      <c r="G33" s="22">
        <v>0</v>
      </c>
      <c r="H33" s="11"/>
      <c r="I33" s="11"/>
      <c r="J33" s="11"/>
      <c r="K33" s="23"/>
      <c r="L33" s="23"/>
      <c r="M33" s="11"/>
      <c r="N33" s="24"/>
      <c r="O33" s="7"/>
      <c r="P33" s="7"/>
    </row>
    <row r="34" spans="1:16" ht="15.75" customHeight="1">
      <c r="A34" s="11" t="s">
        <v>69</v>
      </c>
      <c r="B34" s="20">
        <f>((F34*G34)*'3.InputsAssumptions'!B$19)</f>
        <v>0</v>
      </c>
      <c r="C34" s="20">
        <f t="shared" si="1"/>
        <v>0</v>
      </c>
      <c r="D34" s="20">
        <f>B34/'3.InputsAssumptions'!B$5</f>
        <v>0</v>
      </c>
      <c r="E34" s="11"/>
      <c r="F34" s="27">
        <v>156996</v>
      </c>
      <c r="G34" s="22">
        <v>0</v>
      </c>
      <c r="H34" s="11"/>
      <c r="I34" s="11"/>
      <c r="J34" s="11"/>
      <c r="K34" s="23"/>
      <c r="L34" s="23"/>
      <c r="M34" s="11"/>
      <c r="N34" s="24"/>
      <c r="O34" s="7"/>
      <c r="P34" s="7"/>
    </row>
    <row r="35" spans="1:16" ht="15.75" customHeight="1">
      <c r="A35" s="11" t="s">
        <v>70</v>
      </c>
      <c r="B35" s="20">
        <f>((F35*G35)*'3.InputsAssumptions'!B$19)</f>
        <v>914.36400000000015</v>
      </c>
      <c r="C35" s="20">
        <f t="shared" si="1"/>
        <v>0.20804681207791642</v>
      </c>
      <c r="D35" s="20">
        <f>B35/'3.InputsAssumptions'!B$5</f>
        <v>0.37956164383561652</v>
      </c>
      <c r="E35" s="11"/>
      <c r="F35" s="25">
        <v>27708</v>
      </c>
      <c r="G35" s="22">
        <v>0.1</v>
      </c>
      <c r="H35" s="11"/>
      <c r="I35" s="11"/>
      <c r="J35" s="11"/>
      <c r="K35" s="23"/>
      <c r="L35" s="23"/>
      <c r="M35" s="11"/>
      <c r="N35" s="24"/>
      <c r="O35" s="7"/>
      <c r="P35" s="7"/>
    </row>
    <row r="36" spans="1:16" ht="15.75" customHeight="1">
      <c r="A36" s="11"/>
      <c r="B36" s="20"/>
      <c r="C36" s="20"/>
      <c r="D36" s="20"/>
      <c r="E36" s="11"/>
      <c r="F36" s="23"/>
      <c r="G36" s="20"/>
      <c r="H36" s="11"/>
      <c r="I36" s="11"/>
      <c r="J36" s="11"/>
      <c r="K36" s="23"/>
      <c r="L36" s="23"/>
      <c r="M36" s="11"/>
      <c r="N36" s="20"/>
      <c r="O36" s="7"/>
      <c r="P36" s="7"/>
    </row>
    <row r="37" spans="1:16" ht="15.75" customHeight="1">
      <c r="A37" s="11" t="s">
        <v>71</v>
      </c>
      <c r="B37" s="20">
        <f>SUM(B23:B35)</f>
        <v>914.36400000000015</v>
      </c>
      <c r="C37" s="20">
        <f>(B37/B$48)*100</f>
        <v>0.20804681207791642</v>
      </c>
      <c r="D37" s="20">
        <f>SUM(D23:D35)</f>
        <v>0.37956164383561652</v>
      </c>
      <c r="E37" s="11"/>
      <c r="F37" s="25">
        <f>SUM(F23:F35)</f>
        <v>1462872</v>
      </c>
      <c r="G37" s="20"/>
      <c r="H37" s="11"/>
      <c r="I37" s="11"/>
      <c r="J37" s="11"/>
      <c r="K37" s="23"/>
      <c r="L37" s="23"/>
      <c r="M37" s="11"/>
      <c r="N37" s="24"/>
      <c r="O37" s="7"/>
      <c r="P37" s="7"/>
    </row>
    <row r="38" spans="1:16" ht="15.75" customHeight="1">
      <c r="A38" s="11"/>
      <c r="B38" s="20"/>
      <c r="C38" s="20"/>
      <c r="D38" s="20"/>
      <c r="E38" s="11"/>
      <c r="F38" s="23"/>
      <c r="G38" s="11"/>
      <c r="H38" s="11"/>
      <c r="I38" s="11"/>
      <c r="J38" s="11"/>
      <c r="K38" s="23"/>
      <c r="L38" s="11"/>
      <c r="M38" s="11"/>
      <c r="N38" s="11"/>
      <c r="O38" s="7"/>
      <c r="P38" s="7"/>
    </row>
    <row r="39" spans="1:16" ht="15.75" customHeight="1">
      <c r="A39" s="11"/>
      <c r="B39" s="20"/>
      <c r="C39" s="20"/>
      <c r="D39" s="20"/>
      <c r="E39" s="11"/>
      <c r="F39" s="23"/>
      <c r="G39" s="11"/>
      <c r="H39" s="11"/>
      <c r="I39" s="11"/>
      <c r="J39" s="11"/>
      <c r="K39" s="23"/>
      <c r="L39" s="11"/>
      <c r="M39" s="11"/>
      <c r="N39" s="11"/>
      <c r="O39" s="7"/>
      <c r="P39" s="7"/>
    </row>
    <row r="40" spans="1:16" ht="15.75" customHeight="1">
      <c r="A40" s="19" t="s">
        <v>72</v>
      </c>
      <c r="B40" s="20"/>
      <c r="C40" s="20"/>
      <c r="D40" s="20"/>
      <c r="E40" s="11"/>
      <c r="F40" s="23"/>
      <c r="G40" s="11"/>
      <c r="H40" s="11"/>
      <c r="I40" s="11"/>
      <c r="J40" s="11"/>
      <c r="K40" s="23"/>
      <c r="L40" s="11"/>
      <c r="M40" s="11"/>
      <c r="N40" s="11"/>
      <c r="O40" s="7"/>
      <c r="P40" s="7"/>
    </row>
    <row r="41" spans="1:16" ht="15.75" customHeight="1">
      <c r="A41" s="11" t="s">
        <v>73</v>
      </c>
      <c r="B41" s="28">
        <f>'3.InputsAssumptions'!B$5*1.1*'3.InputsAssumptions'!B$17</f>
        <v>907.32575999999995</v>
      </c>
      <c r="C41" s="20">
        <f t="shared" ref="C41:C42" si="2">(B41/B$48)*100</f>
        <v>0.20644538923686043</v>
      </c>
      <c r="D41" s="20">
        <f>B41/'3.InputsAssumptions'!B$5</f>
        <v>0.37663999999999997</v>
      </c>
      <c r="E41" s="11"/>
      <c r="F41" s="28">
        <v>856</v>
      </c>
      <c r="G41" s="29">
        <v>1</v>
      </c>
      <c r="H41" s="11"/>
      <c r="I41" s="11"/>
      <c r="J41" s="11"/>
      <c r="K41" s="23"/>
      <c r="L41" s="23"/>
      <c r="M41" s="11"/>
      <c r="N41" s="24"/>
      <c r="O41" s="7"/>
      <c r="P41" s="7"/>
    </row>
    <row r="42" spans="1:16" ht="15.75" customHeight="1">
      <c r="A42" s="11" t="s">
        <v>74</v>
      </c>
      <c r="B42" s="28">
        <f>'3.InputsAssumptions'!B$5*'3.InputsAssumptions'!B$9*'3.InputsAssumptions'!B$18</f>
        <v>3.2984028000000003</v>
      </c>
      <c r="C42" s="20">
        <f t="shared" si="2"/>
        <v>7.5049125675209576E-4</v>
      </c>
      <c r="D42" s="20">
        <f>B42/'3.InputsAssumptions'!B$5</f>
        <v>1.3692000000000001E-3</v>
      </c>
      <c r="E42" s="11"/>
      <c r="F42" s="28">
        <v>10</v>
      </c>
      <c r="G42" s="29">
        <v>1</v>
      </c>
      <c r="H42" s="11"/>
      <c r="I42" s="11"/>
      <c r="J42" s="11"/>
      <c r="K42" s="23"/>
      <c r="L42" s="23"/>
      <c r="M42" s="11"/>
      <c r="N42" s="24"/>
      <c r="O42" s="7"/>
      <c r="P42" s="7"/>
    </row>
    <row r="43" spans="1:16" ht="15.75" customHeight="1">
      <c r="A43" s="11"/>
      <c r="B43" s="20"/>
      <c r="C43" s="20"/>
      <c r="D43" s="20"/>
      <c r="E43" s="11"/>
      <c r="F43" s="23"/>
      <c r="G43" s="11"/>
      <c r="H43" s="11"/>
      <c r="I43" s="11"/>
      <c r="J43" s="11"/>
      <c r="K43" s="23"/>
      <c r="L43" s="11"/>
      <c r="M43" s="11"/>
      <c r="N43" s="11"/>
      <c r="O43" s="7"/>
      <c r="P43" s="7"/>
    </row>
    <row r="44" spans="1:16" ht="15.75" customHeight="1">
      <c r="A44" s="11" t="s">
        <v>75</v>
      </c>
      <c r="B44" s="20">
        <f>SUM(B41:B42)</f>
        <v>910.62416279999991</v>
      </c>
      <c r="C44" s="20">
        <f>(B44/B$48)*100</f>
        <v>0.20719588049361251</v>
      </c>
      <c r="D44" s="20">
        <f>SUM(D41:D42)</f>
        <v>0.37800919999999999</v>
      </c>
      <c r="E44" s="11"/>
      <c r="F44" s="25">
        <f>SUM(F41:F42)</f>
        <v>866</v>
      </c>
      <c r="G44" s="11"/>
      <c r="H44" s="11"/>
      <c r="I44" s="11"/>
      <c r="J44" s="11"/>
      <c r="K44" s="23"/>
      <c r="L44" s="23"/>
      <c r="M44" s="11"/>
      <c r="N44" s="24"/>
      <c r="O44" s="7"/>
      <c r="P44" s="7"/>
    </row>
    <row r="45" spans="1:16" ht="15.75" customHeight="1">
      <c r="A45" s="11"/>
      <c r="B45" s="20"/>
      <c r="C45" s="20"/>
      <c r="D45" s="20"/>
      <c r="E45" s="11"/>
      <c r="F45" s="25"/>
      <c r="G45" s="11"/>
      <c r="H45" s="11"/>
      <c r="I45" s="11"/>
      <c r="J45" s="11"/>
      <c r="K45" s="23"/>
      <c r="L45" s="23"/>
      <c r="M45" s="11"/>
      <c r="N45" s="24"/>
      <c r="O45" s="7"/>
      <c r="P45" s="7"/>
    </row>
    <row r="46" spans="1:16" ht="15.75" customHeight="1">
      <c r="A46" s="19" t="s">
        <v>76</v>
      </c>
      <c r="B46" s="28">
        <f>F46</f>
        <v>433620</v>
      </c>
      <c r="C46" s="20">
        <f>(B46/B$48)*100</f>
        <v>98.662303692212404</v>
      </c>
      <c r="D46" s="20">
        <f>B46/'3.InputsAssumptions'!B$5</f>
        <v>180</v>
      </c>
      <c r="E46" s="11"/>
      <c r="F46" s="28">
        <f>'3.InputsAssumptions'!B$5*'3.InputsAssumptions'!B$11</f>
        <v>433620</v>
      </c>
      <c r="G46" s="29">
        <v>1</v>
      </c>
      <c r="H46" s="11"/>
      <c r="I46" s="11"/>
      <c r="J46" s="11"/>
      <c r="K46" s="23"/>
      <c r="L46" s="23"/>
      <c r="M46" s="11"/>
      <c r="N46" s="24"/>
      <c r="O46" s="7"/>
      <c r="P46" s="7"/>
    </row>
    <row r="47" spans="1:16" ht="15.75" customHeight="1">
      <c r="A47" s="11"/>
      <c r="B47" s="20"/>
      <c r="C47" s="11"/>
      <c r="D47" s="20"/>
      <c r="E47" s="11"/>
      <c r="F47" s="11"/>
      <c r="G47" s="11"/>
      <c r="H47" s="11"/>
      <c r="I47" s="11"/>
      <c r="J47" s="11"/>
      <c r="K47" s="11"/>
      <c r="L47" s="11"/>
      <c r="M47" s="11"/>
      <c r="N47" s="11"/>
      <c r="O47" s="7"/>
      <c r="P47" s="7"/>
    </row>
    <row r="48" spans="1:16" ht="15.75" customHeight="1">
      <c r="A48" s="12" t="s">
        <v>77</v>
      </c>
      <c r="B48" s="20">
        <f t="shared" ref="B48:D48" si="3">SUM(B19+B37+B44+B46)</f>
        <v>439499.16409079998</v>
      </c>
      <c r="C48" s="20">
        <f t="shared" si="3"/>
        <v>100</v>
      </c>
      <c r="D48" s="20">
        <f t="shared" si="3"/>
        <v>182.44049983013699</v>
      </c>
      <c r="E48" s="11"/>
      <c r="F48" s="25">
        <f>SUM(F19+F37+F44+F46)</f>
        <v>2394809.2400000002</v>
      </c>
      <c r="G48" s="20"/>
      <c r="H48" s="11"/>
      <c r="I48" s="11"/>
      <c r="J48" s="11"/>
      <c r="K48" s="11"/>
      <c r="L48" s="20"/>
      <c r="M48" s="11"/>
      <c r="N48" s="24"/>
      <c r="O48" s="30"/>
      <c r="P48" s="7"/>
    </row>
    <row r="49" spans="1:16" ht="15.75" customHeight="1">
      <c r="A49" s="11"/>
      <c r="B49" s="11"/>
      <c r="C49" s="11"/>
      <c r="D49" s="11"/>
      <c r="E49" s="11"/>
      <c r="F49" s="11"/>
      <c r="G49" s="11"/>
      <c r="H49" s="11"/>
      <c r="I49" s="11"/>
      <c r="J49" s="11"/>
      <c r="K49" s="11"/>
      <c r="L49" s="11"/>
      <c r="M49" s="11"/>
      <c r="N49" s="11"/>
      <c r="O49" s="7"/>
      <c r="P49" s="7"/>
    </row>
    <row r="50" spans="1:16" ht="15.75" customHeight="1">
      <c r="A50" s="11"/>
      <c r="B50" s="11"/>
      <c r="C50" s="11"/>
      <c r="D50" s="11"/>
      <c r="E50" s="11"/>
      <c r="F50" s="11"/>
      <c r="G50" s="11"/>
      <c r="H50" s="11"/>
      <c r="I50" s="11"/>
      <c r="J50" s="11"/>
      <c r="K50" s="11"/>
      <c r="L50" s="11"/>
      <c r="M50" s="11"/>
      <c r="N50" s="11"/>
      <c r="O50" s="7"/>
      <c r="P50" s="7"/>
    </row>
    <row r="51" spans="1:16" ht="15.75" customHeight="1">
      <c r="A51" s="17" t="s">
        <v>78</v>
      </c>
      <c r="B51" s="31"/>
      <c r="C51" s="18"/>
      <c r="D51" s="18"/>
      <c r="E51" s="18"/>
      <c r="F51" s="18"/>
      <c r="G51" s="18"/>
      <c r="H51" s="18"/>
      <c r="I51" s="18"/>
      <c r="J51" s="18"/>
      <c r="K51" s="18"/>
      <c r="L51" s="18"/>
      <c r="M51" s="11"/>
      <c r="N51" s="11"/>
      <c r="O51" s="7"/>
      <c r="P51" s="7"/>
    </row>
    <row r="52" spans="1:16" ht="15.75" customHeight="1">
      <c r="A52" s="32" t="s">
        <v>79</v>
      </c>
      <c r="B52" s="11">
        <f t="shared" ref="B52:B55" si="4">F52</f>
        <v>4021</v>
      </c>
      <c r="C52" s="11">
        <f t="shared" ref="C52:C55" si="5">(B52/B$57)*100</f>
        <v>20.106005300265011</v>
      </c>
      <c r="D52" s="11">
        <f>B52/'3.InputsAssumptions'!B$5</f>
        <v>1.6691573266915734</v>
      </c>
      <c r="E52" s="11"/>
      <c r="F52" s="11">
        <v>4021</v>
      </c>
      <c r="G52" s="29">
        <v>1</v>
      </c>
      <c r="H52" s="11"/>
      <c r="I52" s="11"/>
      <c r="J52" s="11"/>
      <c r="K52" s="11"/>
      <c r="L52" s="23"/>
      <c r="M52" s="11"/>
      <c r="N52" s="24"/>
      <c r="O52" s="7"/>
      <c r="P52" s="7"/>
    </row>
    <row r="53" spans="1:16" ht="15.75" customHeight="1">
      <c r="A53" s="32" t="s">
        <v>80</v>
      </c>
      <c r="B53" s="11">
        <f t="shared" si="4"/>
        <v>1511</v>
      </c>
      <c r="C53" s="11">
        <f t="shared" si="5"/>
        <v>7.5553777688884436</v>
      </c>
      <c r="D53" s="11">
        <f>B53/'3.InputsAssumptions'!B$5</f>
        <v>0.62723121627231215</v>
      </c>
      <c r="E53" s="11"/>
      <c r="F53" s="11">
        <v>1511</v>
      </c>
      <c r="G53" s="29">
        <v>1</v>
      </c>
      <c r="H53" s="11"/>
      <c r="I53" s="11"/>
      <c r="J53" s="11"/>
      <c r="K53" s="11"/>
      <c r="L53" s="23"/>
      <c r="M53" s="11"/>
      <c r="N53" s="24"/>
      <c r="O53" s="7"/>
      <c r="P53" s="7"/>
    </row>
    <row r="54" spans="1:16" ht="15.75" customHeight="1">
      <c r="A54" s="32" t="s">
        <v>81</v>
      </c>
      <c r="B54" s="11">
        <f t="shared" si="4"/>
        <v>13388</v>
      </c>
      <c r="C54" s="11">
        <f t="shared" si="5"/>
        <v>66.943347167358368</v>
      </c>
      <c r="D54" s="11">
        <f>B54/'3.InputsAssumptions'!B$5</f>
        <v>5.5574927355749271</v>
      </c>
      <c r="E54" s="11"/>
      <c r="F54" s="11">
        <v>13388</v>
      </c>
      <c r="G54" s="29">
        <v>0.6</v>
      </c>
      <c r="H54" s="11"/>
      <c r="I54" s="11"/>
      <c r="J54" s="11"/>
      <c r="K54" s="11"/>
      <c r="L54" s="23"/>
      <c r="M54" s="11"/>
      <c r="N54" s="24"/>
      <c r="O54" s="7"/>
      <c r="P54" s="7"/>
    </row>
    <row r="55" spans="1:16" ht="15.75" customHeight="1">
      <c r="A55" s="32" t="s">
        <v>82</v>
      </c>
      <c r="B55" s="11">
        <f t="shared" si="4"/>
        <v>1079</v>
      </c>
      <c r="C55" s="11">
        <f t="shared" si="5"/>
        <v>5.3952697634881748</v>
      </c>
      <c r="D55" s="11">
        <f>B55/'3.InputsAssumptions'!B$5</f>
        <v>0.44790369447903694</v>
      </c>
      <c r="E55" s="11"/>
      <c r="F55" s="11">
        <v>1079</v>
      </c>
      <c r="G55" s="29">
        <v>1</v>
      </c>
      <c r="H55" s="11"/>
      <c r="I55" s="11"/>
      <c r="J55" s="11"/>
      <c r="K55" s="11"/>
      <c r="L55" s="23"/>
      <c r="M55" s="11"/>
      <c r="N55" s="24"/>
      <c r="O55" s="7"/>
      <c r="P55" s="7"/>
    </row>
    <row r="56" spans="1:16" ht="15.75" customHeight="1">
      <c r="A56" s="11"/>
      <c r="B56" s="11"/>
      <c r="C56" s="11"/>
      <c r="D56" s="11"/>
      <c r="E56" s="11"/>
      <c r="F56" s="11"/>
      <c r="G56" s="11"/>
      <c r="H56" s="11"/>
      <c r="I56" s="11"/>
      <c r="J56" s="11"/>
      <c r="K56" s="11"/>
      <c r="L56" s="11"/>
      <c r="M56" s="11"/>
      <c r="N56" s="11"/>
      <c r="O56" s="7"/>
      <c r="P56" s="7"/>
    </row>
    <row r="57" spans="1:16" ht="13">
      <c r="A57" s="12" t="s">
        <v>83</v>
      </c>
      <c r="B57" s="11">
        <f t="shared" ref="B57:D57" si="6">SUM(B51:B55)</f>
        <v>19999</v>
      </c>
      <c r="C57" s="11">
        <f t="shared" si="6"/>
        <v>100</v>
      </c>
      <c r="D57" s="11">
        <f t="shared" si="6"/>
        <v>8.301784973017849</v>
      </c>
      <c r="E57" s="11"/>
      <c r="F57" s="11">
        <f>SUM(F52:F55)</f>
        <v>19999</v>
      </c>
      <c r="G57" s="11"/>
      <c r="H57" s="11"/>
      <c r="I57" s="11"/>
      <c r="J57" s="11"/>
      <c r="K57" s="11"/>
      <c r="L57" s="23"/>
      <c r="M57" s="11"/>
      <c r="N57" s="24"/>
      <c r="O57" s="7"/>
      <c r="P57" s="7"/>
    </row>
    <row r="58" spans="1:16" ht="13">
      <c r="A58" s="11"/>
      <c r="B58" s="11"/>
      <c r="C58" s="11"/>
      <c r="D58" s="11"/>
      <c r="E58" s="11"/>
      <c r="F58" s="11"/>
      <c r="G58" s="11"/>
      <c r="H58" s="11"/>
      <c r="I58" s="11"/>
      <c r="J58" s="11"/>
      <c r="K58" s="11"/>
      <c r="L58" s="11"/>
      <c r="M58" s="11"/>
      <c r="N58" s="11"/>
      <c r="O58" s="7"/>
      <c r="P58" s="7"/>
    </row>
    <row r="59" spans="1:16" ht="13">
      <c r="A59" s="11"/>
      <c r="B59" s="11"/>
      <c r="C59" s="11"/>
      <c r="D59" s="11"/>
      <c r="E59" s="11"/>
      <c r="F59" s="11"/>
      <c r="G59" s="11"/>
      <c r="H59" s="11"/>
      <c r="I59" s="11"/>
      <c r="J59" s="11"/>
      <c r="K59" s="11"/>
      <c r="L59" s="11"/>
      <c r="M59" s="11"/>
      <c r="N59" s="11"/>
      <c r="O59" s="7"/>
      <c r="P59" s="7"/>
    </row>
    <row r="60" spans="1:16" ht="13">
      <c r="A60" s="12" t="s">
        <v>84</v>
      </c>
      <c r="B60" s="20">
        <f>SUM(B48+B57)</f>
        <v>459498.16409079998</v>
      </c>
      <c r="C60" s="11"/>
      <c r="D60" s="20">
        <f>SUM(D48+D57)</f>
        <v>190.74228480315483</v>
      </c>
      <c r="E60" s="11"/>
      <c r="F60" s="25">
        <f>SUM(F48+F57)</f>
        <v>2414808.2400000002</v>
      </c>
      <c r="G60" s="11"/>
      <c r="H60" s="11"/>
      <c r="I60" s="11"/>
      <c r="J60" s="11"/>
      <c r="K60" s="11"/>
      <c r="L60" s="11"/>
      <c r="M60" s="11"/>
      <c r="N60" s="11"/>
      <c r="O60" s="7"/>
      <c r="P60" s="7"/>
    </row>
    <row r="61" spans="1:16" ht="13">
      <c r="A61" s="11"/>
      <c r="B61" s="11"/>
      <c r="C61" s="11"/>
      <c r="D61" s="11"/>
      <c r="E61" s="11"/>
      <c r="F61" s="11"/>
      <c r="G61" s="11"/>
      <c r="H61" s="11"/>
      <c r="I61" s="11"/>
      <c r="J61" s="11"/>
      <c r="K61" s="11"/>
      <c r="L61" s="11"/>
      <c r="M61" s="11"/>
      <c r="N61" s="11"/>
      <c r="O61" s="7"/>
      <c r="P61" s="7"/>
    </row>
    <row r="62" spans="1:16" ht="13">
      <c r="A62" s="11"/>
      <c r="B62" s="11"/>
      <c r="C62" s="11"/>
      <c r="D62" s="11"/>
      <c r="E62" s="11"/>
      <c r="F62" s="11"/>
      <c r="G62" s="11"/>
      <c r="H62" s="11"/>
      <c r="I62" s="11"/>
      <c r="J62" s="11"/>
      <c r="K62" s="11"/>
      <c r="L62" s="11"/>
      <c r="M62" s="11"/>
      <c r="N62" s="11"/>
      <c r="O62" s="7"/>
      <c r="P62" s="7"/>
    </row>
    <row r="63" spans="1:16" ht="13">
      <c r="A63" s="17" t="s">
        <v>85</v>
      </c>
      <c r="B63" s="18"/>
      <c r="C63" s="18"/>
      <c r="D63" s="18"/>
      <c r="E63" s="18"/>
      <c r="F63" s="18"/>
      <c r="G63" s="18"/>
      <c r="H63" s="18"/>
      <c r="I63" s="18"/>
      <c r="J63" s="18"/>
      <c r="K63" s="18"/>
      <c r="L63" s="18"/>
      <c r="M63" s="11"/>
      <c r="N63" s="11"/>
      <c r="O63" s="7"/>
      <c r="P63" s="7"/>
    </row>
    <row r="64" spans="1:16" ht="13">
      <c r="A64" s="19" t="s">
        <v>86</v>
      </c>
      <c r="B64" s="20">
        <f>((F64*G64)*'3.InputsAssumptions'!B$19)</f>
        <v>2970</v>
      </c>
      <c r="C64" s="20">
        <f t="shared" ref="C64:C68" si="7">B64/B$70</f>
        <v>0.98019801980198018</v>
      </c>
      <c r="D64" s="11">
        <f>B64/'3.InputsAssumptions'!B$5</f>
        <v>1.2328767123287672</v>
      </c>
      <c r="E64" s="11"/>
      <c r="F64" s="11">
        <v>60000</v>
      </c>
      <c r="G64" s="29">
        <v>0.15</v>
      </c>
      <c r="H64" s="11"/>
      <c r="I64" s="11"/>
      <c r="J64" s="11"/>
      <c r="K64" s="23"/>
      <c r="L64" s="23"/>
      <c r="M64" s="11"/>
      <c r="N64" s="24"/>
      <c r="O64" s="7"/>
      <c r="P64" s="7"/>
    </row>
    <row r="65" spans="1:24" ht="13">
      <c r="A65" s="19" t="s">
        <v>87</v>
      </c>
      <c r="B65" s="20">
        <f>((F65*G65)*'3.InputsAssumptions'!B$19)</f>
        <v>0</v>
      </c>
      <c r="C65" s="20">
        <f t="shared" si="7"/>
        <v>0</v>
      </c>
      <c r="D65" s="11">
        <f>B65/'3.InputsAssumptions'!B$5</f>
        <v>0</v>
      </c>
      <c r="E65" s="11"/>
      <c r="F65" s="11">
        <v>3600</v>
      </c>
      <c r="G65" s="33">
        <v>0</v>
      </c>
      <c r="H65" s="11"/>
      <c r="I65" s="11"/>
      <c r="J65" s="11"/>
      <c r="K65" s="23"/>
      <c r="L65" s="23"/>
      <c r="M65" s="11"/>
      <c r="N65" s="24"/>
      <c r="O65" s="7"/>
      <c r="P65" s="7"/>
    </row>
    <row r="66" spans="1:24" ht="13">
      <c r="A66" s="19" t="s">
        <v>88</v>
      </c>
      <c r="B66" s="20">
        <f>((F66*G66)*'3.InputsAssumptions'!B$19)</f>
        <v>0</v>
      </c>
      <c r="C66" s="20">
        <f t="shared" si="7"/>
        <v>0</v>
      </c>
      <c r="D66" s="11">
        <f>B66/'3.InputsAssumptions'!B$5</f>
        <v>0</v>
      </c>
      <c r="E66" s="11"/>
      <c r="F66" s="11">
        <v>6000</v>
      </c>
      <c r="G66" s="33">
        <v>0</v>
      </c>
      <c r="H66" s="11"/>
      <c r="I66" s="11"/>
      <c r="J66" s="11"/>
      <c r="K66" s="23"/>
      <c r="L66" s="23"/>
      <c r="M66" s="11"/>
      <c r="N66" s="24"/>
      <c r="O66" s="7"/>
      <c r="P66" s="7"/>
    </row>
    <row r="67" spans="1:24" ht="13">
      <c r="A67" s="19" t="s">
        <v>89</v>
      </c>
      <c r="B67" s="20">
        <f>((F67*G67)*'3.InputsAssumptions'!B$19)</f>
        <v>0</v>
      </c>
      <c r="C67" s="20">
        <f t="shared" si="7"/>
        <v>0</v>
      </c>
      <c r="D67" s="11">
        <f>B67/'3.InputsAssumptions'!B$5</f>
        <v>0</v>
      </c>
      <c r="E67" s="11"/>
      <c r="F67" s="11">
        <v>10000</v>
      </c>
      <c r="G67" s="33">
        <v>0</v>
      </c>
      <c r="H67" s="11"/>
      <c r="I67" s="11"/>
      <c r="J67" s="11"/>
      <c r="K67" s="23"/>
      <c r="L67" s="23"/>
      <c r="M67" s="11"/>
      <c r="N67" s="24"/>
      <c r="O67" s="7"/>
      <c r="P67" s="7"/>
    </row>
    <row r="68" spans="1:24" ht="13">
      <c r="A68" s="19" t="s">
        <v>90</v>
      </c>
      <c r="B68" s="20">
        <f>(F68*G68)</f>
        <v>60</v>
      </c>
      <c r="C68" s="20">
        <f t="shared" si="7"/>
        <v>1.9801980198019802E-2</v>
      </c>
      <c r="D68" s="11">
        <f>B68/'3.InputsAssumptions'!B$5</f>
        <v>2.4906600249066001E-2</v>
      </c>
      <c r="E68" s="11"/>
      <c r="F68" s="11">
        <v>60</v>
      </c>
      <c r="G68" s="29">
        <v>1</v>
      </c>
      <c r="H68" s="11"/>
      <c r="I68" s="11"/>
      <c r="J68" s="11"/>
      <c r="K68" s="23"/>
      <c r="L68" s="23"/>
      <c r="M68" s="11"/>
      <c r="N68" s="24"/>
      <c r="O68" s="7"/>
      <c r="P68" s="7"/>
    </row>
    <row r="69" spans="1:24" ht="13">
      <c r="A69" s="11"/>
      <c r="B69" s="11"/>
      <c r="C69" s="11"/>
      <c r="D69" s="11"/>
      <c r="E69" s="11"/>
      <c r="F69" s="11"/>
      <c r="G69" s="11"/>
      <c r="H69" s="11"/>
      <c r="I69" s="11"/>
      <c r="J69" s="11"/>
      <c r="K69" s="11"/>
      <c r="L69" s="11"/>
      <c r="M69" s="11"/>
      <c r="N69" s="11"/>
      <c r="O69" s="7"/>
      <c r="P69" s="7"/>
    </row>
    <row r="70" spans="1:24" ht="13">
      <c r="A70" s="12" t="s">
        <v>91</v>
      </c>
      <c r="B70" s="20">
        <f t="shared" ref="B70:D70" si="8">SUM(B64:B68)</f>
        <v>3030</v>
      </c>
      <c r="C70" s="20">
        <f t="shared" si="8"/>
        <v>1</v>
      </c>
      <c r="D70" s="11">
        <f t="shared" si="8"/>
        <v>1.2577833125778333</v>
      </c>
      <c r="E70" s="11"/>
      <c r="F70" s="11">
        <f>SUM(F64:F68)</f>
        <v>79660</v>
      </c>
      <c r="G70" s="11"/>
      <c r="H70" s="11"/>
      <c r="I70" s="11"/>
      <c r="J70" s="11"/>
      <c r="K70" s="11"/>
      <c r="L70" s="23"/>
      <c r="M70" s="11"/>
      <c r="N70" s="24"/>
      <c r="O70" s="7"/>
      <c r="P70" s="7"/>
    </row>
    <row r="71" spans="1:24" ht="13">
      <c r="A71" s="34"/>
      <c r="B71" s="11"/>
      <c r="C71" s="11"/>
      <c r="D71" s="11"/>
      <c r="E71" s="11"/>
      <c r="F71" s="11"/>
      <c r="G71" s="11"/>
      <c r="H71" s="11"/>
      <c r="I71" s="11"/>
      <c r="J71" s="11"/>
      <c r="K71" s="11"/>
      <c r="L71" s="11"/>
      <c r="M71" s="11"/>
      <c r="N71" s="11"/>
      <c r="O71" s="7"/>
      <c r="P71" s="7"/>
    </row>
    <row r="72" spans="1:24" ht="13">
      <c r="A72" s="11"/>
      <c r="B72" s="11"/>
      <c r="C72" s="11"/>
      <c r="D72" s="11"/>
      <c r="E72" s="11"/>
      <c r="F72" s="11"/>
      <c r="G72" s="11"/>
      <c r="H72" s="11"/>
      <c r="I72" s="11"/>
      <c r="J72" s="11"/>
      <c r="K72" s="11"/>
      <c r="L72" s="11"/>
      <c r="M72" s="11"/>
      <c r="N72" s="11"/>
      <c r="O72" s="7"/>
      <c r="P72" s="7"/>
    </row>
    <row r="73" spans="1:24" ht="13">
      <c r="A73" s="14" t="s">
        <v>92</v>
      </c>
      <c r="B73" s="35">
        <f>SUM(B48+B57+B70)</f>
        <v>462528.16409079998</v>
      </c>
      <c r="C73" s="18"/>
      <c r="D73" s="35">
        <f>SUM(D48+D57+D70)</f>
        <v>192.00006811573266</v>
      </c>
      <c r="E73" s="18"/>
      <c r="F73" s="36">
        <f>SUM(F48+F57+F70)</f>
        <v>2494468.2400000002</v>
      </c>
      <c r="G73" s="18"/>
      <c r="H73" s="18"/>
      <c r="I73" s="18"/>
      <c r="J73" s="18"/>
      <c r="K73" s="18"/>
      <c r="L73" s="18"/>
      <c r="M73" s="11"/>
      <c r="N73" s="24"/>
      <c r="O73" s="7"/>
      <c r="P73" s="7"/>
    </row>
    <row r="74" spans="1:24" ht="13">
      <c r="A74" s="11"/>
      <c r="B74" s="11"/>
      <c r="C74" s="11"/>
      <c r="D74" s="11"/>
      <c r="E74" s="11"/>
      <c r="F74" s="11"/>
      <c r="G74" s="11"/>
      <c r="H74" s="11"/>
      <c r="I74" s="11"/>
      <c r="J74" s="11"/>
      <c r="K74" s="7"/>
      <c r="L74" s="7"/>
      <c r="M74" s="7"/>
      <c r="N74" s="7"/>
      <c r="O74" s="7"/>
      <c r="P74" s="7"/>
    </row>
    <row r="75" spans="1:24" ht="13">
      <c r="A75" s="11"/>
      <c r="B75" s="11"/>
      <c r="C75" s="11"/>
      <c r="D75" s="11"/>
      <c r="E75" s="11"/>
      <c r="F75" s="11"/>
      <c r="G75" s="11"/>
      <c r="H75" s="11"/>
      <c r="I75" s="11"/>
      <c r="J75" s="11"/>
      <c r="K75" s="7"/>
      <c r="L75" s="7"/>
      <c r="M75" s="7"/>
      <c r="N75" s="7"/>
      <c r="O75" s="7"/>
      <c r="P75" s="7"/>
    </row>
    <row r="76" spans="1:24" ht="13">
      <c r="A76" s="11"/>
      <c r="B76" s="11"/>
      <c r="C76" s="11"/>
      <c r="D76" s="11"/>
      <c r="E76" s="11"/>
      <c r="F76" s="11"/>
      <c r="G76" s="11"/>
      <c r="H76" s="11"/>
      <c r="I76" s="11"/>
      <c r="J76" s="11"/>
      <c r="K76" s="7"/>
      <c r="L76" s="7"/>
      <c r="M76" s="7"/>
      <c r="N76" s="7"/>
      <c r="O76" s="7"/>
      <c r="P76" s="7"/>
    </row>
    <row r="77" spans="1:24" ht="13">
      <c r="A77" s="11"/>
      <c r="B77" s="11"/>
      <c r="C77" s="11"/>
      <c r="D77" s="11"/>
      <c r="E77" s="11"/>
      <c r="F77" s="11"/>
      <c r="G77" s="11"/>
      <c r="H77" s="11"/>
      <c r="I77" s="11"/>
      <c r="J77" s="11"/>
      <c r="K77" s="11"/>
      <c r="L77" s="11"/>
      <c r="M77" s="11"/>
      <c r="N77" s="11"/>
      <c r="O77" s="11"/>
      <c r="P77" s="11"/>
      <c r="Q77" s="11"/>
      <c r="R77" s="11"/>
      <c r="S77" s="11"/>
      <c r="T77" s="11"/>
      <c r="U77" s="11"/>
      <c r="V77" s="11"/>
      <c r="W77" s="11"/>
      <c r="X77" s="11"/>
    </row>
    <row r="78" spans="1:24" ht="13">
      <c r="A78" s="11"/>
      <c r="B78" s="11"/>
      <c r="C78" s="11"/>
      <c r="D78" s="11"/>
      <c r="E78" s="11"/>
      <c r="F78" s="11"/>
      <c r="G78" s="11"/>
      <c r="H78" s="11"/>
      <c r="I78" s="11"/>
      <c r="J78" s="11"/>
      <c r="K78" s="11"/>
      <c r="L78" s="11"/>
      <c r="M78" s="11"/>
      <c r="N78" s="11"/>
      <c r="O78" s="11"/>
      <c r="P78" s="11"/>
      <c r="Q78" s="11"/>
      <c r="R78" s="11"/>
      <c r="S78" s="11"/>
      <c r="T78" s="11"/>
      <c r="U78" s="11"/>
      <c r="V78" s="11"/>
      <c r="W78" s="11"/>
      <c r="X78" s="11"/>
    </row>
    <row r="79" spans="1:24" ht="13">
      <c r="A79" s="11"/>
      <c r="B79" s="11"/>
      <c r="C79" s="11"/>
      <c r="D79" s="11"/>
      <c r="E79" s="11"/>
      <c r="F79" s="11"/>
      <c r="G79" s="11"/>
      <c r="H79" s="11"/>
      <c r="I79" s="11"/>
      <c r="J79" s="11"/>
      <c r="K79" s="11"/>
      <c r="L79" s="11"/>
      <c r="M79" s="11"/>
      <c r="N79" s="11"/>
      <c r="O79" s="11"/>
      <c r="P79" s="11"/>
      <c r="Q79" s="11"/>
      <c r="R79" s="11"/>
      <c r="S79" s="11"/>
      <c r="T79" s="11"/>
      <c r="U79" s="11"/>
      <c r="V79" s="11"/>
      <c r="W79" s="11"/>
      <c r="X79" s="11"/>
    </row>
    <row r="80" spans="1:24" ht="13">
      <c r="A80" s="11"/>
      <c r="B80" s="11"/>
      <c r="C80" s="11"/>
      <c r="D80" s="11"/>
      <c r="E80" s="11"/>
      <c r="F80" s="11"/>
      <c r="G80" s="11"/>
      <c r="H80" s="11"/>
      <c r="I80" s="11"/>
      <c r="J80" s="11"/>
      <c r="K80" s="11"/>
      <c r="L80" s="11"/>
      <c r="M80" s="11"/>
      <c r="N80" s="11"/>
      <c r="O80" s="11"/>
      <c r="P80" s="11"/>
      <c r="Q80" s="11"/>
      <c r="R80" s="11"/>
      <c r="S80" s="11"/>
      <c r="T80" s="11"/>
      <c r="U80" s="11"/>
      <c r="V80" s="11"/>
      <c r="W80" s="11"/>
      <c r="X80" s="11"/>
    </row>
    <row r="81" spans="1:24" ht="13">
      <c r="A81" s="11"/>
      <c r="B81" s="11"/>
      <c r="C81" s="11"/>
      <c r="D81" s="11"/>
      <c r="E81" s="11"/>
      <c r="F81" s="11"/>
      <c r="G81" s="11"/>
      <c r="H81" s="11"/>
      <c r="I81" s="11"/>
      <c r="J81" s="11"/>
      <c r="K81" s="11"/>
      <c r="L81" s="11"/>
      <c r="M81" s="11"/>
      <c r="N81" s="11"/>
      <c r="O81" s="11"/>
      <c r="P81" s="11"/>
      <c r="Q81" s="11"/>
      <c r="R81" s="11"/>
      <c r="S81" s="11"/>
      <c r="T81" s="11"/>
      <c r="U81" s="11"/>
      <c r="V81" s="11"/>
      <c r="W81" s="11"/>
      <c r="X81" s="11"/>
    </row>
    <row r="82" spans="1:24" ht="13">
      <c r="A82" s="11"/>
      <c r="B82" s="11"/>
      <c r="C82" s="11"/>
      <c r="D82" s="11"/>
      <c r="E82" s="11"/>
      <c r="F82" s="11"/>
      <c r="G82" s="11"/>
      <c r="H82" s="11"/>
      <c r="I82" s="11"/>
      <c r="J82" s="11"/>
      <c r="K82" s="11"/>
      <c r="L82" s="11"/>
      <c r="M82" s="11"/>
      <c r="N82" s="11"/>
      <c r="O82" s="11"/>
      <c r="P82" s="11"/>
      <c r="Q82" s="11"/>
      <c r="R82" s="11"/>
      <c r="S82" s="11"/>
      <c r="T82" s="11"/>
      <c r="U82" s="11"/>
      <c r="V82" s="11"/>
      <c r="W82" s="11"/>
      <c r="X82" s="11"/>
    </row>
    <row r="83" spans="1:24" ht="13">
      <c r="A83" s="11"/>
      <c r="B83" s="11"/>
      <c r="C83" s="11"/>
      <c r="D83" s="11"/>
      <c r="E83" s="11"/>
      <c r="F83" s="11"/>
      <c r="G83" s="11"/>
      <c r="H83" s="11"/>
      <c r="I83" s="11"/>
      <c r="J83" s="11"/>
      <c r="K83" s="11"/>
      <c r="L83" s="11"/>
      <c r="M83" s="11"/>
      <c r="N83" s="11"/>
      <c r="O83" s="11"/>
      <c r="P83" s="11"/>
      <c r="Q83" s="11"/>
      <c r="R83" s="11"/>
      <c r="S83" s="11"/>
      <c r="T83" s="11"/>
      <c r="U83" s="11"/>
      <c r="V83" s="11"/>
      <c r="W83" s="11"/>
      <c r="X83" s="11"/>
    </row>
    <row r="84" spans="1:24" ht="13">
      <c r="A84" s="11"/>
      <c r="B84" s="11"/>
      <c r="C84" s="11"/>
      <c r="D84" s="11"/>
      <c r="E84" s="11"/>
      <c r="F84" s="11"/>
      <c r="G84" s="11"/>
      <c r="H84" s="11"/>
      <c r="I84" s="11"/>
      <c r="J84" s="11"/>
      <c r="K84" s="11"/>
      <c r="L84" s="11"/>
      <c r="M84" s="11"/>
      <c r="N84" s="11"/>
      <c r="O84" s="11"/>
      <c r="P84" s="11"/>
      <c r="Q84" s="11"/>
      <c r="R84" s="11"/>
      <c r="S84" s="11"/>
      <c r="T84" s="11"/>
      <c r="U84" s="11"/>
      <c r="V84" s="11"/>
      <c r="W84" s="11"/>
      <c r="X84" s="11"/>
    </row>
    <row r="85" spans="1:24" ht="13">
      <c r="A85" s="11"/>
      <c r="B85" s="11"/>
      <c r="C85" s="11"/>
      <c r="D85" s="11"/>
      <c r="E85" s="11"/>
      <c r="F85" s="11"/>
      <c r="G85" s="11"/>
      <c r="H85" s="11"/>
      <c r="I85" s="11"/>
      <c r="J85" s="11"/>
      <c r="K85" s="11"/>
      <c r="L85" s="11"/>
      <c r="M85" s="11"/>
      <c r="N85" s="11"/>
      <c r="O85" s="11"/>
      <c r="P85" s="11"/>
      <c r="Q85" s="11"/>
      <c r="R85" s="11"/>
      <c r="S85" s="11"/>
      <c r="T85" s="11"/>
      <c r="U85" s="11"/>
      <c r="V85" s="11"/>
      <c r="W85" s="11"/>
      <c r="X85" s="11"/>
    </row>
    <row r="86" spans="1:24" ht="13">
      <c r="A86" s="11"/>
      <c r="B86" s="11"/>
      <c r="C86" s="11"/>
      <c r="D86" s="11"/>
      <c r="E86" s="11"/>
      <c r="F86" s="11"/>
      <c r="G86" s="11"/>
      <c r="H86" s="11"/>
      <c r="I86" s="11"/>
      <c r="J86" s="11"/>
      <c r="K86" s="11"/>
      <c r="L86" s="11"/>
      <c r="M86" s="11"/>
      <c r="N86" s="11"/>
      <c r="O86" s="11"/>
      <c r="P86" s="11"/>
      <c r="Q86" s="11"/>
      <c r="R86" s="11"/>
      <c r="S86" s="11"/>
      <c r="T86" s="11"/>
      <c r="U86" s="11"/>
      <c r="V86" s="11"/>
      <c r="W86" s="11"/>
      <c r="X86" s="11"/>
    </row>
    <row r="87" spans="1:24" ht="13">
      <c r="A87" s="11"/>
      <c r="B87" s="11"/>
      <c r="C87" s="11"/>
      <c r="D87" s="11"/>
      <c r="E87" s="11"/>
      <c r="F87" s="11"/>
      <c r="G87" s="11"/>
      <c r="H87" s="11"/>
      <c r="I87" s="11"/>
      <c r="J87" s="11"/>
      <c r="K87" s="11"/>
      <c r="L87" s="11"/>
      <c r="M87" s="11"/>
      <c r="N87" s="11"/>
      <c r="O87" s="11"/>
      <c r="P87" s="11"/>
      <c r="Q87" s="11"/>
      <c r="R87" s="11"/>
      <c r="S87" s="11"/>
      <c r="T87" s="11"/>
      <c r="U87" s="11"/>
      <c r="V87" s="11"/>
      <c r="W87" s="11"/>
      <c r="X87" s="11"/>
    </row>
    <row r="88" spans="1:24" ht="13">
      <c r="A88" s="11"/>
      <c r="B88" s="11"/>
      <c r="C88" s="11"/>
      <c r="D88" s="11"/>
      <c r="E88" s="11"/>
      <c r="F88" s="11"/>
      <c r="G88" s="11"/>
      <c r="H88" s="11"/>
      <c r="I88" s="11"/>
      <c r="J88" s="11"/>
      <c r="K88" s="11"/>
      <c r="L88" s="11"/>
      <c r="M88" s="11"/>
      <c r="N88" s="11"/>
      <c r="O88" s="11"/>
      <c r="P88" s="11"/>
      <c r="Q88" s="11"/>
      <c r="R88" s="11"/>
      <c r="S88" s="11"/>
      <c r="T88" s="11"/>
      <c r="U88" s="11"/>
      <c r="V88" s="11"/>
      <c r="W88" s="11"/>
      <c r="X88" s="11"/>
    </row>
    <row r="89" spans="1:24" ht="13">
      <c r="A89" s="11"/>
      <c r="B89" s="11"/>
      <c r="C89" s="11"/>
      <c r="D89" s="11"/>
      <c r="E89" s="11"/>
      <c r="F89" s="11"/>
      <c r="G89" s="11"/>
      <c r="H89" s="11"/>
      <c r="I89" s="11"/>
      <c r="J89" s="11"/>
      <c r="K89" s="11"/>
      <c r="L89" s="11"/>
      <c r="M89" s="11"/>
      <c r="N89" s="11"/>
      <c r="O89" s="11"/>
      <c r="P89" s="11"/>
      <c r="Q89" s="11"/>
      <c r="R89" s="11"/>
      <c r="S89" s="11"/>
      <c r="T89" s="11"/>
      <c r="U89" s="11"/>
      <c r="V89" s="11"/>
      <c r="W89" s="11"/>
      <c r="X89" s="11"/>
    </row>
    <row r="90" spans="1:24" ht="13">
      <c r="A90" s="11"/>
      <c r="B90" s="11"/>
      <c r="C90" s="11"/>
      <c r="D90" s="11"/>
      <c r="E90" s="11"/>
      <c r="F90" s="11"/>
      <c r="G90" s="11"/>
      <c r="H90" s="11"/>
      <c r="I90" s="11"/>
      <c r="J90" s="11"/>
      <c r="K90" s="11"/>
      <c r="L90" s="11"/>
      <c r="M90" s="11"/>
      <c r="N90" s="11"/>
      <c r="O90" s="11"/>
      <c r="P90" s="11"/>
      <c r="Q90" s="11"/>
      <c r="R90" s="11"/>
      <c r="S90" s="11"/>
      <c r="T90" s="11"/>
      <c r="U90" s="11"/>
      <c r="V90" s="11"/>
      <c r="W90" s="11"/>
      <c r="X90" s="11"/>
    </row>
    <row r="91" spans="1:24" ht="13">
      <c r="A91" s="11"/>
      <c r="B91" s="11"/>
      <c r="C91" s="11"/>
      <c r="D91" s="11"/>
      <c r="E91" s="11"/>
      <c r="F91" s="11"/>
      <c r="G91" s="11"/>
      <c r="H91" s="11"/>
      <c r="I91" s="11"/>
      <c r="J91" s="11"/>
      <c r="K91" s="11"/>
      <c r="L91" s="11"/>
      <c r="M91" s="11"/>
      <c r="N91" s="11"/>
      <c r="O91" s="11"/>
      <c r="P91" s="11"/>
      <c r="Q91" s="11"/>
      <c r="R91" s="11"/>
      <c r="S91" s="11"/>
      <c r="T91" s="11"/>
      <c r="U91" s="11"/>
      <c r="V91" s="11"/>
      <c r="W91" s="11"/>
      <c r="X91" s="11"/>
    </row>
    <row r="92" spans="1:24" ht="13">
      <c r="A92" s="11"/>
      <c r="B92" s="11"/>
      <c r="C92" s="11"/>
      <c r="D92" s="11"/>
      <c r="E92" s="11"/>
      <c r="F92" s="11"/>
      <c r="G92" s="11"/>
      <c r="H92" s="11"/>
      <c r="I92" s="11"/>
      <c r="J92" s="11"/>
      <c r="K92" s="11"/>
      <c r="L92" s="11"/>
      <c r="M92" s="11"/>
      <c r="N92" s="11"/>
      <c r="O92" s="11"/>
      <c r="P92" s="11"/>
      <c r="Q92" s="11"/>
      <c r="R92" s="11"/>
      <c r="S92" s="11"/>
      <c r="T92" s="11"/>
      <c r="U92" s="11"/>
      <c r="V92" s="11"/>
      <c r="W92" s="11"/>
      <c r="X92" s="11"/>
    </row>
    <row r="93" spans="1:24" ht="13">
      <c r="A93" s="11"/>
      <c r="B93" s="11"/>
      <c r="C93" s="11"/>
      <c r="D93" s="11"/>
      <c r="E93" s="11"/>
      <c r="F93" s="11"/>
      <c r="G93" s="11"/>
      <c r="H93" s="11"/>
      <c r="I93" s="11"/>
      <c r="J93" s="11"/>
      <c r="K93" s="11"/>
      <c r="L93" s="11"/>
      <c r="M93" s="11"/>
      <c r="N93" s="11"/>
      <c r="O93" s="11"/>
      <c r="P93" s="11"/>
      <c r="Q93" s="11"/>
      <c r="R93" s="11"/>
      <c r="S93" s="11"/>
      <c r="T93" s="11"/>
      <c r="U93" s="11"/>
      <c r="V93" s="11"/>
      <c r="W93" s="11"/>
      <c r="X93" s="11"/>
    </row>
    <row r="94" spans="1:24" ht="13">
      <c r="A94" s="11"/>
      <c r="B94" s="11"/>
      <c r="C94" s="11"/>
      <c r="D94" s="11"/>
      <c r="E94" s="11"/>
      <c r="F94" s="11"/>
      <c r="G94" s="11"/>
      <c r="H94" s="11"/>
      <c r="I94" s="11"/>
      <c r="J94" s="11"/>
      <c r="K94" s="11"/>
      <c r="L94" s="11"/>
      <c r="M94" s="11"/>
      <c r="N94" s="11"/>
      <c r="O94" s="11"/>
      <c r="P94" s="11"/>
      <c r="Q94" s="11"/>
      <c r="R94" s="11"/>
      <c r="S94" s="11"/>
      <c r="T94" s="11"/>
      <c r="U94" s="11"/>
      <c r="V94" s="11"/>
      <c r="W94" s="11"/>
      <c r="X94" s="11"/>
    </row>
    <row r="95" spans="1:24" ht="13">
      <c r="A95" s="11"/>
      <c r="B95" s="11"/>
      <c r="C95" s="11"/>
      <c r="D95" s="11"/>
      <c r="E95" s="11"/>
      <c r="F95" s="11"/>
      <c r="G95" s="11"/>
      <c r="H95" s="11"/>
      <c r="I95" s="11"/>
      <c r="J95" s="11"/>
      <c r="K95" s="11"/>
      <c r="L95" s="11"/>
      <c r="M95" s="11"/>
      <c r="N95" s="11"/>
      <c r="O95" s="11"/>
      <c r="P95" s="11"/>
      <c r="Q95" s="11"/>
      <c r="R95" s="11"/>
      <c r="S95" s="11"/>
      <c r="T95" s="11"/>
      <c r="U95" s="11"/>
      <c r="V95" s="11"/>
      <c r="W95" s="11"/>
      <c r="X95" s="11"/>
    </row>
    <row r="96" spans="1:24" ht="13">
      <c r="A96" s="11"/>
      <c r="B96" s="11"/>
      <c r="C96" s="11"/>
      <c r="D96" s="11"/>
      <c r="E96" s="11"/>
      <c r="F96" s="11"/>
      <c r="G96" s="11"/>
      <c r="H96" s="11"/>
      <c r="I96" s="11"/>
      <c r="J96" s="11"/>
      <c r="K96" s="11"/>
      <c r="L96" s="11"/>
      <c r="M96" s="11"/>
      <c r="N96" s="11"/>
      <c r="O96" s="11"/>
      <c r="P96" s="11"/>
      <c r="Q96" s="11"/>
      <c r="R96" s="11"/>
      <c r="S96" s="11"/>
      <c r="T96" s="11"/>
      <c r="U96" s="11"/>
      <c r="V96" s="11"/>
      <c r="W96" s="11"/>
      <c r="X96" s="11"/>
    </row>
    <row r="97" spans="1:24" ht="13">
      <c r="A97" s="11"/>
      <c r="B97" s="11"/>
      <c r="C97" s="11"/>
      <c r="D97" s="11"/>
      <c r="E97" s="11"/>
      <c r="F97" s="11"/>
      <c r="G97" s="11"/>
      <c r="H97" s="11"/>
      <c r="I97" s="11"/>
      <c r="J97" s="11"/>
      <c r="K97" s="11"/>
      <c r="L97" s="11"/>
      <c r="M97" s="11"/>
      <c r="N97" s="11"/>
      <c r="O97" s="11"/>
      <c r="P97" s="11"/>
      <c r="Q97" s="11"/>
      <c r="R97" s="11"/>
      <c r="S97" s="11"/>
      <c r="T97" s="11"/>
      <c r="U97" s="11"/>
      <c r="V97" s="11"/>
      <c r="W97" s="11"/>
      <c r="X97" s="11"/>
    </row>
    <row r="98" spans="1:24" ht="13">
      <c r="A98" s="11"/>
      <c r="B98" s="11"/>
      <c r="C98" s="11"/>
      <c r="D98" s="11"/>
      <c r="E98" s="11"/>
      <c r="F98" s="11"/>
      <c r="G98" s="11"/>
      <c r="H98" s="11"/>
      <c r="I98" s="11"/>
      <c r="J98" s="11"/>
      <c r="K98" s="11"/>
      <c r="L98" s="11"/>
      <c r="M98" s="11"/>
      <c r="N98" s="11"/>
      <c r="O98" s="11"/>
      <c r="P98" s="11"/>
      <c r="Q98" s="11"/>
      <c r="R98" s="11"/>
      <c r="S98" s="11"/>
      <c r="T98" s="11"/>
      <c r="U98" s="11"/>
      <c r="V98" s="11"/>
      <c r="W98" s="11"/>
      <c r="X98" s="11"/>
    </row>
    <row r="99" spans="1:24" ht="13">
      <c r="A99" s="11"/>
      <c r="B99" s="11"/>
      <c r="C99" s="11"/>
      <c r="D99" s="11"/>
      <c r="E99" s="11"/>
      <c r="F99" s="11"/>
      <c r="G99" s="11"/>
      <c r="H99" s="11"/>
      <c r="I99" s="11"/>
      <c r="J99" s="11"/>
      <c r="K99" s="11"/>
      <c r="L99" s="11"/>
      <c r="M99" s="11"/>
      <c r="N99" s="11"/>
      <c r="O99" s="11"/>
      <c r="P99" s="11"/>
      <c r="Q99" s="11"/>
      <c r="R99" s="11"/>
      <c r="S99" s="11"/>
      <c r="T99" s="11"/>
      <c r="U99" s="11"/>
      <c r="V99" s="11"/>
      <c r="W99" s="11"/>
      <c r="X99" s="11"/>
    </row>
    <row r="100" spans="1:24" ht="1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row>
    <row r="101" spans="1:24" ht="13">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row>
    <row r="102" spans="1:24" ht="13">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row>
    <row r="103" spans="1:24" ht="1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row>
    <row r="104" spans="1:24" ht="13">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row>
    <row r="105" spans="1:24" ht="13">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row>
    <row r="106" spans="1:24" ht="13">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row>
    <row r="107" spans="1:24" ht="13">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row>
    <row r="108" spans="1:24" ht="13">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row>
    <row r="109" spans="1:24" ht="13">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row>
    <row r="110" spans="1:24" ht="13">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row>
    <row r="111" spans="1:24" ht="13">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row>
    <row r="112" spans="1:24" ht="13">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row>
    <row r="113" spans="1:24" ht="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row>
    <row r="114" spans="1:24" ht="13">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row>
    <row r="115" spans="1:24" ht="13">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row>
    <row r="116" spans="1:24" ht="13">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row>
    <row r="117" spans="1:24" ht="13">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row>
    <row r="118" spans="1:24" ht="13">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row>
    <row r="119" spans="1:24" ht="13">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row>
    <row r="120" spans="1:24" ht="13">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row>
    <row r="121" spans="1:24" ht="13">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row>
    <row r="122" spans="1:24" ht="13">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row>
    <row r="123" spans="1:24" ht="1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row>
    <row r="124" spans="1:24" ht="13">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row>
    <row r="125" spans="1:24" ht="13">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row>
    <row r="126" spans="1:24" ht="13">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row>
    <row r="127" spans="1:24" ht="13">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row>
    <row r="128" spans="1:24" ht="13">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row>
    <row r="129" spans="1:24" ht="13">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row>
    <row r="130" spans="1:24" ht="13">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row>
    <row r="131" spans="1:24" ht="13">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row>
    <row r="132" spans="1:24" ht="13">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row>
    <row r="133" spans="1:24" ht="1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row>
    <row r="134" spans="1:24" ht="13">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row>
    <row r="135" spans="1:24" ht="13">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row>
    <row r="136" spans="1:24" ht="13">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row>
    <row r="137" spans="1:24" ht="13">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row>
    <row r="138" spans="1:24" ht="13">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row>
    <row r="139" spans="1:24" ht="13">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row>
    <row r="140" spans="1:24" ht="13">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row>
    <row r="141" spans="1:24" ht="13">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row>
    <row r="142" spans="1:24" ht="13">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row>
    <row r="143" spans="1:24" ht="1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row>
    <row r="144" spans="1:24" ht="13">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row>
    <row r="145" spans="1:24" ht="13">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row>
    <row r="146" spans="1:24" ht="13">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row>
    <row r="147" spans="1:24" ht="13">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row>
    <row r="148" spans="1:24" ht="13">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row>
    <row r="149" spans="1:24" ht="13">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row>
    <row r="150" spans="1:24" ht="13">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row>
    <row r="151" spans="1:24" ht="13">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row>
    <row r="152" spans="1:24" ht="13">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row>
    <row r="153" spans="1:24" ht="1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row>
    <row r="154" spans="1:24" ht="13">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row>
    <row r="155" spans="1:24" ht="13">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row>
    <row r="156" spans="1:24" ht="13">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row>
    <row r="157" spans="1:24" ht="13">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row>
    <row r="158" spans="1:24" ht="13">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row>
    <row r="159" spans="1:24" ht="13">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row>
    <row r="160" spans="1:24" ht="13">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row>
    <row r="161" spans="1:24" ht="13">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row>
    <row r="162" spans="1:24" ht="13">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row>
    <row r="163" spans="1:24" ht="1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row>
    <row r="164" spans="1:24" ht="13">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row>
    <row r="165" spans="1:24" ht="13">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row>
    <row r="166" spans="1:24" ht="13">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row>
    <row r="167" spans="1:24" ht="13">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row>
    <row r="168" spans="1:24" ht="13">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row>
    <row r="169" spans="1:24" ht="13">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row>
    <row r="170" spans="1:24" ht="13">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row>
    <row r="171" spans="1:24" ht="13">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row>
    <row r="172" spans="1:24" ht="13">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row>
    <row r="173" spans="1:24" ht="1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row>
    <row r="174" spans="1:24" ht="13">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row>
    <row r="175" spans="1:24" ht="13">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row>
    <row r="176" spans="1:24" ht="13">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row>
    <row r="177" spans="1:24" ht="13">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row>
    <row r="178" spans="1:24" ht="13">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row>
    <row r="179" spans="1:24" ht="13">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row>
    <row r="180" spans="1:24" ht="13">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row>
    <row r="181" spans="1:24" ht="13">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row>
    <row r="182" spans="1:24" ht="13">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row>
    <row r="183" spans="1:24" ht="1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row>
    <row r="184" spans="1:24" ht="13">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row>
    <row r="185" spans="1:24" ht="13">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row>
    <row r="186" spans="1:24" ht="13">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row>
    <row r="187" spans="1:24" ht="13">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row>
    <row r="188" spans="1:24" ht="13">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row>
    <row r="189" spans="1:24" ht="13">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row>
    <row r="190" spans="1:24" ht="13">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row>
    <row r="191" spans="1:24" ht="13">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row>
    <row r="192" spans="1:24" ht="13">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row>
    <row r="193" spans="1:24" ht="1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row>
    <row r="194" spans="1:24" ht="13">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row>
    <row r="195" spans="1:24" ht="13">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row>
    <row r="196" spans="1:24" ht="13">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row>
    <row r="197" spans="1:24" ht="13">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row>
    <row r="198" spans="1:24" ht="13">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row>
    <row r="199" spans="1:24" ht="13">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row>
    <row r="200" spans="1:24" ht="13">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row>
    <row r="201" spans="1:24" ht="13">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row>
    <row r="202" spans="1:24" ht="13">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row>
    <row r="203" spans="1:24" ht="1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row>
    <row r="204" spans="1:24" ht="13">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row>
    <row r="205" spans="1:24" ht="13">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row>
    <row r="206" spans="1:24" ht="13">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row>
    <row r="207" spans="1:24" ht="13">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row>
    <row r="208" spans="1:24" ht="13">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row>
    <row r="209" spans="1:24" ht="13">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row>
    <row r="210" spans="1:24" ht="13">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row>
    <row r="211" spans="1:24" ht="13">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row>
    <row r="212" spans="1:24" ht="13">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row>
    <row r="213" spans="1:24" ht="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row>
    <row r="214" spans="1:24" ht="13">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row>
    <row r="215" spans="1:24" ht="13">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row>
    <row r="216" spans="1:24" ht="13">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row>
    <row r="217" spans="1:24" ht="13">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row>
    <row r="218" spans="1:24" ht="13">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row>
    <row r="219" spans="1:24" ht="13">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row>
    <row r="220" spans="1:24" ht="13">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row>
    <row r="221" spans="1:24" ht="13">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row>
    <row r="222" spans="1:24" ht="13">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row>
    <row r="223" spans="1:24" ht="1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row>
    <row r="224" spans="1:24" ht="13">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row>
    <row r="225" spans="1:24" ht="13">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row>
    <row r="226" spans="1:24" ht="13">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row>
    <row r="227" spans="1:24" ht="13">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row>
    <row r="228" spans="1:24" ht="13">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row>
    <row r="229" spans="1:24" ht="13">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row>
    <row r="230" spans="1:24" ht="13">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row>
    <row r="231" spans="1:24" ht="13">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row>
    <row r="232" spans="1:24" ht="13">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row>
    <row r="233" spans="1:24" ht="1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row>
    <row r="234" spans="1:24" ht="13">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row>
    <row r="235" spans="1:24" ht="13">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row>
    <row r="236" spans="1:24" ht="13">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row>
    <row r="237" spans="1:24" ht="13">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row>
    <row r="238" spans="1:24" ht="13">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row>
    <row r="239" spans="1:24" ht="13">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row>
    <row r="240" spans="1:24" ht="13">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row>
    <row r="241" spans="1:24" ht="13">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row>
    <row r="242" spans="1:24" ht="13">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row>
    <row r="243" spans="1:24" ht="1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row>
    <row r="244" spans="1:24" ht="13">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row>
    <row r="245" spans="1:24" ht="13">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row>
    <row r="246" spans="1:24" ht="13">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row>
    <row r="247" spans="1:24" ht="13">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row>
    <row r="248" spans="1:24" ht="13">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row>
    <row r="249" spans="1:24" ht="13">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row>
    <row r="250" spans="1:24" ht="13">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row>
    <row r="251" spans="1:24" ht="13">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row>
    <row r="252" spans="1:24" ht="13">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row>
    <row r="253" spans="1:24" ht="1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row>
    <row r="254" spans="1:24" ht="13">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row>
    <row r="255" spans="1:24" ht="13">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row>
    <row r="256" spans="1:24" ht="13">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row>
    <row r="257" spans="1:24" ht="13">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row>
    <row r="258" spans="1:24" ht="13">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row>
    <row r="259" spans="1:24" ht="13">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row>
    <row r="260" spans="1:24" ht="13">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row>
    <row r="261" spans="1:24" ht="13">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row>
    <row r="262" spans="1:24" ht="13">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row>
    <row r="263" spans="1:24" ht="1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row>
    <row r="264" spans="1:24" ht="13">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row>
    <row r="265" spans="1:24" ht="13">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row>
    <row r="266" spans="1:24" ht="13">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row>
    <row r="267" spans="1:24" ht="13">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row>
    <row r="268" spans="1:24" ht="13">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row>
    <row r="269" spans="1:24" ht="13">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row>
    <row r="270" spans="1:24" ht="13">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row>
    <row r="271" spans="1:24" ht="13">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row>
    <row r="272" spans="1:24" ht="13">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row>
    <row r="273" spans="1:24" ht="1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row>
    <row r="274" spans="1:24" ht="13">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row>
    <row r="275" spans="1:24" ht="13">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row>
    <row r="276" spans="1:24" ht="13">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row>
    <row r="277" spans="1:24" ht="13">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row>
    <row r="278" spans="1:24" ht="13">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row>
    <row r="279" spans="1:24" ht="13">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row>
    <row r="280" spans="1:24" ht="13">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row>
    <row r="281" spans="1:24" ht="13">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row>
    <row r="282" spans="1:24" ht="13">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row>
    <row r="283" spans="1:24" ht="1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row>
    <row r="284" spans="1:24" ht="13">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row>
    <row r="285" spans="1:24" ht="13">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row>
    <row r="286" spans="1:24" ht="13">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row>
    <row r="287" spans="1:24" ht="13">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row>
    <row r="288" spans="1:24" ht="13">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row>
    <row r="289" spans="1:24" ht="13">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row>
    <row r="290" spans="1:24" ht="13">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row>
    <row r="291" spans="1:24" ht="13">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row>
    <row r="292" spans="1:24" ht="13">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row>
    <row r="293" spans="1:24" ht="1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row>
    <row r="294" spans="1:24" ht="13">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row>
    <row r="295" spans="1:24" ht="13">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row>
    <row r="296" spans="1:24" ht="13">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row>
    <row r="297" spans="1:24" ht="13">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row>
    <row r="298" spans="1:24" ht="13">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row>
    <row r="299" spans="1:24" ht="13">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row>
    <row r="300" spans="1:24" ht="13">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row>
    <row r="301" spans="1:24" ht="13">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row>
    <row r="302" spans="1:24" ht="13">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row>
    <row r="303" spans="1:24" ht="1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row>
    <row r="304" spans="1:24" ht="13">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row>
    <row r="305" spans="1:24" ht="13">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row>
    <row r="306" spans="1:24" ht="13">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row>
    <row r="307" spans="1:24" ht="13">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row>
    <row r="308" spans="1:24" ht="13">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row>
    <row r="309" spans="1:24" ht="13">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row>
    <row r="310" spans="1:24" ht="13">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row>
    <row r="311" spans="1:24" ht="13">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row>
    <row r="312" spans="1:24" ht="13">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row>
    <row r="313" spans="1:24" ht="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row>
    <row r="314" spans="1:24" ht="13">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row>
    <row r="315" spans="1:24" ht="13">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row>
    <row r="316" spans="1:24" ht="13">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row>
    <row r="317" spans="1:24" ht="13">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row>
    <row r="318" spans="1:24" ht="13">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row>
    <row r="319" spans="1:24" ht="13">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row>
    <row r="320" spans="1:24" ht="13">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row>
    <row r="321" spans="1:24" ht="13">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row>
    <row r="322" spans="1:24" ht="13">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row>
    <row r="323" spans="1:24" ht="1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row>
    <row r="324" spans="1:24" ht="13">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row>
    <row r="325" spans="1:24" ht="13">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row>
    <row r="326" spans="1:24" ht="13">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row>
    <row r="327" spans="1:24" ht="13">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row>
    <row r="328" spans="1:24" ht="13">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row>
    <row r="329" spans="1:24" ht="13">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row>
    <row r="330" spans="1:24" ht="13">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row>
    <row r="331" spans="1:24" ht="13">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row>
    <row r="332" spans="1:24" ht="13">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row>
    <row r="333" spans="1:24" ht="1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row>
    <row r="334" spans="1:24" ht="13">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row>
    <row r="335" spans="1:24" ht="13">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row>
    <row r="336" spans="1:24" ht="13">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row>
    <row r="337" spans="1:24" ht="13">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row>
    <row r="338" spans="1:24" ht="13">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row>
    <row r="339" spans="1:24" ht="13">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row>
    <row r="340" spans="1:24" ht="13">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row>
    <row r="341" spans="1:24" ht="13">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row>
    <row r="342" spans="1:24" ht="13">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row>
    <row r="343" spans="1:24" ht="1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row>
    <row r="344" spans="1:24" ht="13">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row>
    <row r="345" spans="1:24" ht="13">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row>
    <row r="346" spans="1:24" ht="13">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row>
    <row r="347" spans="1:24" ht="13">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row>
    <row r="348" spans="1:24" ht="13">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row>
    <row r="349" spans="1:24" ht="13">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row>
    <row r="350" spans="1:24" ht="13">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row>
    <row r="351" spans="1:24" ht="13">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row>
    <row r="352" spans="1:24" ht="13">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row>
    <row r="353" spans="1:24" ht="1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row>
    <row r="354" spans="1:24" ht="13">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row>
    <row r="355" spans="1:24" ht="13">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row>
    <row r="356" spans="1:24" ht="13">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row>
    <row r="357" spans="1:24" ht="13">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row>
    <row r="358" spans="1:24" ht="13">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row>
    <row r="359" spans="1:24" ht="13">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row>
    <row r="360" spans="1:24" ht="13">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row>
    <row r="361" spans="1:24" ht="13">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row>
    <row r="362" spans="1:24" ht="13">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row>
    <row r="363" spans="1:24" ht="1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row>
    <row r="364" spans="1:24" ht="13">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row>
    <row r="365" spans="1:24" ht="13">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row>
    <row r="366" spans="1:24" ht="13">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row>
    <row r="367" spans="1:24" ht="13">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row>
    <row r="368" spans="1:24" ht="13">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row>
    <row r="369" spans="1:24" ht="13">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row>
    <row r="370" spans="1:24" ht="13">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row>
    <row r="371" spans="1:24" ht="13">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row>
    <row r="372" spans="1:24" ht="13">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row>
    <row r="373" spans="1:24" ht="1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row>
    <row r="374" spans="1:24" ht="13">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row>
    <row r="375" spans="1:24" ht="13">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row>
    <row r="376" spans="1:24" ht="13">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row>
    <row r="377" spans="1:24" ht="13">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row>
    <row r="378" spans="1:24" ht="13">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row>
    <row r="379" spans="1:24" ht="13">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row>
    <row r="380" spans="1:24" ht="13">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row>
    <row r="381" spans="1:24" ht="13">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row>
    <row r="382" spans="1:24" ht="13">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row>
    <row r="383" spans="1:24" ht="1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row>
    <row r="384" spans="1:24" ht="13">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row>
    <row r="385" spans="1:24" ht="13">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row>
    <row r="386" spans="1:24" ht="13">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row>
    <row r="387" spans="1:24" ht="13">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row>
    <row r="388" spans="1:24" ht="13">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row>
    <row r="389" spans="1:24" ht="13">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row>
    <row r="390" spans="1:24" ht="13">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row>
    <row r="391" spans="1:24" ht="13">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row>
    <row r="392" spans="1:24" ht="13">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row>
    <row r="393" spans="1:24" ht="1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row>
    <row r="394" spans="1:24" ht="13">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row>
    <row r="395" spans="1:24" ht="13">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row>
    <row r="396" spans="1:24" ht="13">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row>
    <row r="397" spans="1:24" ht="13">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row>
    <row r="398" spans="1:24" ht="13">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row>
    <row r="399" spans="1:24" ht="13">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row>
    <row r="400" spans="1:24" ht="13">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row>
    <row r="401" spans="1:24" ht="13">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row>
    <row r="402" spans="1:24" ht="13">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row>
    <row r="403" spans="1:24" ht="1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row>
    <row r="404" spans="1:24" ht="13">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row>
    <row r="405" spans="1:24" ht="13">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row>
    <row r="406" spans="1:24" ht="13">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row>
    <row r="407" spans="1:24" ht="13">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row>
    <row r="408" spans="1:24" ht="13">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row>
    <row r="409" spans="1:24" ht="13">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row>
    <row r="410" spans="1:24" ht="13">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row>
    <row r="411" spans="1:24" ht="13">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row>
    <row r="412" spans="1:24" ht="13">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row>
    <row r="413" spans="1:24" ht="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row>
    <row r="414" spans="1:24" ht="13">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row>
    <row r="415" spans="1:24" ht="13">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row>
    <row r="416" spans="1:24" ht="13">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row>
    <row r="417" spans="1:24" ht="13">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row>
    <row r="418" spans="1:24" ht="13">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row>
    <row r="419" spans="1:24" ht="13">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row>
    <row r="420" spans="1:24" ht="13">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row>
    <row r="421" spans="1:24" ht="13">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row>
    <row r="422" spans="1:24" ht="13">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row>
    <row r="423" spans="1:24" ht="1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row>
    <row r="424" spans="1:24" ht="13">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row>
    <row r="425" spans="1:24" ht="13">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row>
    <row r="426" spans="1:24" ht="13">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row>
    <row r="427" spans="1:24" ht="13">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row>
    <row r="428" spans="1:24" ht="13">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row>
    <row r="429" spans="1:24" ht="13">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row>
    <row r="430" spans="1:24" ht="13">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row>
    <row r="431" spans="1:24" ht="13">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row>
    <row r="432" spans="1:24" ht="13">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row>
    <row r="433" spans="1:24" ht="1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row>
    <row r="434" spans="1:24" ht="13">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row>
    <row r="435" spans="1:24" ht="13">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row>
    <row r="436" spans="1:24" ht="13">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row>
    <row r="437" spans="1:24" ht="13">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row>
    <row r="438" spans="1:24" ht="13">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row>
    <row r="439" spans="1:24" ht="13">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row>
    <row r="440" spans="1:24" ht="13">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row>
    <row r="441" spans="1:24" ht="13">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row>
    <row r="442" spans="1:24" ht="13">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row>
    <row r="443" spans="1:24" ht="1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row>
    <row r="444" spans="1:24" ht="13">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row>
    <row r="445" spans="1:24" ht="13">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row>
    <row r="446" spans="1:24" ht="13">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row>
    <row r="447" spans="1:24" ht="13">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row>
    <row r="448" spans="1:24" ht="13">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row>
    <row r="449" spans="1:24" ht="13">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row>
    <row r="450" spans="1:24" ht="13">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row>
    <row r="451" spans="1:24" ht="13">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row>
    <row r="452" spans="1:24" ht="13">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row>
    <row r="453" spans="1:24" ht="1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row>
    <row r="454" spans="1:24" ht="13">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row>
    <row r="455" spans="1:24" ht="13">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row>
    <row r="456" spans="1:24" ht="13">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row>
    <row r="457" spans="1:24" ht="13">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row>
    <row r="458" spans="1:24" ht="13">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row>
    <row r="459" spans="1:24" ht="13">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row>
    <row r="460" spans="1:24" ht="13">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row>
    <row r="461" spans="1:24" ht="13">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row>
    <row r="462" spans="1:24" ht="13">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row>
    <row r="463" spans="1:24" ht="1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row>
    <row r="464" spans="1:24" ht="13">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row>
    <row r="465" spans="1:24" ht="13">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row>
    <row r="466" spans="1:24" ht="13">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row>
    <row r="467" spans="1:24" ht="13">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row>
    <row r="468" spans="1:24" ht="13">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row>
    <row r="469" spans="1:24" ht="13">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row>
    <row r="470" spans="1:24" ht="13">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row>
    <row r="471" spans="1:24" ht="13">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row>
    <row r="472" spans="1:24" ht="13">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row>
    <row r="473" spans="1:24" ht="1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row>
    <row r="474" spans="1:24" ht="13">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row>
    <row r="475" spans="1:24" ht="13">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row>
    <row r="476" spans="1:24" ht="13">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row>
    <row r="477" spans="1:24" ht="13">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row>
    <row r="478" spans="1:24" ht="13">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row>
    <row r="479" spans="1:24" ht="13">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row>
    <row r="480" spans="1:24" ht="13">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row>
    <row r="481" spans="1:24" ht="13">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row>
    <row r="482" spans="1:24" ht="13">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row>
    <row r="483" spans="1:24" ht="1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row>
    <row r="484" spans="1:24" ht="13">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row>
    <row r="485" spans="1:24" ht="13">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row>
    <row r="486" spans="1:24" ht="13">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row>
    <row r="487" spans="1:24" ht="13">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row>
    <row r="488" spans="1:24" ht="13">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row>
    <row r="489" spans="1:24" ht="13">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row>
    <row r="490" spans="1:24" ht="13">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row>
    <row r="491" spans="1:24" ht="13">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row>
    <row r="492" spans="1:24" ht="13">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row>
    <row r="493" spans="1:24" ht="1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row>
    <row r="494" spans="1:24" ht="13">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row>
    <row r="495" spans="1:24" ht="13">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row>
    <row r="496" spans="1:24" ht="13">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row>
    <row r="497" spans="1:24" ht="13">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row>
    <row r="498" spans="1:24" ht="13">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row>
    <row r="499" spans="1:24" ht="13">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row>
    <row r="500" spans="1:24" ht="13">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row>
    <row r="501" spans="1:24" ht="13">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row>
    <row r="502" spans="1:24" ht="13">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row>
    <row r="503" spans="1:24" ht="1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row>
    <row r="504" spans="1:24" ht="13">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row>
    <row r="505" spans="1:24" ht="13">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row>
    <row r="506" spans="1:24" ht="13">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row>
    <row r="507" spans="1:24" ht="13">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row>
    <row r="508" spans="1:24" ht="13">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row>
    <row r="509" spans="1:24" ht="13">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row>
    <row r="510" spans="1:24" ht="13">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row>
    <row r="511" spans="1:24" ht="13">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row>
    <row r="512" spans="1:24" ht="13">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row>
    <row r="513" spans="1:24" ht="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row>
    <row r="514" spans="1:24" ht="13">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row>
    <row r="515" spans="1:24" ht="13">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row>
    <row r="516" spans="1:24" ht="13">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row>
    <row r="517" spans="1:24" ht="13">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row>
    <row r="518" spans="1:24" ht="13">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row>
    <row r="519" spans="1:24" ht="13">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row>
    <row r="520" spans="1:24" ht="13">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row>
    <row r="521" spans="1:24" ht="13">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row>
    <row r="522" spans="1:24" ht="13">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row>
    <row r="523" spans="1:24" ht="1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row>
    <row r="524" spans="1:24" ht="13">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row>
    <row r="525" spans="1:24" ht="13">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row>
    <row r="526" spans="1:24" ht="13">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row>
    <row r="527" spans="1:24" ht="13">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row>
    <row r="528" spans="1:24" ht="13">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row>
    <row r="529" spans="1:24" ht="13">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row>
    <row r="530" spans="1:24" ht="13">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row>
    <row r="531" spans="1:24" ht="13">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row>
    <row r="532" spans="1:24" ht="13">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row>
    <row r="533" spans="1:24" ht="1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row>
    <row r="534" spans="1:24" ht="13">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row>
    <row r="535" spans="1:24" ht="13">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row>
    <row r="536" spans="1:24" ht="13">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row>
    <row r="537" spans="1:24" ht="13">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row>
    <row r="538" spans="1:24" ht="13">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row>
    <row r="539" spans="1:24" ht="13">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row>
    <row r="540" spans="1:24" ht="13">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row>
    <row r="541" spans="1:24" ht="13">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row>
    <row r="542" spans="1:24" ht="13">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row>
    <row r="543" spans="1:24" ht="1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row>
    <row r="544" spans="1:24" ht="13">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row>
    <row r="545" spans="1:24" ht="13">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row>
    <row r="546" spans="1:24" ht="13">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row>
    <row r="547" spans="1:24" ht="13">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row>
    <row r="548" spans="1:24" ht="13">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row>
    <row r="549" spans="1:24" ht="13">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row>
    <row r="550" spans="1:24" ht="13">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row>
    <row r="551" spans="1:24" ht="13">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row>
    <row r="552" spans="1:24" ht="13">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row>
    <row r="553" spans="1:24" ht="1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row>
    <row r="554" spans="1:24" ht="13">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row>
    <row r="555" spans="1:24" ht="13">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row>
    <row r="556" spans="1:24" ht="13">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row>
    <row r="557" spans="1:24" ht="13">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row>
    <row r="558" spans="1:24" ht="13">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row>
    <row r="559" spans="1:24" ht="13">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row>
    <row r="560" spans="1:24" ht="13">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row>
    <row r="561" spans="1:24" ht="13">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row>
    <row r="562" spans="1:24" ht="13">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row>
    <row r="563" spans="1:24" ht="1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row>
    <row r="564" spans="1:24" ht="13">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row>
    <row r="565" spans="1:24" ht="13">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row>
    <row r="566" spans="1:24" ht="13">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row>
    <row r="567" spans="1:24" ht="13">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row>
    <row r="568" spans="1:24" ht="13">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row>
    <row r="569" spans="1:24" ht="13">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row>
    <row r="570" spans="1:24" ht="13">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row>
    <row r="571" spans="1:24" ht="13">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row>
    <row r="572" spans="1:24" ht="13">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row>
    <row r="573" spans="1:24" ht="1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row>
    <row r="574" spans="1:24" ht="13">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row>
    <row r="575" spans="1:24" ht="13">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row>
    <row r="576" spans="1:24" ht="13">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row>
    <row r="577" spans="1:24" ht="13">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row>
    <row r="578" spans="1:24" ht="13">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row>
    <row r="579" spans="1:24" ht="13">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row>
    <row r="580" spans="1:24" ht="13">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row>
    <row r="581" spans="1:24" ht="13">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row>
    <row r="582" spans="1:24" ht="13">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row>
    <row r="583" spans="1:24" ht="1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row>
    <row r="584" spans="1:24" ht="13">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row>
    <row r="585" spans="1:24" ht="13">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row>
    <row r="586" spans="1:24" ht="13">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row>
    <row r="587" spans="1:24" ht="13">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row>
    <row r="588" spans="1:24" ht="13">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row>
    <row r="589" spans="1:24" ht="13">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row>
    <row r="590" spans="1:24" ht="13">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row>
    <row r="591" spans="1:24" ht="13">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row>
    <row r="592" spans="1:24" ht="13">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row>
    <row r="593" spans="1:24" ht="1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row>
    <row r="594" spans="1:24" ht="13">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row>
    <row r="595" spans="1:24" ht="13">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row>
    <row r="596" spans="1:24" ht="13">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row>
    <row r="597" spans="1:24" ht="13">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row>
    <row r="598" spans="1:24" ht="13">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row>
    <row r="599" spans="1:24" ht="13">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row>
    <row r="600" spans="1:24" ht="13">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row>
    <row r="601" spans="1:24" ht="13">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row>
    <row r="602" spans="1:24" ht="13">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row>
    <row r="603" spans="1:24" ht="1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row>
    <row r="604" spans="1:24" ht="13">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row>
    <row r="605" spans="1:24" ht="13">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row>
    <row r="606" spans="1:24" ht="13">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row>
    <row r="607" spans="1:24" ht="13">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row>
    <row r="608" spans="1:24" ht="13">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row>
    <row r="609" spans="1:24" ht="13">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row>
    <row r="610" spans="1:24" ht="13">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row>
    <row r="611" spans="1:24" ht="13">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row>
    <row r="612" spans="1:24" ht="13">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row>
    <row r="613" spans="1:24" ht="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row>
    <row r="614" spans="1:24" ht="13">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row>
    <row r="615" spans="1:24" ht="13">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row>
    <row r="616" spans="1:24" ht="13">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row>
    <row r="617" spans="1:24" ht="13">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row>
    <row r="618" spans="1:24" ht="13">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row>
    <row r="619" spans="1:24" ht="13">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row>
    <row r="620" spans="1:24" ht="13">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row>
    <row r="621" spans="1:24" ht="13">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row>
    <row r="622" spans="1:24" ht="13">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row>
    <row r="623" spans="1:24" ht="1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row>
    <row r="624" spans="1:24" ht="13">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row>
    <row r="625" spans="1:24" ht="13">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row>
    <row r="626" spans="1:24" ht="13">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row>
    <row r="627" spans="1:24" ht="13">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row>
    <row r="628" spans="1:24" ht="13">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row>
    <row r="629" spans="1:24" ht="13">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row>
    <row r="630" spans="1:24" ht="13">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row>
    <row r="631" spans="1:24" ht="13">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row>
    <row r="632" spans="1:24" ht="13">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row>
    <row r="633" spans="1:24" ht="1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row>
    <row r="634" spans="1:24" ht="13">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row>
    <row r="635" spans="1:24" ht="13">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row>
    <row r="636" spans="1:24" ht="13">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row>
    <row r="637" spans="1:24" ht="13">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row>
    <row r="638" spans="1:24" ht="13">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row>
    <row r="639" spans="1:24" ht="13">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row>
    <row r="640" spans="1:24" ht="13">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row>
    <row r="641" spans="1:24" ht="13">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row>
    <row r="642" spans="1:24" ht="13">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row>
    <row r="643" spans="1:24" ht="1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row>
    <row r="644" spans="1:24" ht="13">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row>
    <row r="645" spans="1:24" ht="13">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row>
    <row r="646" spans="1:24" ht="13">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row>
    <row r="647" spans="1:24" ht="13">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row>
    <row r="648" spans="1:24" ht="13">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row>
    <row r="649" spans="1:24" ht="13">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row>
    <row r="650" spans="1:24" ht="13">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row>
    <row r="651" spans="1:24" ht="13">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row>
    <row r="652" spans="1:24" ht="13">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row>
    <row r="653" spans="1:24" ht="1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row>
    <row r="654" spans="1:24" ht="13">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row>
    <row r="655" spans="1:24" ht="13">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row>
    <row r="656" spans="1:24" ht="13">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row>
    <row r="657" spans="1:24" ht="13">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row>
    <row r="658" spans="1:24" ht="13">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row>
    <row r="659" spans="1:24" ht="13">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row>
    <row r="660" spans="1:24" ht="13">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row>
    <row r="661" spans="1:24" ht="13">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row>
    <row r="662" spans="1:24" ht="13">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row>
    <row r="663" spans="1:24" ht="1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row>
    <row r="664" spans="1:24" ht="13">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row>
    <row r="665" spans="1:24" ht="13">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row>
    <row r="666" spans="1:24" ht="13">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row>
    <row r="667" spans="1:24" ht="13">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row>
    <row r="668" spans="1:24" ht="13">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row>
    <row r="669" spans="1:24" ht="13">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row>
    <row r="670" spans="1:24" ht="13">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row>
    <row r="671" spans="1:24" ht="13">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row>
    <row r="672" spans="1:24" ht="13">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row>
    <row r="673" spans="1:24" ht="1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row>
    <row r="674" spans="1:24" ht="13">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row>
    <row r="675" spans="1:24" ht="13">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row>
    <row r="676" spans="1:24" ht="13">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row>
    <row r="677" spans="1:24" ht="13">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row>
    <row r="678" spans="1:24" ht="13">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row>
    <row r="679" spans="1:24" ht="13">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row>
    <row r="680" spans="1:24" ht="13">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row>
    <row r="681" spans="1:24" ht="13">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row>
    <row r="682" spans="1:24" ht="13">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row>
    <row r="683" spans="1:24" ht="1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row>
    <row r="684" spans="1:24" ht="13">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row>
    <row r="685" spans="1:24" ht="13">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row>
    <row r="686" spans="1:24" ht="13">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row>
    <row r="687" spans="1:24" ht="13">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row>
    <row r="688" spans="1:24" ht="13">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row>
    <row r="689" spans="1:24" ht="13">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row>
    <row r="690" spans="1:24" ht="13">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row>
    <row r="691" spans="1:24" ht="13">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row>
    <row r="692" spans="1:24" ht="13">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row>
    <row r="693" spans="1:24" ht="1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row>
    <row r="694" spans="1:24" ht="13">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row>
    <row r="695" spans="1:24" ht="13">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row>
    <row r="696" spans="1:24" ht="13">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row>
    <row r="697" spans="1:24" ht="13">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row>
    <row r="698" spans="1:24" ht="13">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row>
    <row r="699" spans="1:24" ht="13">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row>
    <row r="700" spans="1:24" ht="13">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row>
    <row r="701" spans="1:24" ht="13">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row>
    <row r="702" spans="1:24" ht="13">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row>
    <row r="703" spans="1:24" ht="1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row>
    <row r="704" spans="1:24" ht="13">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row>
    <row r="705" spans="1:24" ht="13">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row>
    <row r="706" spans="1:24" ht="13">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row>
    <row r="707" spans="1:24" ht="13">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row>
    <row r="708" spans="1:24" ht="13">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row>
    <row r="709" spans="1:24" ht="13">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row>
    <row r="710" spans="1:24" ht="13">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row>
    <row r="711" spans="1:24" ht="13">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row>
    <row r="712" spans="1:24" ht="13">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row>
    <row r="713" spans="1:24" ht="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row>
    <row r="714" spans="1:24" ht="13">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row>
    <row r="715" spans="1:24" ht="13">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row>
    <row r="716" spans="1:24" ht="13">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row>
    <row r="717" spans="1:24" ht="13">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row>
    <row r="718" spans="1:24" ht="13">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row>
    <row r="719" spans="1:24" ht="13">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row>
    <row r="720" spans="1:24" ht="13">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row>
    <row r="721" spans="1:24" ht="13">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row>
    <row r="722" spans="1:24" ht="13">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row>
    <row r="723" spans="1:24" ht="1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row>
    <row r="724" spans="1:24" ht="13">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row>
    <row r="725" spans="1:24" ht="13">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row>
    <row r="726" spans="1:24" ht="13">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row>
    <row r="727" spans="1:24" ht="13">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row>
    <row r="728" spans="1:24" ht="13">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row>
    <row r="729" spans="1:24" ht="13">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row>
    <row r="730" spans="1:24" ht="13">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row>
    <row r="731" spans="1:24" ht="13">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row>
    <row r="732" spans="1:24" ht="13">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row>
    <row r="733" spans="1:24" ht="1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row>
    <row r="734" spans="1:24" ht="13">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row>
    <row r="735" spans="1:24" ht="13">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row>
    <row r="736" spans="1:24" ht="13">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row>
    <row r="737" spans="1:24" ht="13">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row>
    <row r="738" spans="1:24" ht="13">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row>
    <row r="739" spans="1:24" ht="13">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row>
    <row r="740" spans="1:24" ht="13">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row>
    <row r="741" spans="1:24" ht="13">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row>
    <row r="742" spans="1:24" ht="13">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row>
    <row r="743" spans="1:24" ht="1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row>
    <row r="744" spans="1:24" ht="13">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row>
    <row r="745" spans="1:24" ht="13">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row>
    <row r="746" spans="1:24" ht="13">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row>
    <row r="747" spans="1:24" ht="13">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row>
    <row r="748" spans="1:24" ht="13">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row>
    <row r="749" spans="1:24" ht="13">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row>
    <row r="750" spans="1:24" ht="13">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row>
    <row r="751" spans="1:24" ht="13">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row>
    <row r="752" spans="1:24" ht="13">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row>
    <row r="753" spans="1:24" ht="1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row>
    <row r="754" spans="1:24" ht="13">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row>
    <row r="755" spans="1:24" ht="13">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row>
    <row r="756" spans="1:24" ht="13">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row>
    <row r="757" spans="1:24" ht="13">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row>
    <row r="758" spans="1:24" ht="13">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row>
    <row r="759" spans="1:24" ht="13">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row>
    <row r="760" spans="1:24" ht="13">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row>
    <row r="761" spans="1:24" ht="13">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row>
    <row r="762" spans="1:24" ht="13">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row>
    <row r="763" spans="1:24" ht="1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row>
    <row r="764" spans="1:24" ht="13">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row>
    <row r="765" spans="1:24" ht="13">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row>
    <row r="766" spans="1:24" ht="13">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row>
    <row r="767" spans="1:24" ht="13">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row>
    <row r="768" spans="1:24" ht="13">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row>
    <row r="769" spans="1:24" ht="13">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row>
    <row r="770" spans="1:24" ht="13">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row>
    <row r="771" spans="1:24" ht="13">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row>
    <row r="772" spans="1:24" ht="13">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row>
    <row r="773" spans="1:24" ht="1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row>
    <row r="774" spans="1:24" ht="13">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row>
    <row r="775" spans="1:24" ht="13">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row>
    <row r="776" spans="1:24" ht="13">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row>
    <row r="777" spans="1:24" ht="13">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row>
    <row r="778" spans="1:24" ht="13">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row>
    <row r="779" spans="1:24" ht="13">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row>
    <row r="780" spans="1:24" ht="13">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row>
    <row r="781" spans="1:24" ht="13">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row>
    <row r="782" spans="1:24" ht="13">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row>
    <row r="783" spans="1:24" ht="1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row>
    <row r="784" spans="1:24" ht="13">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row>
    <row r="785" spans="1:24" ht="13">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row>
    <row r="786" spans="1:24" ht="13">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row>
    <row r="787" spans="1:24" ht="13">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row>
    <row r="788" spans="1:24" ht="13">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row>
    <row r="789" spans="1:24" ht="13">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row>
    <row r="790" spans="1:24" ht="13">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row>
    <row r="791" spans="1:24" ht="13">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row>
    <row r="792" spans="1:24" ht="13">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row>
    <row r="793" spans="1:24" ht="1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row>
    <row r="794" spans="1:24" ht="13">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row>
    <row r="795" spans="1:24" ht="13">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row>
    <row r="796" spans="1:24" ht="13">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row>
    <row r="797" spans="1:24" ht="13">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row>
    <row r="798" spans="1:24" ht="13">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row>
    <row r="799" spans="1:24" ht="13">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row>
    <row r="800" spans="1:24" ht="13">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row>
    <row r="801" spans="1:24" ht="13">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row>
    <row r="802" spans="1:24" ht="13">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row>
    <row r="803" spans="1:24" ht="1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row>
    <row r="804" spans="1:24" ht="13">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row>
    <row r="805" spans="1:24" ht="13">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row>
    <row r="806" spans="1:24" ht="13">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row>
    <row r="807" spans="1:24" ht="13">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row>
    <row r="808" spans="1:24" ht="13">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row>
    <row r="809" spans="1:24" ht="13">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row>
    <row r="810" spans="1:24" ht="13">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row>
    <row r="811" spans="1:24" ht="13">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row>
    <row r="812" spans="1:24" ht="13">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row>
    <row r="813" spans="1:24" ht="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row>
    <row r="814" spans="1:24" ht="13">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row>
    <row r="815" spans="1:24" ht="13">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row>
    <row r="816" spans="1:24" ht="13">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row>
    <row r="817" spans="1:24" ht="13">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row>
    <row r="818" spans="1:24" ht="13">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row>
    <row r="819" spans="1:24" ht="13">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row>
    <row r="820" spans="1:24" ht="13">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row>
    <row r="821" spans="1:24" ht="13">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row>
    <row r="822" spans="1:24" ht="13">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row>
    <row r="823" spans="1:24" ht="1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row>
    <row r="824" spans="1:24" ht="13">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row>
    <row r="825" spans="1:24" ht="13">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row>
    <row r="826" spans="1:24" ht="13">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row>
    <row r="827" spans="1:24" ht="13">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row>
    <row r="828" spans="1:24" ht="13">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row>
    <row r="829" spans="1:24" ht="13">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row>
    <row r="830" spans="1:24" ht="13">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row>
    <row r="831" spans="1:24" ht="13">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row>
    <row r="832" spans="1:24" ht="13">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row>
    <row r="833" spans="1:24" ht="1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row>
    <row r="834" spans="1:24" ht="13">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row>
    <row r="835" spans="1:24" ht="13">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row>
    <row r="836" spans="1:24" ht="13">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row>
    <row r="837" spans="1:24" ht="13">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row>
    <row r="838" spans="1:24" ht="13">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row>
    <row r="839" spans="1:24" ht="13">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row>
    <row r="840" spans="1:24" ht="13">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row>
    <row r="841" spans="1:24" ht="13">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row>
    <row r="842" spans="1:24" ht="13">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row>
    <row r="843" spans="1:24" ht="1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row>
    <row r="844" spans="1:24" ht="13">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row>
    <row r="845" spans="1:24" ht="13">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row>
    <row r="846" spans="1:24" ht="13">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row>
    <row r="847" spans="1:24" ht="13">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row>
    <row r="848" spans="1:24" ht="13">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row>
    <row r="849" spans="1:24" ht="13">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row>
    <row r="850" spans="1:24" ht="13">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row>
    <row r="851" spans="1:24" ht="13">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row>
    <row r="852" spans="1:24" ht="13">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row>
    <row r="853" spans="1:24" ht="1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row>
    <row r="854" spans="1:24" ht="13">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row>
    <row r="855" spans="1:24" ht="13">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row>
    <row r="856" spans="1:24" ht="13">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row>
    <row r="857" spans="1:24" ht="13">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row>
    <row r="858" spans="1:24" ht="13">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row>
    <row r="859" spans="1:24" ht="13">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row>
    <row r="860" spans="1:24" ht="13">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row>
    <row r="861" spans="1:24" ht="13">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row>
    <row r="862" spans="1:24" ht="13">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row>
    <row r="863" spans="1:24" ht="1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row>
    <row r="864" spans="1:24" ht="13">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row>
    <row r="865" spans="1:24" ht="13">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row>
    <row r="866" spans="1:24" ht="13">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row>
    <row r="867" spans="1:24" ht="13">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row>
    <row r="868" spans="1:24" ht="13">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row>
    <row r="869" spans="1:24" ht="13">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row>
    <row r="870" spans="1:24" ht="13">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row>
    <row r="871" spans="1:24" ht="13">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row>
    <row r="872" spans="1:24" ht="13">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row>
    <row r="873" spans="1:24" ht="1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row>
    <row r="874" spans="1:24" ht="13">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row>
    <row r="875" spans="1:24" ht="13">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row>
    <row r="876" spans="1:24" ht="13">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row>
    <row r="877" spans="1:24" ht="13">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row>
    <row r="878" spans="1:24" ht="13">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row>
    <row r="879" spans="1:24" ht="13">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row>
    <row r="880" spans="1:24" ht="13">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row>
    <row r="881" spans="1:24" ht="13">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row>
    <row r="882" spans="1:24" ht="13">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row>
    <row r="883" spans="1:24" ht="1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row>
    <row r="884" spans="1:24" ht="13">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row>
    <row r="885" spans="1:24" ht="13">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row>
    <row r="886" spans="1:24" ht="13">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row>
    <row r="887" spans="1:24" ht="13">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row>
    <row r="888" spans="1:24" ht="13">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row>
    <row r="889" spans="1:24" ht="13">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row>
    <row r="890" spans="1:24" ht="13">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row>
    <row r="891" spans="1:24" ht="13">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row>
    <row r="892" spans="1:24" ht="13">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row>
    <row r="893" spans="1:24" ht="1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row>
    <row r="894" spans="1:24" ht="13">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row>
    <row r="895" spans="1:24" ht="13">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row>
    <row r="896" spans="1:24" ht="13">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row>
    <row r="897" spans="1:24" ht="13">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row>
    <row r="898" spans="1:24" ht="13">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row>
    <row r="899" spans="1:24" ht="13">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row>
    <row r="900" spans="1:24" ht="13">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row>
    <row r="901" spans="1:24" ht="13">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row>
    <row r="902" spans="1:24" ht="13">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row>
    <row r="903" spans="1:24" ht="1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row>
    <row r="904" spans="1:24" ht="13">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row>
    <row r="905" spans="1:24" ht="13">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row>
    <row r="906" spans="1:24" ht="13">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row>
    <row r="907" spans="1:24" ht="13">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row>
    <row r="908" spans="1:24" ht="13">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row>
    <row r="909" spans="1:24" ht="13">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row>
    <row r="910" spans="1:24" ht="13">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row>
    <row r="911" spans="1:24" ht="13">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row>
    <row r="912" spans="1:24" ht="13">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row>
    <row r="913" spans="1:24" ht="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row>
    <row r="914" spans="1:24" ht="13">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row>
    <row r="915" spans="1:24" ht="13">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row>
    <row r="916" spans="1:24" ht="13">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row>
    <row r="917" spans="1:24" ht="13">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row>
    <row r="918" spans="1:24" ht="13">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row>
    <row r="919" spans="1:24" ht="13">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row>
    <row r="920" spans="1:24" ht="13">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row>
    <row r="921" spans="1:24" ht="13">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row>
    <row r="922" spans="1:24" ht="13">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row>
    <row r="923" spans="1:24" ht="1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row>
    <row r="924" spans="1:24" ht="13">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row>
    <row r="925" spans="1:24" ht="13">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row>
    <row r="926" spans="1:24" ht="13">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row>
    <row r="927" spans="1:24" ht="13">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row>
    <row r="928" spans="1:24" ht="13">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row>
    <row r="929" spans="1:24" ht="13">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row>
    <row r="930" spans="1:24" ht="13">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row>
    <row r="931" spans="1:24" ht="13">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row>
    <row r="932" spans="1:24" ht="13">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row>
    <row r="933" spans="1:24" ht="1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row>
    <row r="934" spans="1:24" ht="13">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row>
    <row r="935" spans="1:24" ht="13">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row>
    <row r="936" spans="1:24" ht="13">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row>
    <row r="937" spans="1:24" ht="13">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row>
    <row r="938" spans="1:24" ht="13">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row>
    <row r="939" spans="1:24" ht="13">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row>
    <row r="940" spans="1:24" ht="13">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row>
    <row r="941" spans="1:24" ht="13">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row>
    <row r="942" spans="1:24" ht="13">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row>
    <row r="943" spans="1:24" ht="1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row>
    <row r="944" spans="1:24" ht="13">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row>
    <row r="945" spans="1:24" ht="13">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row>
    <row r="946" spans="1:24" ht="13">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row>
    <row r="947" spans="1:24" ht="13">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row>
    <row r="948" spans="1:24" ht="13">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row>
    <row r="949" spans="1:24" ht="13">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row>
    <row r="950" spans="1:24" ht="13">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row>
    <row r="951" spans="1:24" ht="13">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row>
    <row r="952" spans="1:24" ht="13">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row>
    <row r="953" spans="1:24" ht="1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row>
    <row r="954" spans="1:24" ht="13">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row>
    <row r="955" spans="1:24" ht="13">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row>
    <row r="956" spans="1:24" ht="13">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row>
    <row r="957" spans="1:24" ht="13">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row>
    <row r="958" spans="1:24" ht="13">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row>
    <row r="959" spans="1:24" ht="13">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row>
    <row r="960" spans="1:24" ht="13">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row>
    <row r="961" spans="1:24" ht="13">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row>
    <row r="962" spans="1:24" ht="13">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row>
    <row r="963" spans="1:24" ht="1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row>
    <row r="964" spans="1:24" ht="13">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row>
    <row r="965" spans="1:24" ht="13">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row>
    <row r="966" spans="1:24" ht="13">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row>
    <row r="967" spans="1:24" ht="13">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row>
    <row r="968" spans="1:24" ht="13">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row>
    <row r="969" spans="1:24" ht="13">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row>
    <row r="970" spans="1:24" ht="13">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row>
    <row r="971" spans="1:24" ht="13">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row>
    <row r="972" spans="1:24" ht="13">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row>
    <row r="973" spans="1:24" ht="1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row>
    <row r="974" spans="1:24" ht="13">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row>
    <row r="975" spans="1:24" ht="13">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row>
    <row r="976" spans="1:24" ht="13">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row>
    <row r="977" spans="1:24" ht="13">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row>
    <row r="978" spans="1:24" ht="13">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row>
    <row r="979" spans="1:24" ht="13">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row>
    <row r="980" spans="1:24" ht="13">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row>
    <row r="981" spans="1:24" ht="13">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row>
    <row r="982" spans="1:24" ht="13">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row>
    <row r="983" spans="1:24" ht="1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row>
    <row r="984" spans="1:24" ht="13">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row>
    <row r="985" spans="1:24" ht="13">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row>
    <row r="986" spans="1:24" ht="13">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row>
    <row r="987" spans="1:24" ht="13">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row>
    <row r="988" spans="1:24" ht="13">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row>
    <row r="989" spans="1:24" ht="13">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row>
    <row r="990" spans="1:24" ht="13">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row>
    <row r="991" spans="1:24" ht="13">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row>
    <row r="992" spans="1:24" ht="13">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row>
    <row r="993" spans="1:24" ht="1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row>
    <row r="994" spans="1:24" ht="13">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row>
    <row r="995" spans="1:24" ht="13">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row>
    <row r="996" spans="1:24" ht="13">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row>
    <row r="997" spans="1:24" ht="13">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row>
    <row r="998" spans="1:24" ht="13">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row>
    <row r="999" spans="1:24" ht="13">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row>
    <row r="1000" spans="1:24" ht="13">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row>
    <row r="1001" spans="1:24" ht="13">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row>
    <row r="1002" spans="1:24" ht="13">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row>
    <row r="1003" spans="1:24" ht="13">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row>
    <row r="1004" spans="1:24" ht="13">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row>
    <row r="1005" spans="1:24" ht="13">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row>
    <row r="1006" spans="1:24" ht="13">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row>
    <row r="1007" spans="1:24" ht="13">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row>
    <row r="1008" spans="1:24" ht="13">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row>
    <row r="1009" spans="1:24" ht="13">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row>
    <row r="1010" spans="1:24" ht="13">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row>
    <row r="1011" spans="1:24" ht="13">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row>
    <row r="1012" spans="1:24" ht="13">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row>
    <row r="1013" spans="1:24" ht="13">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row>
    <row r="1014" spans="1:24" ht="13">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row>
    <row r="1015" spans="1:24" ht="13">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row>
    <row r="1016" spans="1:24" ht="13">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row>
    <row r="1017" spans="1:24" ht="13">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row>
    <row r="1018" spans="1:24" ht="13">
      <c r="A1018" s="11"/>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row>
    <row r="1019" spans="1:24" ht="13">
      <c r="A1019" s="11"/>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row>
    <row r="1020" spans="1:24" ht="13">
      <c r="A1020" s="11"/>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1"/>
    </row>
    <row r="1021" spans="1:24" ht="13">
      <c r="A1021" s="11"/>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1"/>
    </row>
    <row r="1022" spans="1:24" ht="13">
      <c r="A1022" s="11"/>
      <c r="B1022" s="11"/>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1"/>
    </row>
    <row r="1023" spans="1:24" ht="13">
      <c r="A1023" s="11"/>
      <c r="B1023" s="11"/>
      <c r="C1023" s="11"/>
      <c r="D1023" s="11"/>
      <c r="E1023" s="11"/>
      <c r="F1023" s="11"/>
      <c r="G1023" s="11"/>
      <c r="H1023" s="11"/>
      <c r="I1023" s="11"/>
      <c r="J1023" s="11"/>
      <c r="K1023" s="11"/>
      <c r="L1023" s="11"/>
      <c r="M1023" s="11"/>
      <c r="N1023" s="11"/>
      <c r="O1023" s="11"/>
      <c r="P1023" s="11"/>
      <c r="Q1023" s="11"/>
      <c r="R1023" s="11"/>
      <c r="S1023" s="11"/>
      <c r="T1023" s="11"/>
      <c r="U1023" s="11"/>
      <c r="V1023" s="11"/>
      <c r="W1023" s="11"/>
      <c r="X1023" s="11"/>
    </row>
    <row r="1024" spans="1:24" ht="13">
      <c r="A1024" s="11"/>
      <c r="B1024" s="11"/>
      <c r="C1024" s="11"/>
      <c r="D1024" s="11"/>
      <c r="E1024" s="11"/>
      <c r="F1024" s="11"/>
      <c r="G1024" s="11"/>
      <c r="H1024" s="11"/>
      <c r="I1024" s="11"/>
      <c r="J1024" s="11"/>
      <c r="K1024" s="11"/>
      <c r="L1024" s="11"/>
      <c r="M1024" s="11"/>
      <c r="N1024" s="11"/>
      <c r="O1024" s="11"/>
      <c r="P1024" s="11"/>
      <c r="Q1024" s="11"/>
      <c r="R1024" s="11"/>
      <c r="S1024" s="11"/>
      <c r="T1024" s="11"/>
      <c r="U1024" s="11"/>
      <c r="V1024" s="11"/>
      <c r="W1024" s="11"/>
      <c r="X1024" s="11"/>
    </row>
    <row r="1025" spans="1:24" ht="13">
      <c r="A1025" s="11"/>
      <c r="B1025" s="11"/>
      <c r="C1025" s="11"/>
      <c r="D1025" s="11"/>
      <c r="E1025" s="11"/>
      <c r="F1025" s="11"/>
      <c r="G1025" s="11"/>
      <c r="H1025" s="11"/>
      <c r="I1025" s="11"/>
      <c r="J1025" s="11"/>
      <c r="K1025" s="11"/>
      <c r="L1025" s="11"/>
      <c r="M1025" s="11"/>
      <c r="N1025" s="11"/>
      <c r="O1025" s="11"/>
      <c r="P1025" s="11"/>
      <c r="Q1025" s="11"/>
      <c r="R1025" s="11"/>
      <c r="S1025" s="11"/>
      <c r="T1025" s="11"/>
      <c r="U1025" s="11"/>
      <c r="V1025" s="11"/>
      <c r="W1025" s="11"/>
      <c r="X1025" s="11"/>
    </row>
    <row r="1026" spans="1:24" ht="13">
      <c r="A1026" s="11"/>
      <c r="B1026" s="11"/>
      <c r="C1026" s="11"/>
      <c r="D1026" s="11"/>
      <c r="E1026" s="11"/>
      <c r="F1026" s="11"/>
      <c r="G1026" s="11"/>
      <c r="H1026" s="11"/>
      <c r="I1026" s="11"/>
      <c r="J1026" s="11"/>
      <c r="K1026" s="11"/>
      <c r="L1026" s="11"/>
      <c r="M1026" s="11"/>
      <c r="N1026" s="11"/>
      <c r="O1026" s="11"/>
      <c r="P1026" s="11"/>
      <c r="Q1026" s="11"/>
      <c r="R1026" s="11"/>
      <c r="S1026" s="11"/>
      <c r="T1026" s="11"/>
      <c r="U1026" s="11"/>
      <c r="V1026" s="11"/>
      <c r="W1026" s="11"/>
      <c r="X1026" s="11"/>
    </row>
    <row r="1027" spans="1:24" ht="13">
      <c r="A1027" s="11"/>
      <c r="B1027" s="11"/>
      <c r="C1027" s="11"/>
      <c r="D1027" s="11"/>
      <c r="E1027" s="11"/>
      <c r="F1027" s="11"/>
      <c r="G1027" s="11"/>
      <c r="H1027" s="11"/>
      <c r="I1027" s="11"/>
      <c r="J1027" s="11"/>
      <c r="K1027" s="11"/>
      <c r="L1027" s="11"/>
      <c r="M1027" s="11"/>
      <c r="N1027" s="11"/>
      <c r="O1027" s="11"/>
      <c r="P1027" s="11"/>
      <c r="Q1027" s="11"/>
      <c r="R1027" s="11"/>
      <c r="S1027" s="11"/>
      <c r="T1027" s="11"/>
      <c r="U1027" s="11"/>
      <c r="V1027" s="11"/>
      <c r="W1027" s="11"/>
      <c r="X1027" s="11"/>
    </row>
    <row r="1028" spans="1:24" ht="13">
      <c r="A1028" s="11"/>
      <c r="B1028" s="11"/>
      <c r="C1028" s="11"/>
      <c r="D1028" s="11"/>
      <c r="E1028" s="11"/>
      <c r="F1028" s="11"/>
      <c r="G1028" s="11"/>
      <c r="H1028" s="11"/>
      <c r="I1028" s="11"/>
      <c r="J1028" s="11"/>
      <c r="K1028" s="11"/>
      <c r="L1028" s="11"/>
      <c r="M1028" s="11"/>
      <c r="N1028" s="11"/>
      <c r="O1028" s="11"/>
      <c r="P1028" s="11"/>
      <c r="Q1028" s="11"/>
      <c r="R1028" s="11"/>
      <c r="S1028" s="11"/>
      <c r="T1028" s="11"/>
      <c r="U1028" s="11"/>
      <c r="V1028" s="11"/>
      <c r="W1028" s="11"/>
      <c r="X1028" s="11"/>
    </row>
    <row r="1029" spans="1:24" ht="13">
      <c r="A1029" s="11"/>
      <c r="B1029" s="11"/>
      <c r="C1029" s="11"/>
      <c r="D1029" s="11"/>
      <c r="E1029" s="11"/>
      <c r="F1029" s="11"/>
      <c r="G1029" s="11"/>
      <c r="H1029" s="11"/>
      <c r="I1029" s="11"/>
      <c r="J1029" s="11"/>
      <c r="K1029" s="11"/>
      <c r="L1029" s="11"/>
      <c r="M1029" s="11"/>
      <c r="N1029" s="11"/>
      <c r="O1029" s="11"/>
      <c r="P1029" s="11"/>
      <c r="Q1029" s="11"/>
      <c r="R1029" s="11"/>
      <c r="S1029" s="11"/>
      <c r="T1029" s="11"/>
      <c r="U1029" s="11"/>
      <c r="V1029" s="11"/>
      <c r="W1029" s="11"/>
      <c r="X1029" s="11"/>
    </row>
    <row r="1030" spans="1:24" ht="13">
      <c r="A1030" s="11"/>
      <c r="B1030" s="11"/>
      <c r="C1030" s="11"/>
      <c r="D1030" s="11"/>
      <c r="E1030" s="11"/>
      <c r="F1030" s="11"/>
      <c r="G1030" s="11"/>
      <c r="H1030" s="11"/>
      <c r="I1030" s="11"/>
      <c r="J1030" s="11"/>
      <c r="K1030" s="11"/>
      <c r="L1030" s="11"/>
      <c r="M1030" s="11"/>
      <c r="N1030" s="11"/>
      <c r="O1030" s="11"/>
      <c r="P1030" s="11"/>
      <c r="Q1030" s="11"/>
      <c r="R1030" s="11"/>
      <c r="S1030" s="11"/>
      <c r="T1030" s="11"/>
      <c r="U1030" s="11"/>
      <c r="V1030" s="11"/>
      <c r="W1030" s="11"/>
      <c r="X1030" s="11"/>
    </row>
    <row r="1031" spans="1:24" ht="13">
      <c r="A1031" s="11"/>
      <c r="B1031" s="11"/>
      <c r="C1031" s="11"/>
      <c r="D1031" s="11"/>
      <c r="E1031" s="11"/>
      <c r="F1031" s="11"/>
      <c r="G1031" s="11"/>
      <c r="H1031" s="11"/>
      <c r="I1031" s="11"/>
      <c r="J1031" s="11"/>
      <c r="K1031" s="11"/>
      <c r="L1031" s="11"/>
      <c r="M1031" s="11"/>
      <c r="N1031" s="11"/>
      <c r="O1031" s="11"/>
      <c r="P1031" s="11"/>
      <c r="Q1031" s="11"/>
      <c r="R1031" s="11"/>
      <c r="S1031" s="11"/>
      <c r="T1031" s="11"/>
      <c r="U1031" s="11"/>
      <c r="V1031" s="11"/>
      <c r="W1031" s="11"/>
      <c r="X1031" s="11"/>
    </row>
    <row r="1032" spans="1:24" ht="13">
      <c r="A1032" s="11"/>
      <c r="B1032" s="11"/>
      <c r="C1032" s="11"/>
      <c r="D1032" s="11"/>
      <c r="E1032" s="11"/>
      <c r="F1032" s="11"/>
      <c r="G1032" s="11"/>
      <c r="H1032" s="11"/>
      <c r="I1032" s="11"/>
      <c r="J1032" s="11"/>
      <c r="K1032" s="11"/>
      <c r="L1032" s="11"/>
      <c r="M1032" s="11"/>
      <c r="N1032" s="11"/>
      <c r="O1032" s="11"/>
      <c r="P1032" s="11"/>
      <c r="Q1032" s="11"/>
      <c r="R1032" s="11"/>
      <c r="S1032" s="11"/>
      <c r="T1032" s="11"/>
      <c r="U1032" s="11"/>
      <c r="V1032" s="11"/>
      <c r="W1032" s="11"/>
      <c r="X1032" s="11"/>
    </row>
    <row r="1033" spans="1:24" ht="13">
      <c r="A1033" s="11"/>
      <c r="B1033" s="11"/>
      <c r="C1033" s="11"/>
      <c r="D1033" s="11"/>
      <c r="E1033" s="11"/>
      <c r="F1033" s="11"/>
      <c r="G1033" s="11"/>
      <c r="H1033" s="11"/>
      <c r="I1033" s="11"/>
      <c r="J1033" s="11"/>
      <c r="K1033" s="11"/>
      <c r="L1033" s="11"/>
      <c r="M1033" s="11"/>
      <c r="N1033" s="11"/>
      <c r="O1033" s="11"/>
      <c r="P1033" s="11"/>
      <c r="Q1033" s="11"/>
      <c r="R1033" s="11"/>
      <c r="S1033" s="11"/>
      <c r="T1033" s="11"/>
      <c r="U1033" s="11"/>
      <c r="V1033" s="11"/>
      <c r="W1033" s="11"/>
      <c r="X1033"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55"/>
  <sheetViews>
    <sheetView topLeftCell="A19" workbookViewId="0"/>
  </sheetViews>
  <sheetFormatPr baseColWidth="10" defaultColWidth="12.6640625" defaultRowHeight="15.75" customHeight="1"/>
  <cols>
    <col min="1" max="1" width="49.1640625" customWidth="1"/>
  </cols>
  <sheetData>
    <row r="1" spans="1:12" ht="15.75" customHeight="1">
      <c r="A1" s="1" t="s">
        <v>93</v>
      </c>
      <c r="B1" s="1"/>
      <c r="C1" s="2"/>
      <c r="D1" s="2"/>
      <c r="E1" s="2"/>
      <c r="F1" s="1"/>
      <c r="G1" s="2"/>
      <c r="H1" s="2"/>
      <c r="I1" s="2"/>
      <c r="J1" s="2"/>
      <c r="K1" s="2"/>
      <c r="L1" s="2"/>
    </row>
    <row r="2" spans="1:12" ht="15.75" customHeight="1">
      <c r="A2" s="7"/>
      <c r="B2" s="37"/>
    </row>
    <row r="3" spans="1:12" ht="15.75" customHeight="1">
      <c r="A3" s="38" t="s">
        <v>19</v>
      </c>
      <c r="B3" s="39" t="s">
        <v>94</v>
      </c>
      <c r="F3" s="3" t="s">
        <v>21</v>
      </c>
    </row>
    <row r="4" spans="1:12" ht="15.75" customHeight="1">
      <c r="A4" s="38" t="s">
        <v>95</v>
      </c>
      <c r="B4" s="39"/>
      <c r="F4" s="3"/>
    </row>
    <row r="5" spans="1:12" ht="15.75" customHeight="1">
      <c r="A5" s="7" t="s">
        <v>96</v>
      </c>
      <c r="B5" s="37">
        <v>2409</v>
      </c>
      <c r="F5" s="4" t="s">
        <v>97</v>
      </c>
    </row>
    <row r="6" spans="1:12" ht="15.75" customHeight="1">
      <c r="A6" s="7" t="s">
        <v>98</v>
      </c>
      <c r="B6" s="37">
        <v>1201</v>
      </c>
      <c r="F6" s="4" t="s">
        <v>99</v>
      </c>
    </row>
    <row r="7" spans="1:12" ht="15.75" customHeight="1">
      <c r="A7" s="7" t="s">
        <v>100</v>
      </c>
      <c r="B7" s="37">
        <v>1208</v>
      </c>
      <c r="F7" s="4" t="s">
        <v>101</v>
      </c>
    </row>
    <row r="8" spans="1:12" ht="15.75" customHeight="1">
      <c r="A8" s="4" t="s">
        <v>102</v>
      </c>
      <c r="B8" s="4">
        <v>6.31</v>
      </c>
      <c r="D8" s="4"/>
      <c r="F8" s="4" t="s">
        <v>103</v>
      </c>
    </row>
    <row r="9" spans="1:12" ht="15.75" customHeight="1">
      <c r="A9" s="7" t="s">
        <v>104</v>
      </c>
      <c r="B9" s="37">
        <v>4</v>
      </c>
      <c r="D9" s="4"/>
      <c r="F9" s="4" t="s">
        <v>105</v>
      </c>
    </row>
    <row r="10" spans="1:12" ht="15.75" customHeight="1">
      <c r="A10" s="7" t="s">
        <v>106</v>
      </c>
      <c r="B10" s="37">
        <v>45</v>
      </c>
      <c r="D10" s="4"/>
      <c r="F10" s="4" t="s">
        <v>107</v>
      </c>
    </row>
    <row r="11" spans="1:12" ht="15.75" customHeight="1">
      <c r="A11" s="7" t="s">
        <v>77</v>
      </c>
      <c r="B11" s="37">
        <f>B9*B10</f>
        <v>180</v>
      </c>
      <c r="D11" s="4"/>
      <c r="F11" s="4" t="s">
        <v>108</v>
      </c>
    </row>
    <row r="12" spans="1:12" ht="15.75" customHeight="1">
      <c r="A12" s="7" t="s">
        <v>109</v>
      </c>
      <c r="B12" s="37">
        <v>8</v>
      </c>
      <c r="D12" s="4"/>
      <c r="F12" s="4" t="s">
        <v>110</v>
      </c>
    </row>
    <row r="13" spans="1:12" ht="15.75" customHeight="1">
      <c r="A13" s="7"/>
      <c r="B13" s="40"/>
      <c r="D13" s="4"/>
      <c r="F13" s="4"/>
    </row>
    <row r="14" spans="1:12" ht="15.75" customHeight="1">
      <c r="A14" s="7"/>
      <c r="B14" s="40"/>
      <c r="D14" s="4"/>
      <c r="F14" s="4"/>
    </row>
    <row r="15" spans="1:12" ht="15.75" customHeight="1">
      <c r="A15" s="38" t="s">
        <v>111</v>
      </c>
      <c r="B15" s="40"/>
      <c r="D15" s="4"/>
    </row>
    <row r="16" spans="1:12" ht="15.75" customHeight="1">
      <c r="A16" s="7" t="s">
        <v>112</v>
      </c>
      <c r="H16" s="4"/>
    </row>
    <row r="17" spans="1:7" ht="15.75" customHeight="1">
      <c r="A17" s="7" t="s">
        <v>113</v>
      </c>
      <c r="B17" s="37">
        <v>0.34239999999999998</v>
      </c>
      <c r="D17" s="4"/>
      <c r="F17" s="4" t="s">
        <v>114</v>
      </c>
    </row>
    <row r="18" spans="1:7" ht="15.75" customHeight="1">
      <c r="A18" s="7" t="s">
        <v>115</v>
      </c>
      <c r="B18" s="11">
        <f>0.001*0.3423</f>
        <v>3.4230000000000003E-4</v>
      </c>
      <c r="D18" s="4"/>
      <c r="F18" s="4" t="s">
        <v>116</v>
      </c>
    </row>
    <row r="19" spans="1:7" ht="15.75" customHeight="1">
      <c r="A19" s="4" t="s">
        <v>117</v>
      </c>
      <c r="B19" s="4">
        <v>0.33</v>
      </c>
      <c r="D19" s="4"/>
      <c r="F19" s="4" t="s">
        <v>118</v>
      </c>
    </row>
    <row r="20" spans="1:7" ht="15.75" customHeight="1">
      <c r="A20" s="7" t="s">
        <v>119</v>
      </c>
      <c r="B20" s="41">
        <f>('2.RawCosts'!B73)</f>
        <v>462528.16409079998</v>
      </c>
      <c r="D20" s="4"/>
      <c r="F20" s="4" t="s">
        <v>120</v>
      </c>
    </row>
    <row r="21" spans="1:7" ht="15.75" customHeight="1">
      <c r="A21" s="7" t="s">
        <v>121</v>
      </c>
      <c r="B21" s="42">
        <f>SUM(B20*(B$7/B$5))</f>
        <v>231936.08228380507</v>
      </c>
      <c r="F21" s="4" t="s">
        <v>122</v>
      </c>
    </row>
    <row r="22" spans="1:7" ht="15.75" customHeight="1">
      <c r="A22" s="7" t="s">
        <v>123</v>
      </c>
      <c r="B22" s="42">
        <f>SUM(B20*(B$6/B$5))</f>
        <v>230592.08180699495</v>
      </c>
      <c r="F22" s="4" t="s">
        <v>124</v>
      </c>
    </row>
    <row r="23" spans="1:7" ht="15.75" customHeight="1">
      <c r="A23" s="4" t="s">
        <v>125</v>
      </c>
      <c r="B23" s="41">
        <f>('2.RawCosts'!B48)</f>
        <v>439499.16409079998</v>
      </c>
      <c r="F23" s="4" t="s">
        <v>126</v>
      </c>
    </row>
    <row r="24" spans="1:7" ht="15.75" customHeight="1">
      <c r="A24" s="7" t="s">
        <v>127</v>
      </c>
      <c r="B24" s="42">
        <f>SUM(B$23*(B$7/B$5))</f>
        <v>220388.12379480549</v>
      </c>
      <c r="F24" s="4" t="s">
        <v>128</v>
      </c>
    </row>
    <row r="25" spans="1:7" ht="15.75" customHeight="1">
      <c r="A25" s="7" t="s">
        <v>129</v>
      </c>
      <c r="B25" s="42">
        <f>SUM(B$23*(B$6/B$5))</f>
        <v>219111.04029599452</v>
      </c>
      <c r="F25" s="4" t="s">
        <v>130</v>
      </c>
    </row>
    <row r="28" spans="1:7" ht="15">
      <c r="A28" s="3" t="s">
        <v>131</v>
      </c>
      <c r="G28" s="43"/>
    </row>
    <row r="29" spans="1:7" ht="15.75" customHeight="1">
      <c r="A29" s="44" t="s">
        <v>132</v>
      </c>
      <c r="B29" s="45" t="s">
        <v>133</v>
      </c>
      <c r="C29" s="45" t="s">
        <v>134</v>
      </c>
      <c r="D29" s="45" t="s">
        <v>135</v>
      </c>
    </row>
    <row r="30" spans="1:7" ht="15.75" customHeight="1">
      <c r="A30" s="7" t="s">
        <v>136</v>
      </c>
      <c r="B30" s="37">
        <v>1.8089999999999999</v>
      </c>
      <c r="C30" s="37">
        <v>2.569</v>
      </c>
      <c r="D30" s="37">
        <v>-0.76</v>
      </c>
      <c r="F30" s="4" t="s">
        <v>137</v>
      </c>
    </row>
    <row r="31" spans="1:7" ht="15.75" customHeight="1">
      <c r="A31" s="7" t="s">
        <v>138</v>
      </c>
      <c r="B31" s="37">
        <v>1.4006000000000001</v>
      </c>
      <c r="C31" s="37">
        <v>2.4481000000000002</v>
      </c>
      <c r="D31" s="37">
        <v>-1.0475000000000001</v>
      </c>
      <c r="F31" s="4" t="s">
        <v>139</v>
      </c>
    </row>
    <row r="32" spans="1:7" ht="15.75" customHeight="1">
      <c r="A32" s="4" t="s">
        <v>140</v>
      </c>
      <c r="B32" s="4">
        <v>1.0880000000000001</v>
      </c>
      <c r="C32" s="4">
        <v>2.508</v>
      </c>
      <c r="D32" s="4">
        <f>B32-C32</f>
        <v>-1.42</v>
      </c>
      <c r="F32" s="4" t="s">
        <v>141</v>
      </c>
    </row>
    <row r="35" spans="1:6" ht="15.75" customHeight="1">
      <c r="A35" s="3" t="s">
        <v>142</v>
      </c>
    </row>
    <row r="36" spans="1:6" ht="15.75" customHeight="1">
      <c r="A36" s="7" t="s">
        <v>143</v>
      </c>
      <c r="B36" s="4">
        <v>1</v>
      </c>
      <c r="F36" s="4" t="s">
        <v>144</v>
      </c>
    </row>
    <row r="37" spans="1:6" ht="15.75" customHeight="1">
      <c r="A37" s="7" t="s">
        <v>145</v>
      </c>
      <c r="B37" s="4">
        <v>1</v>
      </c>
      <c r="F37" s="4" t="s">
        <v>146</v>
      </c>
    </row>
    <row r="38" spans="1:6" ht="15.75" customHeight="1">
      <c r="A38" s="4" t="s">
        <v>147</v>
      </c>
      <c r="B38" s="4">
        <f>B6*B12*7</f>
        <v>67256</v>
      </c>
      <c r="F38" s="4" t="s">
        <v>148</v>
      </c>
    </row>
    <row r="39" spans="1:6" ht="15.75" customHeight="1">
      <c r="A39" s="4" t="s">
        <v>149</v>
      </c>
      <c r="B39" s="4">
        <f>B7*B12*7</f>
        <v>67648</v>
      </c>
      <c r="F39" s="4" t="s">
        <v>150</v>
      </c>
    </row>
    <row r="40" spans="1:6" ht="15.75" customHeight="1">
      <c r="A40" s="4" t="s">
        <v>151</v>
      </c>
      <c r="B40" s="4">
        <v>2100</v>
      </c>
      <c r="F40" s="4" t="s">
        <v>152</v>
      </c>
    </row>
    <row r="41" spans="1:6" ht="15.75" customHeight="1">
      <c r="A41" s="4" t="s">
        <v>153</v>
      </c>
      <c r="B41" s="4">
        <f>B8*B40</f>
        <v>13251</v>
      </c>
      <c r="F41" s="4" t="s">
        <v>154</v>
      </c>
    </row>
    <row r="42" spans="1:6" ht="15.75" customHeight="1">
      <c r="A42" s="4" t="s">
        <v>155</v>
      </c>
      <c r="B42" s="4">
        <f>B41*7</f>
        <v>92757</v>
      </c>
      <c r="F42" s="4" t="s">
        <v>156</v>
      </c>
    </row>
    <row r="43" spans="1:6" ht="15.75" customHeight="1">
      <c r="A43" s="7" t="s">
        <v>157</v>
      </c>
      <c r="B43" s="4">
        <f t="shared" ref="B43:B44" si="0">B6*B$42*B$12</f>
        <v>891209256</v>
      </c>
      <c r="F43" s="4" t="s">
        <v>158</v>
      </c>
    </row>
    <row r="44" spans="1:6" ht="15.75" customHeight="1">
      <c r="A44" s="7" t="s">
        <v>159</v>
      </c>
      <c r="B44" s="4">
        <f t="shared" si="0"/>
        <v>896403648</v>
      </c>
      <c r="F44" s="4" t="s">
        <v>160</v>
      </c>
    </row>
    <row r="47" spans="1:6" ht="15.75" customHeight="1">
      <c r="A47" s="3" t="s">
        <v>161</v>
      </c>
    </row>
    <row r="48" spans="1:6" ht="15.75" customHeight="1">
      <c r="A48" s="4" t="s">
        <v>162</v>
      </c>
      <c r="B48" s="4">
        <v>0.17</v>
      </c>
      <c r="F48" s="4" t="s">
        <v>163</v>
      </c>
    </row>
    <row r="49" spans="1:7" ht="15.75" customHeight="1">
      <c r="A49" s="4" t="s">
        <v>164</v>
      </c>
      <c r="B49" s="4">
        <v>1.17</v>
      </c>
      <c r="F49" s="4" t="s">
        <v>165</v>
      </c>
    </row>
    <row r="50" spans="1:7" ht="15.75" customHeight="1">
      <c r="A50" s="4" t="s">
        <v>166</v>
      </c>
      <c r="B50" s="4">
        <v>356911389</v>
      </c>
      <c r="F50" s="4" t="s">
        <v>167</v>
      </c>
    </row>
    <row r="51" spans="1:7" ht="13">
      <c r="A51" s="4" t="s">
        <v>168</v>
      </c>
      <c r="B51" s="4">
        <v>1514100000</v>
      </c>
      <c r="F51" s="4" t="s">
        <v>169</v>
      </c>
    </row>
    <row r="52" spans="1:7" ht="13">
      <c r="A52" s="4" t="s">
        <v>170</v>
      </c>
      <c r="B52" s="4">
        <v>0.25</v>
      </c>
      <c r="F52" s="4" t="s">
        <v>171</v>
      </c>
    </row>
    <row r="53" spans="1:7" ht="13">
      <c r="A53" s="4" t="s">
        <v>172</v>
      </c>
      <c r="B53" s="4">
        <v>7</v>
      </c>
      <c r="F53" s="4" t="s">
        <v>173</v>
      </c>
      <c r="G53" s="4" t="s">
        <v>174</v>
      </c>
    </row>
    <row r="54" spans="1:7" ht="15">
      <c r="A54" s="7" t="s">
        <v>175</v>
      </c>
      <c r="B54" s="4">
        <v>96</v>
      </c>
      <c r="F54" s="43" t="s">
        <v>176</v>
      </c>
    </row>
    <row r="55" spans="1:7" ht="13">
      <c r="A55" s="4" t="s">
        <v>177</v>
      </c>
      <c r="B55" s="4">
        <v>4</v>
      </c>
      <c r="F55" s="4" t="s">
        <v>178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3"/>
  <sheetViews>
    <sheetView workbookViewId="0"/>
  </sheetViews>
  <sheetFormatPr baseColWidth="10" defaultColWidth="12.6640625" defaultRowHeight="15.75" customHeight="1"/>
  <cols>
    <col min="3" max="3" width="18.6640625" customWidth="1"/>
    <col min="4" max="4" width="14.83203125" customWidth="1"/>
    <col min="5" max="5" width="18" customWidth="1"/>
    <col min="6" max="6" width="12.5" customWidth="1"/>
    <col min="7" max="7" width="14.1640625" customWidth="1"/>
  </cols>
  <sheetData>
    <row r="1" spans="1:8" ht="15.75" customHeight="1">
      <c r="A1" s="1" t="s">
        <v>179</v>
      </c>
      <c r="B1" s="2"/>
      <c r="C1" s="2"/>
      <c r="D1" s="1"/>
      <c r="E1" s="1"/>
      <c r="F1" s="2"/>
      <c r="G1" s="2"/>
      <c r="H1" s="2"/>
    </row>
    <row r="2" spans="1:8" ht="15.75" customHeight="1">
      <c r="A2" s="3"/>
      <c r="D2" s="3"/>
      <c r="E2" s="3"/>
    </row>
    <row r="3" spans="1:8" ht="15.75" customHeight="1">
      <c r="A3" s="3" t="s">
        <v>180</v>
      </c>
      <c r="D3" s="3" t="s">
        <v>181</v>
      </c>
      <c r="E3" s="3" t="s">
        <v>182</v>
      </c>
      <c r="G3" s="3"/>
      <c r="H3" s="3"/>
    </row>
    <row r="4" spans="1:8" ht="15.75" customHeight="1">
      <c r="A4" s="6" t="s">
        <v>183</v>
      </c>
      <c r="D4" s="46"/>
      <c r="E4" s="46"/>
      <c r="F4" s="47"/>
    </row>
    <row r="5" spans="1:8" ht="15.75" customHeight="1">
      <c r="A5" s="4" t="s">
        <v>184</v>
      </c>
      <c r="D5" s="46">
        <f>'3.InputsAssumptions'!B$20/'3.InputsAssumptions'!B$5</f>
        <v>192.00006811573266</v>
      </c>
      <c r="E5" s="46">
        <f>'3.InputsAssumptions'!B$23/'3.InputsAssumptions'!B$5</f>
        <v>182.44049983013699</v>
      </c>
      <c r="F5" s="47"/>
      <c r="G5" s="5"/>
    </row>
    <row r="6" spans="1:8" ht="15.75" customHeight="1">
      <c r="A6" s="4" t="s">
        <v>185</v>
      </c>
      <c r="D6" s="48">
        <f>D5-'3.InputsAssumptions'!B$11</f>
        <v>12.00006811573266</v>
      </c>
      <c r="E6" s="46">
        <f>E5-'3.InputsAssumptions'!B$11</f>
        <v>2.4404998301369858</v>
      </c>
    </row>
    <row r="8" spans="1:8" ht="15.75" customHeight="1">
      <c r="A8" s="6" t="s">
        <v>186</v>
      </c>
    </row>
    <row r="9" spans="1:8" ht="15.75" customHeight="1">
      <c r="A9" s="4" t="s">
        <v>187</v>
      </c>
      <c r="D9" s="47">
        <f>D6/'3.InputsAssumptions'!B$11</f>
        <v>6.6667045087403662E-2</v>
      </c>
      <c r="E9" s="47">
        <f>E6/'3.InputsAssumptions'!B$11</f>
        <v>1.3558332389649921E-2</v>
      </c>
      <c r="F9" s="47"/>
    </row>
    <row r="11" spans="1:8" ht="15.75" customHeight="1">
      <c r="A11" s="6" t="s">
        <v>188</v>
      </c>
    </row>
    <row r="12" spans="1:8" ht="15.75" customHeight="1">
      <c r="A12" s="4" t="s">
        <v>189</v>
      </c>
      <c r="D12" s="4">
        <f>D5/'3.InputsAssumptions'!B$11</f>
        <v>1.0666670450874036</v>
      </c>
      <c r="E12" s="4">
        <f>E5/'3.InputsAssumptions'!B$11</f>
        <v>1.01355833238965</v>
      </c>
    </row>
    <row r="13" spans="1:8" ht="15.75" customHeight="1">
      <c r="E13"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45"/>
  <sheetViews>
    <sheetView workbookViewId="0">
      <selection activeCell="B13" sqref="B13"/>
    </sheetView>
  </sheetViews>
  <sheetFormatPr baseColWidth="10" defaultColWidth="12.6640625" defaultRowHeight="15.75" customHeight="1"/>
  <cols>
    <col min="1" max="1" width="50.1640625" customWidth="1"/>
  </cols>
  <sheetData>
    <row r="1" spans="1:9" ht="15.75" customHeight="1">
      <c r="A1" s="2" t="s">
        <v>190</v>
      </c>
      <c r="B1" s="2"/>
      <c r="C1" s="2"/>
      <c r="D1" s="2"/>
      <c r="E1" s="2"/>
      <c r="F1" s="2"/>
      <c r="G1" s="2"/>
      <c r="H1" s="2"/>
      <c r="I1" s="2"/>
    </row>
    <row r="3" spans="1:9" ht="15.75" customHeight="1">
      <c r="A3" s="3" t="s">
        <v>191</v>
      </c>
      <c r="B3" s="3" t="s">
        <v>192</v>
      </c>
      <c r="D3" s="3"/>
      <c r="E3" s="3"/>
      <c r="F3" s="3" t="s">
        <v>21</v>
      </c>
    </row>
    <row r="4" spans="1:9" ht="15.75" customHeight="1">
      <c r="A4" s="4" t="s">
        <v>193</v>
      </c>
      <c r="B4" s="11">
        <v>356911389</v>
      </c>
      <c r="D4" s="5"/>
      <c r="F4" s="4" t="s">
        <v>215</v>
      </c>
      <c r="I4" s="49"/>
    </row>
    <row r="5" spans="1:9" ht="15.75" customHeight="1">
      <c r="A5" s="4" t="s">
        <v>194</v>
      </c>
      <c r="B5" s="11">
        <f>$B$4/'3.InputsAssumptions'!$B$49</f>
        <v>305052469.23076928</v>
      </c>
      <c r="D5" s="5"/>
      <c r="F5" s="4" t="s">
        <v>195</v>
      </c>
      <c r="G5" s="4"/>
    </row>
    <row r="6" spans="1:9" ht="15.75" customHeight="1">
      <c r="A6" s="4" t="s">
        <v>196</v>
      </c>
      <c r="B6" s="11">
        <f>B4-B5</f>
        <v>51858919.769230723</v>
      </c>
      <c r="D6" s="5"/>
      <c r="F6" s="4" t="s">
        <v>197</v>
      </c>
      <c r="G6" s="4"/>
    </row>
    <row r="7" spans="1:9" ht="15.75" customHeight="1">
      <c r="A7" s="4" t="s">
        <v>198</v>
      </c>
      <c r="B7" s="50">
        <f>B5*'4.EfficiencyEstimates'!D9</f>
        <v>20336946.720231514</v>
      </c>
      <c r="D7" s="5"/>
      <c r="F7" s="4" t="s">
        <v>199</v>
      </c>
      <c r="G7" s="4"/>
    </row>
    <row r="8" spans="1:9" ht="15.75" customHeight="1">
      <c r="A8" s="4" t="s">
        <v>200</v>
      </c>
      <c r="B8" s="11">
        <f>B6-B7</f>
        <v>31521973.048999209</v>
      </c>
      <c r="D8" s="5"/>
      <c r="F8" s="4" t="s">
        <v>201</v>
      </c>
      <c r="G8" s="4"/>
    </row>
    <row r="9" spans="1:9" ht="15.75" customHeight="1">
      <c r="D9" s="5"/>
      <c r="G9" s="4"/>
    </row>
    <row r="10" spans="1:9" ht="15.75" customHeight="1">
      <c r="A10" s="51" t="s">
        <v>202</v>
      </c>
      <c r="B10" s="52">
        <f>B8/'4.EfficiencyEstimates'!D12</f>
        <v>29551839.24934727</v>
      </c>
      <c r="F10" s="4" t="s">
        <v>203</v>
      </c>
      <c r="G10" s="4"/>
    </row>
    <row r="11" spans="1:9" ht="15.75" customHeight="1">
      <c r="A11" s="4" t="s">
        <v>204</v>
      </c>
      <c r="B11" s="50">
        <f>B10/'3.InputsAssumptions'!$B$54</f>
        <v>307831.65884736739</v>
      </c>
      <c r="F11" s="4" t="s">
        <v>205</v>
      </c>
      <c r="G11" s="4"/>
    </row>
    <row r="12" spans="1:9" ht="15.75" customHeight="1">
      <c r="A12" s="4" t="s">
        <v>206</v>
      </c>
      <c r="B12" s="4">
        <f>B11/'3.InputsAssumptions'!$B$55</f>
        <v>76957.914711841848</v>
      </c>
      <c r="F12" s="4" t="s">
        <v>207</v>
      </c>
      <c r="G12" s="4"/>
    </row>
    <row r="13" spans="1:9" ht="15.75" customHeight="1">
      <c r="A13" s="51" t="s">
        <v>208</v>
      </c>
      <c r="B13" s="51">
        <f>B12*'3.InputsAssumptions'!$B$53</f>
        <v>538705.40298289293</v>
      </c>
      <c r="F13" s="4" t="s">
        <v>209</v>
      </c>
      <c r="G13" s="4"/>
    </row>
    <row r="14" spans="1:9" ht="15.75" customHeight="1">
      <c r="G14" s="4"/>
    </row>
    <row r="15" spans="1:9" ht="15.75" customHeight="1">
      <c r="A15" s="4" t="s">
        <v>210</v>
      </c>
      <c r="B15" s="11">
        <f>(B10/B4)*100</f>
        <v>8.279881270291229</v>
      </c>
      <c r="G15" s="4"/>
    </row>
    <row r="16" spans="1:9" ht="15.75" customHeight="1">
      <c r="G16" s="4"/>
    </row>
    <row r="17" spans="1:9" ht="15.75" customHeight="1">
      <c r="G17" s="4"/>
    </row>
    <row r="18" spans="1:9" ht="15.75" customHeight="1">
      <c r="G18" s="4"/>
    </row>
    <row r="19" spans="1:9" ht="15.75" customHeight="1">
      <c r="A19" s="3" t="s">
        <v>211</v>
      </c>
      <c r="G19" s="4"/>
    </row>
    <row r="20" spans="1:9" ht="15.75" customHeight="1">
      <c r="C20" s="53" t="s">
        <v>212</v>
      </c>
      <c r="D20" s="5"/>
      <c r="G20" s="4"/>
    </row>
    <row r="21" spans="1:9" ht="15.75" customHeight="1">
      <c r="A21" s="3" t="s">
        <v>213</v>
      </c>
      <c r="B21" s="6">
        <v>1.1599999999999999</v>
      </c>
      <c r="C21" s="6">
        <v>1.17</v>
      </c>
      <c r="D21" s="6">
        <v>1.18</v>
      </c>
      <c r="G21" s="4"/>
    </row>
    <row r="22" spans="1:9" ht="15.75" customHeight="1">
      <c r="A22" s="54">
        <v>1.0569999999999999</v>
      </c>
      <c r="B22" s="55">
        <f t="shared" ref="B22:D22" si="0">(($B$4-($B$4/B$21)-($B$4/B$21)*($A22-1))/$A22)</f>
        <v>29982279.929370712</v>
      </c>
      <c r="C22" s="55">
        <f t="shared" si="0"/>
        <v>32612042.595153164</v>
      </c>
      <c r="D22" s="55">
        <f t="shared" si="0"/>
        <v>35197233.012363091</v>
      </c>
      <c r="G22" s="4"/>
    </row>
    <row r="23" spans="1:9" ht="15.75" customHeight="1">
      <c r="A23" s="54">
        <v>1.0669999999999999</v>
      </c>
      <c r="B23" s="55">
        <f t="shared" ref="B23:B24" si="1">(($B$4-($B$4/B$21)-($B$4/B$21)*($A23-1))/$A23)</f>
        <v>26817664.073457662</v>
      </c>
      <c r="C23" s="56">
        <f>(($B$4-($B$4/'3.InputsAssumptions'!$B$49)-($B$4/'3.InputsAssumptions'!$B$49)*('4.EfficiencyEstimates'!D9))/'4.EfficiencyEstimates'!D12)</f>
        <v>29551839.24934727</v>
      </c>
      <c r="D23" s="55">
        <f>(($B$4-($B$4/D$21)-($B$4/D$21)*($A23-1))/$A23)</f>
        <v>32032617.156450033</v>
      </c>
      <c r="G23" s="4"/>
    </row>
    <row r="24" spans="1:9" ht="15.75" customHeight="1">
      <c r="A24" s="54">
        <v>1.077</v>
      </c>
      <c r="B24" s="55">
        <f t="shared" si="1"/>
        <v>23711815.45720873</v>
      </c>
      <c r="C24" s="55">
        <f t="shared" ref="C24:D24" si="2">(($B$4-($B$4/C$21)-($B$4/C$21)*($A24-1))/$A24)</f>
        <v>26341578.122991182</v>
      </c>
      <c r="D24" s="55">
        <f t="shared" si="2"/>
        <v>28926768.540201105</v>
      </c>
      <c r="G24" s="4"/>
    </row>
    <row r="25" spans="1:9" ht="15.75" customHeight="1">
      <c r="D25" s="5"/>
      <c r="G25" s="4"/>
    </row>
    <row r="26" spans="1:9" ht="15.75" customHeight="1">
      <c r="A26" s="3" t="s">
        <v>214</v>
      </c>
      <c r="D26" s="5"/>
      <c r="G26" s="4"/>
    </row>
    <row r="27" spans="1:9" ht="15.75" customHeight="1">
      <c r="C27" s="3" t="s">
        <v>212</v>
      </c>
      <c r="D27" s="5"/>
      <c r="G27" s="4"/>
    </row>
    <row r="28" spans="1:9" ht="15.75" customHeight="1">
      <c r="A28" s="3" t="s">
        <v>213</v>
      </c>
      <c r="B28" s="6">
        <v>1.1599999999999999</v>
      </c>
      <c r="C28" s="6">
        <v>1.17</v>
      </c>
      <c r="D28" s="6">
        <v>1.18</v>
      </c>
      <c r="G28" s="4"/>
    </row>
    <row r="29" spans="1:9" ht="15.75" customHeight="1">
      <c r="A29" s="54">
        <v>1.0569999999999999</v>
      </c>
      <c r="B29" s="4">
        <f>ROUND((B22/'3.InputsAssumptions'!$B$54)/'3.InputsAssumptions'!$B$55,0)*'3.InputsAssumptions'!$B$53</f>
        <v>546553</v>
      </c>
      <c r="C29" s="4">
        <f>ROUND((C22/'3.InputsAssumptions'!$B$54)/'3.InputsAssumptions'!$B$55,0)*'3.InputsAssumptions'!$B$53</f>
        <v>594489</v>
      </c>
      <c r="D29" s="4">
        <f>ROUND((D22/'3.InputsAssumptions'!$B$54)/'3.InputsAssumptions'!$B$55,0)*'3.InputsAssumptions'!$B$53</f>
        <v>641613</v>
      </c>
      <c r="G29" s="4"/>
    </row>
    <row r="30" spans="1:9" ht="15.75" customHeight="1">
      <c r="A30" s="54">
        <v>1.0669999999999999</v>
      </c>
      <c r="B30" s="4">
        <f>ROUND((B23/'3.InputsAssumptions'!$B$54)/'3.InputsAssumptions'!$B$55,0)*'3.InputsAssumptions'!$B$53</f>
        <v>488866</v>
      </c>
      <c r="C30" s="51">
        <f>ROUND((C23/'3.InputsAssumptions'!$B$54)/'3.InputsAssumptions'!$B$55,0)*'3.InputsAssumptions'!$B$53</f>
        <v>538706</v>
      </c>
      <c r="D30" s="4">
        <f>ROUND((D23/'3.InputsAssumptions'!$B$54)/'3.InputsAssumptions'!$B$55,0)*'3.InputsAssumptions'!$B$53</f>
        <v>583926</v>
      </c>
      <c r="G30" s="4"/>
    </row>
    <row r="31" spans="1:9" ht="15.75" customHeight="1">
      <c r="A31" s="54">
        <v>1.077</v>
      </c>
      <c r="B31" s="4">
        <f>ROUND((B24/'3.InputsAssumptions'!$B$54)/'3.InputsAssumptions'!$B$55,0)*'3.InputsAssumptions'!$B$53</f>
        <v>432250</v>
      </c>
      <c r="C31" s="4">
        <f>ROUND((C24/'3.InputsAssumptions'!$B$54)/'3.InputsAssumptions'!$B$55,0)*'3.InputsAssumptions'!$B$53</f>
        <v>480186</v>
      </c>
      <c r="D31" s="4">
        <f>ROUND((D24/'3.InputsAssumptions'!$B$54)/'3.InputsAssumptions'!$B$55,0)*'3.InputsAssumptions'!$B$53</f>
        <v>527310</v>
      </c>
      <c r="G31" s="4"/>
      <c r="I31" s="57"/>
    </row>
    <row r="32" spans="1:9" ht="15.75" customHeight="1">
      <c r="G32" s="4"/>
      <c r="I32" s="57"/>
    </row>
    <row r="33" spans="1:9" ht="15.75" customHeight="1">
      <c r="A33" s="4"/>
      <c r="I33" s="55"/>
    </row>
    <row r="34" spans="1:9" ht="16">
      <c r="A34" s="58"/>
      <c r="B34" s="59"/>
      <c r="C34" s="59"/>
    </row>
    <row r="35" spans="1:9" ht="16">
      <c r="A35" s="58"/>
      <c r="B35" s="59"/>
      <c r="C35" s="59"/>
    </row>
    <row r="36" spans="1:9" ht="16">
      <c r="A36" s="60"/>
      <c r="B36" s="59"/>
      <c r="C36" s="59"/>
    </row>
    <row r="37" spans="1:9" ht="15">
      <c r="A37" s="60"/>
    </row>
    <row r="38" spans="1:9" ht="15">
      <c r="A38" s="60"/>
    </row>
    <row r="39" spans="1:9" ht="15">
      <c r="A39" s="60"/>
    </row>
    <row r="40" spans="1:9" ht="15">
      <c r="A40" s="60"/>
    </row>
    <row r="41" spans="1:9" ht="15">
      <c r="A41" s="60"/>
    </row>
    <row r="42" spans="1:9" ht="15">
      <c r="A42" s="60"/>
    </row>
    <row r="43" spans="1:9" ht="15">
      <c r="A43" s="60"/>
    </row>
    <row r="45" spans="1:9" ht="15.75" customHeight="1">
      <c r="A45"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1.ReadMeSummary</vt:lpstr>
      <vt:lpstr>2.RawCosts</vt:lpstr>
      <vt:lpstr>3.InputsAssumptions</vt:lpstr>
      <vt:lpstr>4.EfficiencyEstimates</vt:lpstr>
      <vt:lpstr>5.ScaleEstimates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Ghani, Tarek</cp:lastModifiedBy>
  <dcterms:modified xsi:type="dcterms:W3CDTF">2024-01-20T00:31:33Z</dcterms:modified>
</cp:coreProperties>
</file>