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\MSThesis\documents\"/>
    </mc:Choice>
  </mc:AlternateContent>
  <xr:revisionPtr revIDLastSave="0" documentId="13_ncr:1_{1409557B-9B0B-4360-88F3-B901A1990958}" xr6:coauthVersionLast="47" xr6:coauthVersionMax="47" xr10:uidLastSave="{00000000-0000-0000-0000-000000000000}"/>
  <bookViews>
    <workbookView xWindow="7215" yWindow="3105" windowWidth="28800" windowHeight="15345" xr2:uid="{A977ED4B-B779-4DB6-A8B8-B7CE20AE608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21" i="1"/>
  <c r="F21" i="1" s="1"/>
  <c r="C24" i="1" l="1"/>
  <c r="D24" i="1"/>
  <c r="L4" i="1"/>
  <c r="I5" i="1"/>
  <c r="I6" i="1"/>
  <c r="I7" i="1"/>
  <c r="I8" i="1"/>
  <c r="I9" i="1"/>
  <c r="I10" i="1"/>
  <c r="I11" i="1"/>
  <c r="I12" i="1"/>
  <c r="I13" i="1"/>
  <c r="I4" i="1"/>
  <c r="C15" i="1" l="1"/>
  <c r="F15" i="1" s="1"/>
  <c r="D4" i="1"/>
  <c r="D27" i="1" s="1"/>
  <c r="C4" i="1"/>
  <c r="D15" i="1" l="1"/>
  <c r="C10" i="1"/>
  <c r="B21" i="1"/>
  <c r="C21" i="1" s="1"/>
  <c r="N4" i="1" s="1"/>
  <c r="D12" i="1" l="1"/>
  <c r="B12" i="1" s="1"/>
  <c r="B10" i="1"/>
  <c r="D10" i="1"/>
  <c r="E10" i="1" s="1"/>
  <c r="E15" i="1" s="1"/>
  <c r="D18" i="1" l="1"/>
  <c r="E18" i="1" s="1"/>
  <c r="F24" i="1" l="1"/>
  <c r="F18" i="1"/>
  <c r="D7" i="1"/>
  <c r="B7" i="1" s="1"/>
  <c r="B27" i="1"/>
  <c r="C27" i="1" s="1"/>
  <c r="O4" i="1" l="1"/>
  <c r="N5" i="1"/>
  <c r="N6" i="1" s="1"/>
  <c r="N7" i="1" s="1"/>
  <c r="N8" i="1" s="1"/>
  <c r="N9" i="1" s="1"/>
  <c r="N10" i="1" s="1"/>
  <c r="N11" i="1" s="1"/>
  <c r="N12" i="1" s="1"/>
  <c r="N13" i="1" s="1"/>
  <c r="L5" i="1" l="1"/>
  <c r="O5" i="1" s="1"/>
  <c r="P4" i="1"/>
  <c r="J4" i="1" s="1"/>
  <c r="K4" i="1" l="1"/>
  <c r="Q4" i="1" s="1"/>
  <c r="R4" i="1" s="1"/>
  <c r="L6" i="1"/>
  <c r="O6" i="1" s="1"/>
  <c r="P5" i="1"/>
  <c r="J5" i="1" s="1"/>
  <c r="K5" i="1" s="1"/>
  <c r="Q5" i="1" s="1"/>
  <c r="R5" i="1" s="1"/>
  <c r="L7" i="1" l="1"/>
  <c r="O7" i="1" s="1"/>
  <c r="P6" i="1"/>
  <c r="J6" i="1" s="1"/>
  <c r="K6" i="1" l="1"/>
  <c r="Q6" i="1" s="1"/>
  <c r="R6" i="1" s="1"/>
  <c r="P7" i="1"/>
  <c r="J7" i="1" s="1"/>
  <c r="K7" i="1" s="1"/>
  <c r="Q7" i="1" s="1"/>
  <c r="R7" i="1" s="1"/>
  <c r="L8" i="1"/>
  <c r="O8" i="1" s="1"/>
  <c r="L9" i="1" l="1"/>
  <c r="O9" i="1" s="1"/>
  <c r="P8" i="1"/>
  <c r="J8" i="1" s="1"/>
  <c r="K8" i="1" l="1"/>
  <c r="L10" i="1"/>
  <c r="O10" i="1" s="1"/>
  <c r="P9" i="1"/>
  <c r="J9" i="1" s="1"/>
  <c r="K9" i="1" s="1"/>
  <c r="Q9" i="1" s="1"/>
  <c r="R9" i="1" s="1"/>
  <c r="Q8" i="1" l="1"/>
  <c r="R8" i="1" s="1"/>
  <c r="L11" i="1"/>
  <c r="O11" i="1" s="1"/>
  <c r="P10" i="1"/>
  <c r="J10" i="1" s="1"/>
  <c r="K10" i="1" s="1"/>
  <c r="Q10" i="1" s="1"/>
  <c r="R10" i="1" s="1"/>
  <c r="P11" i="1" l="1"/>
  <c r="J11" i="1" s="1"/>
  <c r="L12" i="1"/>
  <c r="O12" i="1" s="1"/>
  <c r="L13" i="1" l="1"/>
  <c r="O13" i="1" s="1"/>
  <c r="P13" i="1" s="1"/>
  <c r="J13" i="1" s="1"/>
  <c r="P12" i="1"/>
  <c r="J12" i="1" s="1"/>
  <c r="K11" i="1"/>
  <c r="Q11" i="1" s="1"/>
  <c r="R11" i="1" s="1"/>
  <c r="K12" i="1" l="1"/>
  <c r="Q12" i="1" s="1"/>
  <c r="R12" i="1" s="1"/>
  <c r="K13" i="1"/>
  <c r="Q13" i="1" s="1"/>
  <c r="R13" i="1" s="1"/>
</calcChain>
</file>

<file path=xl/sharedStrings.xml><?xml version="1.0" encoding="utf-8"?>
<sst xmlns="http://schemas.openxmlformats.org/spreadsheetml/2006/main" count="94" uniqueCount="93">
  <si>
    <t>T (ns)</t>
  </si>
  <si>
    <t>c (m/s)</t>
  </si>
  <si>
    <t>Magnet</t>
  </si>
  <si>
    <t>λ (m)</t>
  </si>
  <si>
    <t>Tasarım Parametreleri</t>
  </si>
  <si>
    <t>Girdi Değişkenleri</t>
  </si>
  <si>
    <t>Sonuç Çıktıları</t>
  </si>
  <si>
    <t>Sabitler</t>
  </si>
  <si>
    <t>T=1/f</t>
  </si>
  <si>
    <r>
      <t>f</t>
    </r>
    <r>
      <rPr>
        <b/>
        <sz val="8"/>
        <color theme="0"/>
        <rFont val="Calibri"/>
        <family val="2"/>
        <charset val="162"/>
        <scheme val="minor"/>
      </rPr>
      <t>işletme</t>
    </r>
    <r>
      <rPr>
        <b/>
        <sz val="11"/>
        <color theme="0"/>
        <rFont val="Calibri"/>
        <family val="2"/>
        <charset val="162"/>
        <scheme val="minor"/>
      </rPr>
      <t xml:space="preserve"> (MHz)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</si>
  <si>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sp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</si>
  <si>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çıkış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</si>
  <si>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∑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</si>
  <si>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Δ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</si>
  <si>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n</t>
    </r>
    <r>
      <rPr>
        <b/>
        <sz val="8"/>
        <color rgb="FFFA7D00"/>
        <rFont val="Calibri"/>
        <family val="2"/>
        <charset val="162"/>
        <scheme val="minor"/>
      </rPr>
      <t>geçiş</t>
    </r>
  </si>
  <si>
    <r>
      <rPr>
        <b/>
        <sz val="12"/>
        <color theme="0"/>
        <rFont val="Calibri"/>
        <family val="2"/>
        <charset val="162"/>
        <scheme val="minor"/>
      </rPr>
      <t>E</t>
    </r>
    <r>
      <rPr>
        <b/>
        <sz val="8"/>
        <color theme="0"/>
        <rFont val="Calibri"/>
        <family val="2"/>
        <charset val="162"/>
        <scheme val="minor"/>
      </rPr>
      <t>giriş</t>
    </r>
    <r>
      <rPr>
        <b/>
        <sz val="11"/>
        <color theme="0"/>
        <rFont val="Calibri"/>
        <family val="2"/>
        <charset val="162"/>
        <scheme val="minor"/>
      </rPr>
      <t xml:space="preserve"> (MeV)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</si>
  <si>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(MeV/c²)</t>
    </r>
  </si>
  <si>
    <r>
      <rPr>
        <b/>
        <sz val="12"/>
        <color theme="0"/>
        <rFont val="Calibri"/>
        <family val="2"/>
        <charset val="162"/>
        <scheme val="minor"/>
      </rPr>
      <t>I</t>
    </r>
    <r>
      <rPr>
        <b/>
        <sz val="8"/>
        <color theme="0"/>
        <rFont val="Calibri"/>
        <family val="2"/>
        <charset val="162"/>
        <scheme val="minor"/>
      </rPr>
      <t>demet</t>
    </r>
    <r>
      <rPr>
        <b/>
        <sz val="11"/>
        <color theme="0"/>
        <rFont val="Calibri"/>
        <family val="2"/>
        <charset val="162"/>
        <scheme val="minor"/>
      </rPr>
      <t xml:space="preserve"> (mA)</t>
    </r>
  </si>
  <si>
    <r>
      <t>β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</si>
  <si>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γ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</si>
  <si>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se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</si>
  <si>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2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</si>
  <si>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1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</si>
  <si>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t>i)</t>
  </si>
  <si>
    <t>ii)</t>
  </si>
  <si>
    <t>iii)</t>
  </si>
  <si>
    <t>iv)</t>
  </si>
  <si>
    <t>v)</t>
  </si>
  <si>
    <t>vi)</t>
  </si>
  <si>
    <t>vii)</t>
  </si>
  <si>
    <t>viii)</t>
  </si>
  <si>
    <t>ix)</t>
  </si>
  <si>
    <t>x)</t>
  </si>
  <si>
    <t>xi)</t>
  </si>
  <si>
    <r>
      <t>φ</t>
    </r>
    <r>
      <rPr>
        <b/>
        <sz val="8"/>
        <color rgb="FFFA7D00"/>
        <rFont val="Calibri"/>
        <family val="2"/>
        <charset val="162"/>
        <scheme val="minor"/>
      </rPr>
      <t>dış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</si>
  <si>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Çevre</t>
    </r>
    <r>
      <rPr>
        <b/>
        <sz val="8"/>
        <color rgb="FFFA7D00"/>
        <rFont val="Calibri"/>
        <family val="2"/>
        <charset val="162"/>
        <scheme val="minor"/>
      </rPr>
      <t xml:space="preserve">dış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</si>
  <si>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Çevre/magnet (m)</t>
  </si>
  <si>
    <t>Gun+Exit Space(m)</t>
  </si>
  <si>
    <t>dL (m)</t>
  </si>
  <si>
    <t>Emax (MV/m)</t>
  </si>
  <si>
    <t>Magnetler</t>
  </si>
  <si>
    <t>n</t>
  </si>
  <si>
    <t>Magnet No</t>
  </si>
  <si>
    <t>β</t>
  </si>
  <si>
    <t>γ</t>
  </si>
  <si>
    <r>
      <t>E</t>
    </r>
    <r>
      <rPr>
        <b/>
        <sz val="8"/>
        <color rgb="FFFA7D00"/>
        <rFont val="Calibri"/>
        <family val="2"/>
        <charset val="162"/>
        <scheme val="minor"/>
      </rPr>
      <t>giriş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</si>
  <si>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kazanç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</si>
  <si>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kin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</si>
  <si>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top</t>
    </r>
  </si>
  <si>
    <t>B (T)</t>
  </si>
  <si>
    <t>B (Gs)</t>
  </si>
  <si>
    <t>Formulasyon</t>
  </si>
  <si>
    <t>RHODOTRON KAHVELab 2020</t>
  </si>
  <si>
    <r>
      <rPr>
        <b/>
        <sz val="12"/>
        <color rgb="FFFA7D00"/>
        <rFont val="Calibri"/>
        <family val="2"/>
        <charset val="162"/>
      </rPr>
      <t>ρ</t>
    </r>
    <r>
      <rPr>
        <b/>
        <sz val="8"/>
        <color rgb="FFFA7D00"/>
        <rFont val="Calibri"/>
        <family val="2"/>
        <charset val="162"/>
        <scheme val="minor"/>
      </rPr>
      <t xml:space="preserve">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</si>
  <si>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d (m)</t>
  </si>
  <si>
    <t>L (m)</t>
  </si>
  <si>
    <t>dL=d+L</t>
  </si>
  <si>
    <r>
      <rPr>
        <sz val="9"/>
        <color theme="1"/>
        <rFont val="Calibri"/>
        <family val="2"/>
        <charset val="162"/>
        <scheme val="minor"/>
      </rPr>
      <t>dL=(</t>
    </r>
    <r>
      <rPr>
        <sz val="9"/>
        <color theme="1"/>
        <rFont val="Calibri"/>
        <family val="2"/>
        <charset val="162"/>
      </rPr>
      <t>ρ/tan(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))-R2</t>
    </r>
  </si>
  <si>
    <r>
      <rPr>
        <sz val="9"/>
        <color theme="1"/>
        <rFont val="Calibri"/>
        <family val="2"/>
        <charset val="162"/>
      </rPr>
      <t>ρ</t>
    </r>
    <r>
      <rPr>
        <sz val="9"/>
        <color theme="1"/>
        <rFont val="Calibri"/>
        <family val="2"/>
        <charset val="162"/>
        <scheme val="minor"/>
      </rPr>
      <t>=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/((2/tan(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))+Π+2*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</si>
  <si>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</rPr>
      <t>Lmagnet=(Π+2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)*ρ</t>
    </r>
  </si>
  <si>
    <r>
      <rPr>
        <sz val="9"/>
        <color theme="1"/>
        <rFont val="Calibri"/>
        <family val="2"/>
        <charset val="162"/>
      </rPr>
      <t>β_e¯=(1−(1/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^2) )^(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</si>
  <si>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t>γ_e¯=Eçıkış/e¯kütle</t>
  </si>
  <si>
    <r>
      <rPr>
        <sz val="9"/>
        <color theme="1"/>
        <rFont val="Calibri"/>
        <family val="2"/>
        <charset val="162"/>
        <scheme val="minor"/>
      </rPr>
      <t>Zse=5.77*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</si>
  <si>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  <scheme val="minor"/>
      </rPr>
      <t>Zsp=4.9*</t>
    </r>
    <r>
      <rPr>
        <sz val="9"/>
        <color theme="1"/>
        <rFont val="Arial Tur"/>
        <charset val="162"/>
      </rPr>
      <t>λ^(½)</t>
    </r>
  </si>
  <si>
    <t>R1=R2/4</t>
  </si>
  <si>
    <r>
      <rPr>
        <sz val="9"/>
        <color theme="1"/>
        <rFont val="Calibri"/>
        <family val="2"/>
        <charset val="162"/>
        <scheme val="minor"/>
      </rPr>
      <t>R2=0.27*</t>
    </r>
    <r>
      <rPr>
        <sz val="9"/>
        <color theme="1"/>
        <rFont val="Arial Tur"/>
        <charset val="162"/>
      </rPr>
      <t>λ</t>
    </r>
  </si>
  <si>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=c/f</t>
    </r>
  </si>
  <si>
    <t>V (kV)</t>
  </si>
  <si>
    <r>
      <rPr>
        <sz val="11"/>
        <color theme="1"/>
        <rFont val="Arial Tur"/>
        <charset val="162"/>
      </rPr>
      <t>γ</t>
    </r>
    <r>
      <rPr>
        <sz val="9.35"/>
        <color theme="1"/>
        <rFont val="Calibri"/>
        <family val="2"/>
        <charset val="162"/>
      </rPr>
      <t>=Π/2*n</t>
    </r>
  </si>
  <si>
    <r>
      <rPr>
        <sz val="11"/>
        <color theme="1"/>
        <rFont val="Calibri"/>
        <family val="2"/>
        <charset val="162"/>
      </rPr>
      <t>ρ</t>
    </r>
    <r>
      <rPr>
        <sz val="9.35"/>
        <color theme="1"/>
        <rFont val="Calibri"/>
        <family val="2"/>
        <charset val="162"/>
      </rPr>
      <t>=(R2+d+L)*tan(</t>
    </r>
    <r>
      <rPr>
        <sz val="9.35"/>
        <color theme="1"/>
        <rFont val="Arial Tur"/>
        <charset val="162"/>
      </rPr>
      <t>γ</t>
    </r>
    <r>
      <rPr>
        <sz val="7.95"/>
        <color theme="1"/>
        <rFont val="Calibri"/>
        <family val="2"/>
        <charset val="162"/>
      </rPr>
      <t>)</t>
    </r>
  </si>
  <si>
    <r>
      <t>B=(m</t>
    </r>
    <r>
      <rPr>
        <sz val="8"/>
        <color theme="1"/>
        <rFont val="Calibri"/>
        <family val="2"/>
        <charset val="162"/>
        <scheme val="minor"/>
      </rPr>
      <t>_e</t>
    </r>
    <r>
      <rPr>
        <sz val="8"/>
        <color theme="1"/>
        <rFont val="Calibri"/>
        <family val="2"/>
        <charset val="162"/>
      </rPr>
      <t>¯</t>
    </r>
    <r>
      <rPr>
        <sz val="11"/>
        <color theme="1"/>
        <rFont val="Calibri"/>
        <family val="2"/>
        <charset val="162"/>
      </rPr>
      <t>*</t>
    </r>
    <r>
      <rPr>
        <sz val="11"/>
        <color theme="1"/>
        <rFont val="Arial Tur"/>
        <charset val="162"/>
      </rPr>
      <t>γ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*β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*c)/(q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*ρ)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</si>
  <si>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(kg) [m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</si>
  <si>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r>
      <t xml:space="preserve">e¯ </t>
    </r>
    <r>
      <rPr>
        <sz val="8"/>
        <color rgb="FFFF0000"/>
        <rFont val="Calibri"/>
        <family val="2"/>
        <scheme val="minor"/>
      </rPr>
      <t>yük</t>
    </r>
    <r>
      <rPr>
        <sz val="11"/>
        <color rgb="FFFF0000"/>
        <rFont val="Calibri"/>
        <family val="2"/>
        <charset val="162"/>
        <scheme val="minor"/>
      </rPr>
      <t xml:space="preserve"> (C) [q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</si>
  <si>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t>γ (rad)</t>
  </si>
  <si>
    <r>
      <t>RF</t>
    </r>
    <r>
      <rPr>
        <b/>
        <sz val="8"/>
        <color rgb="FFFA7D00"/>
        <rFont val="Calibri"/>
        <family val="2"/>
        <charset val="162"/>
        <scheme val="minor"/>
      </rPr>
      <t>toplam güç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t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</si>
  <si>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rgb="FFFA7D00"/>
        <rFont val="Calibri"/>
        <family val="2"/>
        <charset val="162"/>
        <scheme val="minor"/>
      </rPr>
      <t>demet gücü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de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</si>
  <si>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theme="0"/>
        <rFont val="Calibri"/>
        <family val="2"/>
        <charset val="162"/>
        <scheme val="minor"/>
      </rPr>
      <t xml:space="preserve">duvar gücü </t>
    </r>
    <r>
      <rPr>
        <b/>
        <sz val="11"/>
        <color theme="0"/>
        <rFont val="Calibri"/>
        <family val="2"/>
        <charset val="162"/>
        <scheme val="minor"/>
      </rPr>
      <t>(kW) [P</t>
    </r>
    <r>
      <rPr>
        <b/>
        <sz val="8"/>
        <color theme="0"/>
        <rFont val="Calibri"/>
        <family val="2"/>
        <charset val="162"/>
        <scheme val="minor"/>
      </rPr>
      <t>du</t>
    </r>
    <r>
      <rPr>
        <b/>
        <sz val="11"/>
        <color theme="0"/>
        <rFont val="Calibri"/>
        <family val="2"/>
        <charset val="162"/>
        <scheme val="minor"/>
      </rPr>
      <t>]</t>
    </r>
  </si>
  <si>
    <r>
      <t>P</t>
    </r>
    <r>
      <rPr>
        <sz val="8"/>
        <color theme="1"/>
        <rFont val="Calibri"/>
        <family val="2"/>
        <charset val="162"/>
        <scheme val="minor"/>
      </rPr>
      <t>du</t>
    </r>
    <r>
      <rPr>
        <sz val="11"/>
        <color theme="1"/>
        <rFont val="Calibri"/>
        <family val="2"/>
        <charset val="162"/>
        <scheme val="minor"/>
      </rPr>
      <t>=V^2/Z</t>
    </r>
    <r>
      <rPr>
        <sz val="8"/>
        <color theme="1"/>
        <rFont val="Calibri"/>
        <family val="2"/>
        <charset val="162"/>
        <scheme val="minor"/>
      </rPr>
      <t>sp</t>
    </r>
  </si>
  <si>
    <r>
      <rPr>
        <sz val="11"/>
        <color theme="1"/>
        <rFont val="Arial Tur"/>
        <charset val="162"/>
      </rPr>
      <t>ɸ</t>
    </r>
    <r>
      <rPr>
        <sz val="8"/>
        <color theme="1"/>
        <rFont val="Calibri"/>
        <family val="2"/>
        <charset val="162"/>
      </rPr>
      <t>dış</t>
    </r>
    <r>
      <rPr>
        <sz val="9.35"/>
        <color theme="1"/>
        <rFont val="Calibri"/>
        <family val="2"/>
        <charset val="162"/>
      </rPr>
      <t>=2*R</t>
    </r>
    <r>
      <rPr>
        <sz val="8"/>
        <color theme="1"/>
        <rFont val="Calibri"/>
        <family val="2"/>
        <charset val="162"/>
      </rPr>
      <t>2</t>
    </r>
  </si>
  <si>
    <r>
      <t>Çevre</t>
    </r>
    <r>
      <rPr>
        <sz val="8"/>
        <color theme="1"/>
        <rFont val="Calibri"/>
        <family val="2"/>
        <charset val="162"/>
        <scheme val="minor"/>
      </rPr>
      <t>dış</t>
    </r>
    <r>
      <rPr>
        <sz val="11"/>
        <color theme="1"/>
        <rFont val="Calibri"/>
        <family val="2"/>
        <charset val="162"/>
        <scheme val="minor"/>
      </rPr>
      <t>=2*Π*R2</t>
    </r>
  </si>
  <si>
    <t>xii)</t>
  </si>
  <si>
    <t>xiii)</t>
  </si>
  <si>
    <t>xiv)</t>
  </si>
  <si>
    <t>xv)</t>
  </si>
  <si>
    <t>xvi)</t>
  </si>
  <si>
    <t>xvii)</t>
  </si>
  <si>
    <t>xviii)</t>
  </si>
  <si>
    <t>xix)</t>
  </si>
  <si>
    <t>Emax(ellipse) (MV/m)</t>
  </si>
  <si>
    <t xml:space="preserve"> </t>
  </si>
  <si>
    <t>Dairesellikten kayıklık(m)</t>
  </si>
  <si>
    <t>phase lag (rad)</t>
  </si>
  <si>
    <r>
      <rPr>
        <sz val="9"/>
        <color theme="1"/>
        <rFont val="Arial Tur"/>
        <charset val="162"/>
      </rPr>
      <t>Δ</t>
    </r>
    <r>
      <rPr>
        <sz val="9"/>
        <color theme="1"/>
        <rFont val="Calibri"/>
        <family val="2"/>
        <charset val="162"/>
      </rPr>
      <t>Egeçiş=(Zsp^(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))*(RFduvar gücü)*cos(phase lag)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</si>
</sst>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color theme="1"/>
      <name val="Arial Tur"/>
      <charset val="162"/>
    </font>
    <font>
      <b/>
      <sz val="12"/>
      <color rgb="FF9C5700"/>
      <name val="Calibri"/>
      <family val="2"/>
      <charset val="162"/>
      <scheme val="minor"/>
    </font>
    <font>
      <sz val="8"/>
      <color theme="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0"/>
      <name val="Calibri"/>
      <family val="2"/>
      <charset val="162"/>
      <scheme val="minor"/>
    </font>
    <font>
      <b/>
      <sz val="8"/>
      <color rgb="FFFA7D00"/>
      <name val="Calibri"/>
      <family val="2"/>
      <charset val="162"/>
      <scheme val="minor"/>
    </font>
    <font>
      <b/>
      <sz val="12"/>
      <color rgb="FFFA7D0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rgb="FFFA7D00"/>
      <name val="Calibri"/>
      <family val="2"/>
      <charset val="162"/>
    </font>
    <font>
      <b/>
      <sz val="12"/>
      <name val="Calibri"/>
      <family val="2"/>
      <charset val="162"/>
      <scheme val="minor"/>
    </font>
    <font>
      <sz val="9.35"/>
      <color theme="1"/>
      <name val="Calibri"/>
      <family val="2"/>
      <charset val="162"/>
    </font>
    <font>
      <sz val="9.35"/>
      <color theme="1"/>
      <name val="Arial Tur"/>
      <charset val="162"/>
    </font>
    <font>
      <sz val="7.95"/>
      <color theme="1"/>
      <name val="Calibri"/>
      <family val="2"/>
      <charset val="162"/>
    </font>
    <font>
      <sz val="9"/>
      <color theme="1"/>
      <name val="Calibri"/>
      <family val="2"/>
      <charset val="162"/>
    </font>
    <font>
      <sz val="9"/>
      <color theme="1"/>
      <name val="Arial Tur"/>
      <charset val="162"/>
    </font>
    <font>
      <sz val="9"/>
      <color theme="1"/>
      <name val="Calibri"/>
      <family val="2"/>
      <charset val="162"/>
      <scheme val="minor"/>
    </font>
    <font>
      <sz val="8"/>
      <color rgb="FFFF0000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66">
    <xf numFmtId="0" fontId="0" fillId="0" borderId="0" xfId="0"/>
    <xf numFmtId="0" fontId="1" fillId="2" borderId="3" xfId="1" applyBorder="1" applyAlignment="1">
      <alignment horizontal="center"/>
    </xf>
    <xf numFmtId="0" fontId="3" fillId="4" borderId="4" xfId="3" applyBorder="1" applyAlignment="1">
      <alignment horizontal="center"/>
    </xf>
    <xf numFmtId="0" fontId="1" fillId="2" borderId="6" xfId="1" applyBorder="1" applyAlignment="1">
      <alignment horizontal="center"/>
    </xf>
    <xf numFmtId="0" fontId="5" fillId="0" borderId="3" xfId="5" applyBorder="1" applyAlignment="1">
      <alignment horizontal="center"/>
    </xf>
    <xf numFmtId="0" fontId="3" fillId="4" borderId="3" xfId="3" applyBorder="1" applyAlignment="1">
      <alignment horizontal="center"/>
    </xf>
    <xf numFmtId="0" fontId="4" fillId="5" borderId="3" xfId="4" applyBorder="1" applyAlignment="1">
      <alignment horizontal="center"/>
    </xf>
    <xf numFmtId="0" fontId="4" fillId="5" borderId="3" xfId="4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8" xfId="3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7" fillId="8" borderId="3" xfId="8" applyBorder="1" applyAlignment="1">
      <alignment horizontal="center"/>
    </xf>
    <xf numFmtId="0" fontId="17" fillId="7" borderId="9" xfId="7" applyBorder="1" applyAlignment="1">
      <alignment horizontal="center"/>
    </xf>
    <xf numFmtId="0" fontId="17" fillId="7" borderId="0" xfId="7" applyBorder="1" applyAlignment="1">
      <alignment horizontal="center"/>
    </xf>
    <xf numFmtId="0" fontId="17" fillId="7" borderId="0" xfId="7" applyBorder="1" applyAlignment="1">
      <alignment horizontal="center" vertical="center"/>
    </xf>
    <xf numFmtId="0" fontId="17" fillId="8" borderId="7" xfId="8" applyBorder="1" applyAlignment="1">
      <alignment horizontal="center"/>
    </xf>
    <xf numFmtId="0" fontId="17" fillId="7" borderId="9" xfId="7" applyBorder="1" applyAlignment="1"/>
    <xf numFmtId="0" fontId="17" fillId="7" borderId="10" xfId="7" applyBorder="1"/>
    <xf numFmtId="0" fontId="0" fillId="0" borderId="0" xfId="0" applyAlignment="1">
      <alignment horizontal="center"/>
    </xf>
    <xf numFmtId="0" fontId="2" fillId="3" borderId="0" xfId="2" applyBorder="1" applyAlignment="1">
      <alignment horizontal="center"/>
    </xf>
    <xf numFmtId="0" fontId="17" fillId="7" borderId="9" xfId="7" applyBorder="1"/>
    <xf numFmtId="0" fontId="17" fillId="7" borderId="0" xfId="7" applyBorder="1"/>
    <xf numFmtId="0" fontId="17" fillId="7" borderId="16" xfId="7" applyBorder="1"/>
    <xf numFmtId="0" fontId="17" fillId="7" borderId="17" xfId="7" applyBorder="1"/>
    <xf numFmtId="0" fontId="17" fillId="7" borderId="18" xfId="7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2" fillId="3" borderId="9" xfId="2" applyBorder="1" applyAlignment="1">
      <alignment horizontal="center"/>
    </xf>
    <xf numFmtId="0" fontId="3" fillId="4" borderId="19" xfId="3" applyBorder="1" applyAlignment="1">
      <alignment horizontal="center"/>
    </xf>
    <xf numFmtId="0" fontId="2" fillId="3" borderId="16" xfId="2" applyBorder="1"/>
    <xf numFmtId="0" fontId="2" fillId="3" borderId="17" xfId="2" applyBorder="1"/>
    <xf numFmtId="0" fontId="0" fillId="0" borderId="17" xfId="0" applyBorder="1"/>
    <xf numFmtId="0" fontId="0" fillId="0" borderId="18" xfId="0" applyBorder="1"/>
    <xf numFmtId="0" fontId="2" fillId="3" borderId="10" xfId="2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8" xfId="2" applyBorder="1"/>
    <xf numFmtId="0" fontId="3" fillId="4" borderId="20" xfId="3" applyBorder="1" applyAlignment="1">
      <alignment horizontal="center"/>
    </xf>
    <xf numFmtId="0" fontId="3" fillId="4" borderId="0" xfId="3" applyBorder="1" applyAlignment="1">
      <alignment horizontal="center" vertical="center"/>
    </xf>
    <xf numFmtId="0" fontId="1" fillId="2" borderId="10" xfId="1" applyBorder="1" applyAlignment="1">
      <alignment horizontal="center"/>
    </xf>
    <xf numFmtId="0" fontId="0" fillId="0" borderId="3" xfId="0" applyBorder="1" applyAlignment="1">
      <alignment horizontal="left"/>
    </xf>
    <xf numFmtId="0" fontId="28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0" fillId="7" borderId="13" xfId="7" applyFont="1" applyBorder="1" applyAlignment="1">
      <alignment horizontal="center" vertical="center"/>
    </xf>
    <xf numFmtId="0" fontId="17" fillId="7" borderId="14" xfId="7" applyBorder="1" applyAlignment="1">
      <alignment horizontal="center" vertical="center"/>
    </xf>
    <xf numFmtId="0" fontId="17" fillId="7" borderId="15" xfId="7" applyBorder="1" applyAlignment="1">
      <alignment horizontal="center" vertical="center"/>
    </xf>
    <xf numFmtId="0" fontId="28" fillId="0" borderId="5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19" fillId="9" borderId="3" xfId="9" applyFont="1" applyBorder="1" applyAlignment="1">
      <alignment horizontal="center"/>
    </xf>
    <xf numFmtId="0" fontId="17" fillId="9" borderId="3" xfId="9" applyBorder="1" applyAlignment="1">
      <alignment horizontal="center"/>
    </xf>
    <xf numFmtId="0" fontId="22" fillId="3" borderId="13" xfId="2" applyFont="1" applyBorder="1" applyAlignment="1">
      <alignment horizontal="center"/>
    </xf>
    <xf numFmtId="0" fontId="9" fillId="3" borderId="14" xfId="2" applyFont="1" applyBorder="1" applyAlignment="1">
      <alignment horizontal="center"/>
    </xf>
    <xf numFmtId="0" fontId="9" fillId="3" borderId="15" xfId="2" applyFont="1" applyBorder="1" applyAlignment="1">
      <alignment horizontal="center"/>
    </xf>
    <xf numFmtId="0" fontId="19" fillId="6" borderId="13" xfId="6" applyFont="1" applyBorder="1" applyAlignment="1">
      <alignment horizontal="center"/>
    </xf>
    <xf numFmtId="0" fontId="19" fillId="6" borderId="14" xfId="6" applyFont="1" applyBorder="1" applyAlignment="1">
      <alignment horizontal="center"/>
    </xf>
    <xf numFmtId="0" fontId="19" fillId="6" borderId="15" xfId="6" applyFont="1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</cellXfs>
  <cellStyles count="10">
    <cellStyle name="20% - Accent5" xfId="8" builtinId="46"/>
    <cellStyle name="40% - Accent5" xfId="9" builtinId="47"/>
    <cellStyle name="60% - Accent1" xfId="6" builtinId="32"/>
    <cellStyle name="60% - Accent4" xfId="7" builtinId="44"/>
    <cellStyle name="Bad" xfId="1" builtinId="27"/>
    <cellStyle name="Calculation" xfId="3" builtinId="22"/>
    <cellStyle name="Check Cell" xfId="4" builtinId="23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12029</xdr:colOff>
      <xdr:row>1</xdr:row>
      <xdr:rowOff>11207</xdr:rowOff>
    </xdr:from>
    <xdr:to>
      <xdr:col>24</xdr:col>
      <xdr:colOff>725</xdr:colOff>
      <xdr:row>13</xdr:row>
      <xdr:rowOff>53211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D8E7885B-7207-435A-9199-7521B131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823" y="291354"/>
          <a:ext cx="4173848" cy="2328004"/>
        </a:xfrm>
        <a:prstGeom prst="rect">
          <a:avLst/>
        </a:prstGeom>
      </xdr:spPr>
    </xdr:pic>
    <xdr:clientData/>
  </xdr:twoCellAnchor>
  <xdr:twoCellAnchor editAs="oneCell">
    <xdr:from>
      <xdr:col>19</xdr:col>
      <xdr:colOff>286765</xdr:colOff>
      <xdr:row>13</xdr:row>
      <xdr:rowOff>28576</xdr:rowOff>
    </xdr:from>
    <xdr:to>
      <xdr:col>24</xdr:col>
      <xdr:colOff>4831</xdr:colOff>
      <xdr:row>28</xdr:row>
      <xdr:rowOff>5442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2142A2A-B21E-48FE-8743-8D3C779557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64" r="10441"/>
        <a:stretch/>
      </xdr:blipFill>
      <xdr:spPr>
        <a:xfrm>
          <a:off x="16593565" y="2590801"/>
          <a:ext cx="3242316" cy="28629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419380</xdr:colOff>
      <xdr:row>13</xdr:row>
      <xdr:rowOff>16008</xdr:rowOff>
    </xdr:from>
    <xdr:to>
      <xdr:col>19</xdr:col>
      <xdr:colOff>279627</xdr:colOff>
      <xdr:row>28</xdr:row>
      <xdr:rowOff>12854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C6BDF143-102D-464B-851A-300A67F6C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23" t="11441" r="21744" b="11228"/>
        <a:stretch/>
      </xdr:blipFill>
      <xdr:spPr>
        <a:xfrm>
          <a:off x="13401955" y="2578233"/>
          <a:ext cx="3184472" cy="288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9ADF-7CD5-4C3B-BCA2-78038D935A1F}">
  <dimension ref="A1:Y29"/>
  <sheetViews>
    <sheetView tabSelected="1" topLeftCell="A3" zoomScale="200" zoomScaleNormal="200" workbookViewId="0">
      <selection activeCell="C8" sqref="C8"/>
    </sheetView>
  </sheetViews>
  <sheetFormatPr defaultColWidth="8.85546875" defaultRowHeight="15" x14ac:dyDescent="0.25"/>
  <cols>
    <col min="1" max="1" width="3.42578125" customWidth="1"/>
    <col min="2" max="4" width="22" customWidth="1"/>
    <col min="5" max="5" width="18.28515625" customWidth="1"/>
    <col min="6" max="6" width="20.7109375" customWidth="1"/>
    <col min="7" max="7" width="3.42578125" customWidth="1"/>
    <col min="8" max="8" width="6.28515625" customWidth="1"/>
    <col min="9" max="9" width="10.140625" customWidth="1"/>
    <col min="10" max="11" width="13.28515625" customWidth="1"/>
    <col min="12" max="12" width="6.28515625" customWidth="1"/>
    <col min="13" max="13" width="7.85546875" customWidth="1"/>
    <col min="14" max="14" width="12.7109375" customWidth="1"/>
    <col min="15" max="15" width="13" customWidth="1"/>
    <col min="16" max="16" width="14.140625" customWidth="1"/>
    <col min="17" max="17" width="12.42578125" customWidth="1"/>
    <col min="18" max="18" width="14.42578125" customWidth="1"/>
    <col min="24" max="24" width="17.42578125" customWidth="1"/>
    <col min="25" max="25" width="4.28515625" customWidth="1"/>
  </cols>
  <sheetData>
    <row r="1" spans="1:25" ht="21.75" customHeight="1" x14ac:dyDescent="0.25">
      <c r="A1" s="50" t="s">
        <v>52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</row>
    <row r="2" spans="1:25" ht="15" customHeight="1" x14ac:dyDescent="0.25">
      <c r="A2" s="20"/>
      <c r="B2" s="58" t="s">
        <v>4</v>
      </c>
      <c r="C2" s="59"/>
      <c r="D2" s="59"/>
      <c r="E2" s="60"/>
      <c r="F2" s="6" t="s">
        <v>5</v>
      </c>
      <c r="G2" s="17"/>
      <c r="H2" s="61" t="s">
        <v>40</v>
      </c>
      <c r="I2" s="62"/>
      <c r="J2" s="62"/>
      <c r="K2" s="62"/>
      <c r="L2" s="62"/>
      <c r="M2" s="62"/>
      <c r="N2" s="62"/>
      <c r="O2" s="62"/>
      <c r="P2" s="62"/>
      <c r="Q2" s="62"/>
      <c r="R2" s="63"/>
      <c r="S2" s="29"/>
      <c r="T2" s="29"/>
      <c r="U2" s="29"/>
      <c r="V2" s="29"/>
      <c r="W2" s="29"/>
      <c r="X2" s="30"/>
      <c r="Y2" s="21"/>
    </row>
    <row r="3" spans="1:25" x14ac:dyDescent="0.25">
      <c r="A3" s="16"/>
      <c r="B3" s="6" t="s">
        <v>9</v>
      </c>
      <c r="C3" s="5" t="s">
        <v>0</v>
      </c>
      <c r="D3" s="5" t="s">
        <v>3</v>
      </c>
      <c r="E3" s="22"/>
      <c r="F3" s="5" t="s">
        <v>6</v>
      </c>
      <c r="G3" s="17"/>
      <c r="H3" s="41" t="s">
        <v>41</v>
      </c>
      <c r="I3" s="2" t="s">
        <v>42</v>
      </c>
      <c r="J3" s="2" t="s">
        <v>44</v>
      </c>
      <c r="K3" s="2" t="s">
        <v>43</v>
      </c>
      <c r="L3" s="64" t="s">
        <v>45</v>
      </c>
      <c r="M3" s="65"/>
      <c r="N3" s="2" t="s">
        <v>46</v>
      </c>
      <c r="O3" s="2" t="s">
        <v>47</v>
      </c>
      <c r="P3" s="13" t="s">
        <v>48</v>
      </c>
      <c r="Q3" s="13" t="s">
        <v>49</v>
      </c>
      <c r="R3" s="13" t="s">
        <v>50</v>
      </c>
      <c r="X3" s="31"/>
      <c r="Y3" s="21"/>
    </row>
    <row r="4" spans="1:25" x14ac:dyDescent="0.25">
      <c r="A4" s="16"/>
      <c r="B4" s="1">
        <v>107.5</v>
      </c>
      <c r="C4" s="1">
        <f>(1/B4)*(1000)</f>
        <v>9.3023255813953494</v>
      </c>
      <c r="D4" s="1">
        <f>(E24/1000000)/B4</f>
        <v>2.7887670511627909</v>
      </c>
      <c r="E4" s="22"/>
      <c r="F4" s="4" t="s">
        <v>7</v>
      </c>
      <c r="G4" s="17"/>
      <c r="H4" s="11">
        <v>1</v>
      </c>
      <c r="I4" s="14">
        <f>H4</f>
        <v>1</v>
      </c>
      <c r="J4" s="11">
        <f>P4/0.5109989461</f>
        <v>2.1046988689744164</v>
      </c>
      <c r="K4" s="11">
        <f>SQRT(1-(1/(J4*J4)))</f>
        <v>0.87991704128853487</v>
      </c>
      <c r="L4" s="48">
        <f>B18</f>
        <v>0.04</v>
      </c>
      <c r="M4" s="49"/>
      <c r="N4" s="11">
        <f>C18</f>
        <v>0.52449995780378889</v>
      </c>
      <c r="O4" s="11">
        <f t="shared" ref="O4:O13" si="0">L4+N4</f>
        <v>0.56449995780378892</v>
      </c>
      <c r="P4" s="12">
        <f t="shared" ref="P4:P13" si="1">O4+0.5109989461</f>
        <v>1.0754989039037888</v>
      </c>
      <c r="Q4" s="12">
        <f>9.10938356*10^(-31)*J4*299792458*K4/(1.60217662*10^(-19)*D15)</f>
        <v>1.2597557158046826E-2</v>
      </c>
      <c r="R4" s="12">
        <f>Q4*10000</f>
        <v>125.97557158046826</v>
      </c>
      <c r="X4" s="31"/>
      <c r="Y4" s="21"/>
    </row>
    <row r="5" spans="1:25" x14ac:dyDescent="0.25">
      <c r="A5" s="16"/>
      <c r="B5" s="32"/>
      <c r="C5" s="23"/>
      <c r="D5" s="23"/>
      <c r="E5" s="23"/>
      <c r="F5" s="38"/>
      <c r="G5" s="17"/>
      <c r="H5" s="11">
        <v>2</v>
      </c>
      <c r="I5" s="14">
        <f t="shared" ref="I5:I13" si="2">H5</f>
        <v>2</v>
      </c>
      <c r="J5" s="11">
        <f t="shared" ref="J5:J13" si="3">P5/0.5109989461</f>
        <v>3.1311196900090397</v>
      </c>
      <c r="K5" s="11">
        <f t="shared" ref="K5:K13" si="4">SQRT(1-(1/(J5*J5)))</f>
        <v>0.94762855854960959</v>
      </c>
      <c r="L5" s="48">
        <f t="shared" ref="L5:L13" si="5">O4</f>
        <v>0.56449995780378892</v>
      </c>
      <c r="M5" s="49"/>
      <c r="N5" s="11">
        <f>N4</f>
        <v>0.52449995780378889</v>
      </c>
      <c r="O5" s="11">
        <f t="shared" si="0"/>
        <v>1.0889999156075778</v>
      </c>
      <c r="P5" s="11">
        <f t="shared" si="1"/>
        <v>1.5999988617075778</v>
      </c>
      <c r="Q5" s="11">
        <f>9.10938356*10^(-31)*J5*299792458*K5/(1.60217662*10^(-19)*D15)</f>
        <v>2.0183312797937007E-2</v>
      </c>
      <c r="R5" s="11">
        <f t="shared" ref="R5:R13" si="6">Q5*10000</f>
        <v>201.83312797937006</v>
      </c>
      <c r="X5" s="31"/>
      <c r="Y5" s="21"/>
    </row>
    <row r="6" spans="1:25" x14ac:dyDescent="0.25">
      <c r="A6" s="16"/>
      <c r="B6" s="5" t="s">
        <v>74</v>
      </c>
      <c r="C6" s="6" t="s">
        <v>76</v>
      </c>
      <c r="D6" s="5" t="s">
        <v>75</v>
      </c>
      <c r="E6" s="22"/>
      <c r="F6" s="39"/>
      <c r="G6" s="17"/>
      <c r="H6" s="11">
        <v>3</v>
      </c>
      <c r="I6" s="14">
        <f t="shared" si="2"/>
        <v>3</v>
      </c>
      <c r="J6" s="11">
        <f t="shared" si="3"/>
        <v>4.1575405110436625</v>
      </c>
      <c r="K6" s="11">
        <f t="shared" si="4"/>
        <v>0.97064249270561198</v>
      </c>
      <c r="L6" s="48">
        <f t="shared" si="5"/>
        <v>1.0889999156075778</v>
      </c>
      <c r="M6" s="49"/>
      <c r="N6" s="11">
        <f t="shared" ref="N6:N13" si="7">N5</f>
        <v>0.52449995780378889</v>
      </c>
      <c r="O6" s="11">
        <f t="shared" si="0"/>
        <v>1.6134998734113668</v>
      </c>
      <c r="P6" s="11">
        <f t="shared" si="1"/>
        <v>2.1244988195113668</v>
      </c>
      <c r="Q6" s="11">
        <f>9.10938356*10^(-31)*J6*299792458*K6/(1.60217662*10^(-19)*D15)</f>
        <v>2.7450510829572693E-2</v>
      </c>
      <c r="R6" s="11">
        <f t="shared" si="6"/>
        <v>274.50510829572693</v>
      </c>
      <c r="X6" s="31"/>
      <c r="Y6" s="21"/>
    </row>
    <row r="7" spans="1:25" x14ac:dyDescent="0.25">
      <c r="A7" s="16"/>
      <c r="B7" s="1">
        <f>C7+D7</f>
        <v>39.186999746822735</v>
      </c>
      <c r="C7" s="1">
        <v>36</v>
      </c>
      <c r="D7" s="1">
        <f>E18*E21</f>
        <v>3.1869997468227336</v>
      </c>
      <c r="E7" s="22"/>
      <c r="F7" s="39"/>
      <c r="G7" s="17"/>
      <c r="H7" s="11">
        <v>4</v>
      </c>
      <c r="I7" s="14">
        <f t="shared" si="2"/>
        <v>4</v>
      </c>
      <c r="J7" s="11">
        <f t="shared" si="3"/>
        <v>5.1839613320782849</v>
      </c>
      <c r="K7" s="11">
        <f t="shared" si="4"/>
        <v>0.98121789556513939</v>
      </c>
      <c r="L7" s="48">
        <f t="shared" si="5"/>
        <v>1.6134998734113668</v>
      </c>
      <c r="M7" s="49"/>
      <c r="N7" s="11">
        <f t="shared" si="7"/>
        <v>0.52449995780378889</v>
      </c>
      <c r="O7" s="11">
        <f t="shared" si="0"/>
        <v>2.1379998312151556</v>
      </c>
      <c r="P7" s="11">
        <f t="shared" si="1"/>
        <v>2.6489987773151555</v>
      </c>
      <c r="Q7" s="11">
        <f>9.10938356*10^(-31)*J7*299792458*K7/(1.60217662*10^(-19)*D15)</f>
        <v>3.4600458584614406E-2</v>
      </c>
      <c r="R7" s="11">
        <f t="shared" si="6"/>
        <v>346.00458584614404</v>
      </c>
      <c r="X7" s="31"/>
      <c r="Y7" s="21"/>
    </row>
    <row r="8" spans="1:25" x14ac:dyDescent="0.25">
      <c r="A8" s="16"/>
      <c r="B8" s="32"/>
      <c r="C8" s="23"/>
      <c r="D8" s="23"/>
      <c r="E8" s="23"/>
      <c r="F8" s="38"/>
      <c r="G8" s="17"/>
      <c r="H8" s="11">
        <v>5</v>
      </c>
      <c r="I8" s="14">
        <f t="shared" si="2"/>
        <v>5</v>
      </c>
      <c r="J8" s="11">
        <f t="shared" si="3"/>
        <v>6.2103821531129073</v>
      </c>
      <c r="K8" s="11">
        <f t="shared" si="4"/>
        <v>0.98695103140982687</v>
      </c>
      <c r="L8" s="48">
        <f t="shared" si="5"/>
        <v>2.1379998312151556</v>
      </c>
      <c r="M8" s="49"/>
      <c r="N8" s="11">
        <f t="shared" si="7"/>
        <v>0.52449995780378889</v>
      </c>
      <c r="O8" s="11">
        <f t="shared" si="0"/>
        <v>2.6624997890189444</v>
      </c>
      <c r="P8" s="11">
        <f t="shared" si="1"/>
        <v>3.1734987351189443</v>
      </c>
      <c r="Q8" s="11">
        <f>9.10938356*10^(-31)*J8*299792458*K8/(1.60217662*10^(-19)*D15)</f>
        <v>4.1693520886137168E-2</v>
      </c>
      <c r="R8" s="11">
        <f t="shared" si="6"/>
        <v>416.93520886137168</v>
      </c>
      <c r="X8" s="31"/>
      <c r="Y8" s="21"/>
    </row>
    <row r="9" spans="1:25" x14ac:dyDescent="0.25">
      <c r="A9" s="16"/>
      <c r="B9" s="5" t="s">
        <v>22</v>
      </c>
      <c r="C9" s="5" t="s">
        <v>21</v>
      </c>
      <c r="D9" s="5" t="s">
        <v>34</v>
      </c>
      <c r="E9" s="5" t="s">
        <v>35</v>
      </c>
      <c r="F9" s="39"/>
      <c r="G9" s="17"/>
      <c r="H9" s="11">
        <v>6</v>
      </c>
      <c r="I9" s="14">
        <f t="shared" si="2"/>
        <v>6</v>
      </c>
      <c r="J9" s="11">
        <f t="shared" si="3"/>
        <v>7.2368029741475297</v>
      </c>
      <c r="K9" s="11">
        <f t="shared" si="4"/>
        <v>0.99040677432531854</v>
      </c>
      <c r="L9" s="48">
        <f t="shared" si="5"/>
        <v>2.6624997890189444</v>
      </c>
      <c r="M9" s="49"/>
      <c r="N9" s="11">
        <f t="shared" si="7"/>
        <v>0.52449995780378889</v>
      </c>
      <c r="O9" s="11">
        <f t="shared" si="0"/>
        <v>3.1869997468227331</v>
      </c>
      <c r="P9" s="11">
        <f t="shared" si="1"/>
        <v>3.6979986929227331</v>
      </c>
      <c r="Q9" s="11">
        <f>9.10938356*10^(-31)*J9*299792458*K9/(1.60217662*10^(-19)*D15)</f>
        <v>4.8754532031965031E-2</v>
      </c>
      <c r="R9" s="11">
        <f t="shared" si="6"/>
        <v>487.54532031965033</v>
      </c>
      <c r="X9" s="31"/>
      <c r="Y9" s="21"/>
    </row>
    <row r="10" spans="1:25" x14ac:dyDescent="0.25">
      <c r="A10" s="16"/>
      <c r="B10" s="1">
        <f>C10/4</f>
        <v>0.1882417759534884</v>
      </c>
      <c r="C10" s="1">
        <f>0.27*D4</f>
        <v>0.7529671038139536</v>
      </c>
      <c r="D10" s="1">
        <f>2*C10</f>
        <v>1.5059342076279072</v>
      </c>
      <c r="E10" s="1">
        <f>PI()*D10</f>
        <v>4.7310318434733993</v>
      </c>
      <c r="F10" s="39"/>
      <c r="G10" s="17"/>
      <c r="H10" s="11">
        <v>7</v>
      </c>
      <c r="I10" s="14">
        <f t="shared" si="2"/>
        <v>7</v>
      </c>
      <c r="J10" s="11">
        <f t="shared" si="3"/>
        <v>8.2632237951821512</v>
      </c>
      <c r="K10" s="11">
        <f t="shared" si="4"/>
        <v>0.99265029543752825</v>
      </c>
      <c r="L10" s="48">
        <f t="shared" si="5"/>
        <v>3.1869997468227331</v>
      </c>
      <c r="M10" s="49"/>
      <c r="N10" s="11">
        <f t="shared" si="7"/>
        <v>0.52449995780378889</v>
      </c>
      <c r="O10" s="11">
        <f t="shared" si="0"/>
        <v>3.7114997046265219</v>
      </c>
      <c r="P10" s="11">
        <f t="shared" si="1"/>
        <v>4.2224986507265214</v>
      </c>
      <c r="Q10" s="11">
        <f>9.10938356*10^(-31)*J10*299792458*K10/(1.60217662*10^(-19)*D15)</f>
        <v>5.579566169143494E-2</v>
      </c>
      <c r="R10" s="11">
        <f t="shared" si="6"/>
        <v>557.95661691434941</v>
      </c>
      <c r="X10" s="31"/>
      <c r="Y10" s="21"/>
    </row>
    <row r="11" spans="1:25" x14ac:dyDescent="0.25">
      <c r="A11" s="16"/>
      <c r="B11" s="33" t="s">
        <v>55</v>
      </c>
      <c r="C11" s="7" t="s">
        <v>54</v>
      </c>
      <c r="D11" s="5" t="s">
        <v>38</v>
      </c>
      <c r="E11" s="42" t="s">
        <v>37</v>
      </c>
      <c r="F11" s="6" t="s">
        <v>91</v>
      </c>
      <c r="G11" s="17"/>
      <c r="H11" s="11">
        <v>8</v>
      </c>
      <c r="I11" s="14">
        <f t="shared" si="2"/>
        <v>8</v>
      </c>
      <c r="J11" s="11">
        <f t="shared" si="3"/>
        <v>9.2896446162167763</v>
      </c>
      <c r="K11" s="11">
        <f t="shared" si="4"/>
        <v>0.99418920654475318</v>
      </c>
      <c r="L11" s="48">
        <f t="shared" si="5"/>
        <v>3.7114997046265219</v>
      </c>
      <c r="M11" s="49"/>
      <c r="N11" s="11">
        <f t="shared" si="7"/>
        <v>0.52449995780378889</v>
      </c>
      <c r="O11" s="11">
        <f t="shared" si="0"/>
        <v>4.2359996624303111</v>
      </c>
      <c r="P11" s="11">
        <f t="shared" si="1"/>
        <v>4.7469986085303111</v>
      </c>
      <c r="Q11" s="11">
        <f>9.10938356*10^(-31)*J11*299792458*K11/(1.60217662*10^(-19)*D15)</f>
        <v>6.2823595039365798E-2</v>
      </c>
      <c r="R11" s="11">
        <f t="shared" si="6"/>
        <v>628.23595039365796</v>
      </c>
      <c r="X11" s="31"/>
      <c r="Y11" s="21"/>
    </row>
    <row r="12" spans="1:25" x14ac:dyDescent="0.25">
      <c r="A12" s="16"/>
      <c r="B12" s="1">
        <f>D12-C12</f>
        <v>0.13220643182404351</v>
      </c>
      <c r="C12" s="8">
        <v>0.05</v>
      </c>
      <c r="D12" s="1">
        <f>(D15/TAN(F15))-C10</f>
        <v>0.1822064318240435</v>
      </c>
      <c r="E12" s="8">
        <v>0.5</v>
      </c>
      <c r="F12" s="43">
        <v>0.26179938779914941</v>
      </c>
      <c r="G12" s="17"/>
      <c r="H12" s="11">
        <v>9</v>
      </c>
      <c r="I12" s="14">
        <f t="shared" si="2"/>
        <v>9</v>
      </c>
      <c r="J12" s="11">
        <f t="shared" si="3"/>
        <v>10.316065437251398</v>
      </c>
      <c r="K12" s="11">
        <f t="shared" si="4"/>
        <v>0.99529059905043404</v>
      </c>
      <c r="L12" s="48">
        <f t="shared" si="5"/>
        <v>4.2359996624303111</v>
      </c>
      <c r="M12" s="49"/>
      <c r="N12" s="11">
        <f t="shared" si="7"/>
        <v>0.52449995780378889</v>
      </c>
      <c r="O12" s="11">
        <f t="shared" si="0"/>
        <v>4.7604996202340999</v>
      </c>
      <c r="P12" s="11">
        <f t="shared" si="1"/>
        <v>5.2714985663340999</v>
      </c>
      <c r="Q12" s="11">
        <f>9.10938356*10^(-31)*J12*299792458*K12/(1.60217662*10^(-19)*D15)</f>
        <v>6.9842315854440298E-2</v>
      </c>
      <c r="R12" s="11">
        <f t="shared" si="6"/>
        <v>698.42315854440301</v>
      </c>
      <c r="X12" s="31"/>
      <c r="Y12" s="21"/>
    </row>
    <row r="13" spans="1:25" x14ac:dyDescent="0.25">
      <c r="A13" s="16"/>
      <c r="B13" s="32"/>
      <c r="C13" s="23"/>
      <c r="D13" s="23"/>
      <c r="E13" s="23"/>
      <c r="F13" s="38"/>
      <c r="G13" s="17"/>
      <c r="H13" s="11">
        <v>10</v>
      </c>
      <c r="I13" s="14">
        <f t="shared" si="2"/>
        <v>10</v>
      </c>
      <c r="J13" s="11">
        <f t="shared" si="3"/>
        <v>11.342486258286021</v>
      </c>
      <c r="K13" s="11">
        <f t="shared" si="4"/>
        <v>0.99610596470087587</v>
      </c>
      <c r="L13" s="48">
        <f t="shared" si="5"/>
        <v>4.7604996202340999</v>
      </c>
      <c r="M13" s="49"/>
      <c r="N13" s="11">
        <f t="shared" si="7"/>
        <v>0.52449995780378889</v>
      </c>
      <c r="O13" s="11">
        <f t="shared" si="0"/>
        <v>5.2849995780378887</v>
      </c>
      <c r="P13" s="11">
        <f t="shared" si="1"/>
        <v>5.7959985241378886</v>
      </c>
      <c r="Q13" s="11">
        <f>9.10938356*10^(-31)*J13*299792458*K13/(1.60217662*10^(-19)*D15)</f>
        <v>7.6854348180884269E-2</v>
      </c>
      <c r="R13" s="11">
        <f t="shared" si="6"/>
        <v>768.54348180884267</v>
      </c>
      <c r="X13" s="31"/>
      <c r="Y13" s="21"/>
    </row>
    <row r="14" spans="1:25" ht="15.75" x14ac:dyDescent="0.25">
      <c r="A14" s="16"/>
      <c r="B14" s="6" t="s">
        <v>2</v>
      </c>
      <c r="C14" s="5" t="s">
        <v>14</v>
      </c>
      <c r="D14" s="5" t="s">
        <v>53</v>
      </c>
      <c r="E14" s="10" t="s">
        <v>36</v>
      </c>
      <c r="F14" s="5" t="s">
        <v>73</v>
      </c>
      <c r="G14" s="17"/>
      <c r="H14" s="56" t="s">
        <v>51</v>
      </c>
      <c r="I14" s="57"/>
      <c r="J14" s="57"/>
      <c r="K14" s="57"/>
      <c r="L14" s="57"/>
      <c r="M14" s="57"/>
      <c r="N14" s="57"/>
      <c r="O14" s="57"/>
      <c r="P14" s="57"/>
      <c r="X14" s="31"/>
      <c r="Y14" s="21"/>
    </row>
    <row r="15" spans="1:25" x14ac:dyDescent="0.25">
      <c r="A15" s="16"/>
      <c r="B15" s="1">
        <v>5</v>
      </c>
      <c r="C15" s="1">
        <f>B15+1</f>
        <v>6</v>
      </c>
      <c r="D15" s="1">
        <f>D4/(2*F15+PI()+2/TAN(F15))</f>
        <v>0.25057899365715908</v>
      </c>
      <c r="E15" s="1">
        <f>E10/(B15+1)</f>
        <v>0.78850530724556656</v>
      </c>
      <c r="F15" s="39">
        <f>PI()/(2*C15)</f>
        <v>0.26179938779914941</v>
      </c>
      <c r="G15" s="17"/>
      <c r="H15" s="19" t="s">
        <v>23</v>
      </c>
      <c r="I15" s="47" t="s">
        <v>66</v>
      </c>
      <c r="J15" s="46"/>
      <c r="K15" s="46"/>
      <c r="L15" s="19" t="s">
        <v>83</v>
      </c>
      <c r="M15" s="46" t="s">
        <v>69</v>
      </c>
      <c r="N15" s="44"/>
      <c r="O15" s="44"/>
      <c r="P15" s="44"/>
      <c r="X15" s="31"/>
      <c r="Y15" s="21"/>
    </row>
    <row r="16" spans="1:25" x14ac:dyDescent="0.25">
      <c r="A16" s="16"/>
      <c r="B16" s="32"/>
      <c r="C16" s="23"/>
      <c r="D16" s="23"/>
      <c r="E16" s="23"/>
      <c r="F16" s="38"/>
      <c r="G16" s="17"/>
      <c r="H16" s="15" t="s">
        <v>24</v>
      </c>
      <c r="I16" s="45" t="s">
        <v>8</v>
      </c>
      <c r="J16" s="44"/>
      <c r="K16" s="44"/>
      <c r="L16" s="15" t="s">
        <v>84</v>
      </c>
      <c r="M16" s="44" t="s">
        <v>70</v>
      </c>
      <c r="N16" s="44"/>
      <c r="O16" s="44"/>
      <c r="P16" s="44"/>
      <c r="X16" s="31"/>
      <c r="Y16" s="21"/>
    </row>
    <row r="17" spans="1:25" ht="15.75" x14ac:dyDescent="0.25">
      <c r="A17" s="16"/>
      <c r="B17" s="6" t="s">
        <v>15</v>
      </c>
      <c r="C17" s="5" t="s">
        <v>13</v>
      </c>
      <c r="D17" s="5" t="s">
        <v>12</v>
      </c>
      <c r="E17" s="5" t="s">
        <v>11</v>
      </c>
      <c r="F17" s="10" t="s">
        <v>39</v>
      </c>
      <c r="G17" s="18"/>
      <c r="H17" s="15" t="s">
        <v>25</v>
      </c>
      <c r="I17" s="45" t="s">
        <v>65</v>
      </c>
      <c r="J17" s="44"/>
      <c r="K17" s="44"/>
      <c r="L17" s="15" t="s">
        <v>85</v>
      </c>
      <c r="M17" s="44" t="s">
        <v>77</v>
      </c>
      <c r="N17" s="44"/>
      <c r="O17" s="44"/>
      <c r="P17" s="44"/>
      <c r="X17" s="31"/>
      <c r="Y17" s="21"/>
    </row>
    <row r="18" spans="1:25" x14ac:dyDescent="0.25">
      <c r="A18" s="16"/>
      <c r="B18" s="1">
        <v>0.04</v>
      </c>
      <c r="C18" s="1">
        <f>SQRT(C21)*SQRT(C7*0.001)*COS(F12)</f>
        <v>0.52449995780378889</v>
      </c>
      <c r="D18" s="1">
        <f>C18*C15</f>
        <v>3.1469997468227335</v>
      </c>
      <c r="E18" s="1">
        <f>B18+D18</f>
        <v>3.1869997468227336</v>
      </c>
      <c r="F18" s="1">
        <f>D21/(1000*(C10-B10))</f>
        <v>0.96153348566389041</v>
      </c>
      <c r="G18" s="17"/>
      <c r="H18" s="15" t="s">
        <v>26</v>
      </c>
      <c r="I18" s="45" t="s">
        <v>64</v>
      </c>
      <c r="J18" s="44"/>
      <c r="K18" s="44"/>
      <c r="L18" s="15" t="s">
        <v>86</v>
      </c>
      <c r="M18" s="46" t="s">
        <v>78</v>
      </c>
      <c r="N18" s="44"/>
      <c r="O18" s="44"/>
      <c r="P18" s="44"/>
      <c r="X18" s="31"/>
      <c r="Y18" s="21"/>
    </row>
    <row r="19" spans="1:25" x14ac:dyDescent="0.25">
      <c r="A19" s="16"/>
      <c r="B19" s="32"/>
      <c r="C19" s="23"/>
      <c r="D19" s="23"/>
      <c r="E19" s="23"/>
      <c r="F19" s="38"/>
      <c r="G19" s="17"/>
      <c r="H19" s="15" t="s">
        <v>27</v>
      </c>
      <c r="I19" s="45" t="s">
        <v>63</v>
      </c>
      <c r="J19" s="44"/>
      <c r="K19" s="44"/>
      <c r="L19" s="15" t="s">
        <v>87</v>
      </c>
      <c r="M19" s="44" t="s">
        <v>79</v>
      </c>
      <c r="N19" s="44"/>
      <c r="O19" s="44"/>
      <c r="P19" s="44"/>
      <c r="X19" s="31"/>
      <c r="Y19" s="21"/>
    </row>
    <row r="20" spans="1:25" ht="15.75" x14ac:dyDescent="0.25">
      <c r="A20" s="16"/>
      <c r="B20" s="5" t="s">
        <v>20</v>
      </c>
      <c r="C20" s="5" t="s">
        <v>10</v>
      </c>
      <c r="D20" s="10" t="s">
        <v>67</v>
      </c>
      <c r="E20" s="6" t="s">
        <v>17</v>
      </c>
      <c r="F20" s="10" t="s">
        <v>39</v>
      </c>
      <c r="G20" s="17"/>
      <c r="H20" s="15" t="s">
        <v>28</v>
      </c>
      <c r="I20" s="53" t="s">
        <v>62</v>
      </c>
      <c r="J20" s="54"/>
      <c r="K20" s="55"/>
      <c r="L20" s="15"/>
      <c r="M20" s="44"/>
      <c r="N20" s="44"/>
      <c r="O20" s="44"/>
      <c r="P20" s="44"/>
      <c r="X20" s="31"/>
      <c r="Y20" s="21"/>
    </row>
    <row r="21" spans="1:25" x14ac:dyDescent="0.25">
      <c r="A21" s="16"/>
      <c r="B21" s="1">
        <f>5.77*SQRT(D4)</f>
        <v>9.6356703221757058</v>
      </c>
      <c r="C21" s="3">
        <f>0.85*B21</f>
        <v>8.1903197738493496</v>
      </c>
      <c r="D21" s="1">
        <f>SQRT(C7*C21*1000)</f>
        <v>543.00231294035632</v>
      </c>
      <c r="E21" s="1">
        <v>1</v>
      </c>
      <c r="F21" s="1">
        <f>D21/(1000*LN(C10/B10)*B10)</f>
        <v>2.0807993871239607</v>
      </c>
      <c r="G21" s="17"/>
      <c r="H21" s="15" t="s">
        <v>29</v>
      </c>
      <c r="I21" s="47" t="s">
        <v>92</v>
      </c>
      <c r="J21" s="46"/>
      <c r="K21" s="46"/>
      <c r="L21" s="15"/>
      <c r="M21" s="44"/>
      <c r="N21" s="44"/>
      <c r="O21" s="44"/>
      <c r="P21" s="44"/>
      <c r="X21" s="31"/>
      <c r="Y21" s="21"/>
    </row>
    <row r="22" spans="1:25" x14ac:dyDescent="0.25">
      <c r="A22" s="16"/>
      <c r="B22" s="32"/>
      <c r="C22" s="23"/>
      <c r="D22" s="23"/>
      <c r="E22" s="23"/>
      <c r="F22" s="38"/>
      <c r="G22" s="17"/>
      <c r="H22" s="15" t="s">
        <v>30</v>
      </c>
      <c r="I22" s="47" t="s">
        <v>61</v>
      </c>
      <c r="J22" s="46"/>
      <c r="K22" s="46"/>
      <c r="L22" s="15"/>
      <c r="M22" s="44"/>
      <c r="N22" s="44"/>
      <c r="O22" s="44"/>
      <c r="P22" s="44"/>
      <c r="X22" s="31"/>
      <c r="Y22" s="21"/>
    </row>
    <row r="23" spans="1:25" x14ac:dyDescent="0.25">
      <c r="A23" s="16"/>
      <c r="B23" s="4" t="s">
        <v>16</v>
      </c>
      <c r="C23" s="9" t="s">
        <v>71</v>
      </c>
      <c r="D23" s="9" t="s">
        <v>72</v>
      </c>
      <c r="E23" s="4" t="s">
        <v>1</v>
      </c>
      <c r="F23" s="5" t="s">
        <v>88</v>
      </c>
      <c r="G23" s="17"/>
      <c r="H23" s="15" t="s">
        <v>31</v>
      </c>
      <c r="I23" s="47" t="s">
        <v>60</v>
      </c>
      <c r="J23" s="46"/>
      <c r="K23" s="46"/>
      <c r="L23" s="15"/>
      <c r="M23" s="44"/>
      <c r="N23" s="44"/>
      <c r="O23" s="44"/>
      <c r="P23" s="44"/>
      <c r="X23" s="31"/>
      <c r="Y23" s="21"/>
    </row>
    <row r="24" spans="1:25" x14ac:dyDescent="0.25">
      <c r="A24" s="16"/>
      <c r="B24" s="1">
        <v>0.51099894609999996</v>
      </c>
      <c r="C24" s="8">
        <f>9.10938356*10^(-31)</f>
        <v>9.1093835599999998E-31</v>
      </c>
      <c r="D24" s="1">
        <f>1.60217662*10^(-19)</f>
        <v>1.6021766200000001E-19</v>
      </c>
      <c r="E24" s="1">
        <v>299792458</v>
      </c>
      <c r="F24" s="1">
        <f>D21/(1000*(C10-B10-F27))</f>
        <v>0.97886699176811776</v>
      </c>
      <c r="G24" s="17"/>
      <c r="H24" s="15" t="s">
        <v>32</v>
      </c>
      <c r="I24" s="47" t="s">
        <v>59</v>
      </c>
      <c r="J24" s="46"/>
      <c r="K24" s="46"/>
      <c r="L24" s="15"/>
      <c r="M24" s="44"/>
      <c r="N24" s="44"/>
      <c r="O24" s="44"/>
      <c r="P24" s="44"/>
      <c r="X24" s="31"/>
      <c r="Y24" s="21"/>
    </row>
    <row r="25" spans="1:25" x14ac:dyDescent="0.25">
      <c r="A25" s="16"/>
      <c r="B25" s="32"/>
      <c r="C25" s="23"/>
      <c r="D25" s="23"/>
      <c r="E25" s="23"/>
      <c r="F25" s="38"/>
      <c r="G25" s="17"/>
      <c r="H25" s="15" t="s">
        <v>33</v>
      </c>
      <c r="I25" s="45" t="s">
        <v>58</v>
      </c>
      <c r="J25" s="44"/>
      <c r="K25" s="44"/>
      <c r="L25" s="15"/>
      <c r="M25" s="44"/>
      <c r="N25" s="44"/>
      <c r="O25" s="44"/>
      <c r="P25" s="44"/>
      <c r="X25" s="31"/>
      <c r="Y25" s="21"/>
    </row>
    <row r="26" spans="1:25" x14ac:dyDescent="0.25">
      <c r="A26" s="16"/>
      <c r="B26" s="5" t="s">
        <v>19</v>
      </c>
      <c r="C26" s="5" t="s">
        <v>18</v>
      </c>
      <c r="D26" s="22"/>
      <c r="E26" s="22"/>
      <c r="F26" s="6" t="s">
        <v>90</v>
      </c>
      <c r="G26" s="17"/>
      <c r="H26" s="15" t="s">
        <v>80</v>
      </c>
      <c r="I26" s="45" t="s">
        <v>56</v>
      </c>
      <c r="J26" s="44"/>
      <c r="K26" s="44"/>
      <c r="L26" s="15"/>
      <c r="M26" s="44"/>
      <c r="N26" s="44"/>
      <c r="O26" s="44"/>
      <c r="P26" s="44"/>
      <c r="X26" s="31"/>
      <c r="Y26" s="21"/>
    </row>
    <row r="27" spans="1:25" x14ac:dyDescent="0.25">
      <c r="A27" s="16"/>
      <c r="B27" s="1">
        <f>(E18/B24)+1</f>
        <v>7.2368029741475306</v>
      </c>
      <c r="C27" s="1">
        <f>SQRT(1-1/(B27*B27))</f>
        <v>0.99040677432531854</v>
      </c>
      <c r="D27" s="22">
        <f>2.14*(D4)^(1/4)*(C7*1000)^(1/2)</f>
        <v>524.70848043442925</v>
      </c>
      <c r="E27" s="22"/>
      <c r="F27" s="1">
        <v>0.01</v>
      </c>
      <c r="G27" s="17"/>
      <c r="H27" s="15" t="s">
        <v>81</v>
      </c>
      <c r="I27" s="45" t="s">
        <v>57</v>
      </c>
      <c r="J27" s="44"/>
      <c r="K27" s="44"/>
      <c r="L27" s="15"/>
      <c r="M27" s="44"/>
      <c r="N27" s="44"/>
      <c r="O27" s="44"/>
      <c r="P27" s="44"/>
      <c r="X27" s="31"/>
      <c r="Y27" s="21"/>
    </row>
    <row r="28" spans="1:25" x14ac:dyDescent="0.25">
      <c r="A28" s="24"/>
      <c r="B28" s="34"/>
      <c r="C28" s="35"/>
      <c r="D28" s="35"/>
      <c r="E28" s="35"/>
      <c r="F28" s="40" t="s">
        <v>89</v>
      </c>
      <c r="G28" s="25"/>
      <c r="H28" s="15" t="s">
        <v>82</v>
      </c>
      <c r="I28" s="46" t="s">
        <v>68</v>
      </c>
      <c r="J28" s="44"/>
      <c r="K28" s="44"/>
      <c r="L28" s="15"/>
      <c r="M28" s="44"/>
      <c r="N28" s="44"/>
      <c r="O28" s="44"/>
      <c r="P28" s="44"/>
      <c r="Q28" s="36"/>
      <c r="R28" s="36"/>
      <c r="S28" s="36"/>
      <c r="T28" s="36"/>
      <c r="U28" s="36"/>
      <c r="V28" s="36"/>
      <c r="W28" s="36"/>
      <c r="X28" s="37"/>
      <c r="Y28" s="21"/>
    </row>
    <row r="29" spans="1:25" ht="18.75" customHeight="1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8"/>
    </row>
  </sheetData>
  <mergeCells count="43">
    <mergeCell ref="A1:Y1"/>
    <mergeCell ref="I20:K20"/>
    <mergeCell ref="I21:K21"/>
    <mergeCell ref="I22:K22"/>
    <mergeCell ref="L13:M13"/>
    <mergeCell ref="H14:P14"/>
    <mergeCell ref="B2:E2"/>
    <mergeCell ref="I15:K15"/>
    <mergeCell ref="I16:K16"/>
    <mergeCell ref="H2:R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I17:K17"/>
    <mergeCell ref="M27:P27"/>
    <mergeCell ref="I18:K18"/>
    <mergeCell ref="I19:K19"/>
    <mergeCell ref="I23:K23"/>
    <mergeCell ref="I24:K24"/>
    <mergeCell ref="I25:K25"/>
    <mergeCell ref="M28:P28"/>
    <mergeCell ref="I26:K26"/>
    <mergeCell ref="I27:K27"/>
    <mergeCell ref="I28:K28"/>
    <mergeCell ref="M15:P15"/>
    <mergeCell ref="M16:P16"/>
    <mergeCell ref="M17:P17"/>
    <mergeCell ref="M18:P18"/>
    <mergeCell ref="M19:P19"/>
    <mergeCell ref="M20:P20"/>
    <mergeCell ref="M21:P21"/>
    <mergeCell ref="M22:P22"/>
    <mergeCell ref="M23:P23"/>
    <mergeCell ref="M24:P24"/>
    <mergeCell ref="M25:P25"/>
    <mergeCell ref="M26:P26"/>
  </mergeCells>
  <conditionalFormatting sqref="K4:K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Öz</dc:creator>
  <cp:lastModifiedBy>M Furkan Er</cp:lastModifiedBy>
  <dcterms:created xsi:type="dcterms:W3CDTF">2020-10-19T22:42:05Z</dcterms:created>
  <dcterms:modified xsi:type="dcterms:W3CDTF">2023-07-16T09:34:07Z</dcterms:modified>
</cp:coreProperties>
</file>