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namedSheetViews/namedSheetView1.xml" ContentType="application/vnd.ms-excel.namedsheetviews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CustomUI" Type="http://schemas.microsoft.com/office/2007/relationships/ui/extensibility" Target="customUI/customUI14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D:\iTour Reservations\"/>
    </mc:Choice>
  </mc:AlternateContent>
  <xr:revisionPtr revIDLastSave="0" documentId="13_ncr:1_{2CD99A8F-01A2-4B5E-B0DC-7B7C40092B6D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Splash" sheetId="22" r:id="rId1"/>
    <sheet name="BKG Bank" sheetId="1" state="veryHidden" r:id="rId2"/>
    <sheet name="Dashboard" sheetId="11" state="veryHidden" r:id="rId3"/>
    <sheet name="Mat" sheetId="3" state="veryHidden" r:id="rId4"/>
    <sheet name="Arrival_Transfers" sheetId="8" state="veryHidden" r:id="rId5"/>
    <sheet name="Departure_Transfers " sheetId="9" state="veryHidden" r:id="rId6"/>
    <sheet name="Stop Sale" sheetId="5" state="veryHidden" r:id="rId7"/>
    <sheet name="Local Market" sheetId="10" state="veryHidden" r:id="rId8"/>
    <sheet name="ArrivalReport" sheetId="14" state="veryHidden" r:id="rId9"/>
    <sheet name="BookingFinanceReport" sheetId="15" state="veryHidden" r:id="rId10"/>
    <sheet name="PaymentOptionReport" sheetId="16" state="veryHidden" r:id="rId11"/>
    <sheet name="EBDListReport" sheetId="19" state="veryHidden" r:id="rId12"/>
    <sheet name="Params" sheetId="20" state="veryHidden" r:id="rId13"/>
    <sheet name="Users" sheetId="21" state="veryHidden" r:id="rId14"/>
    <sheet name="AuditLog" sheetId="23" state="veryHidden" r:id="rId15"/>
    <sheet name="SPOReport" sheetId="24" state="veryHidden" r:id="rId16"/>
  </sheets>
  <functionGroups builtInGroupCount="19"/>
  <definedNames>
    <definedName name="_xlnm._FilterDatabase" localSheetId="7" hidden="1">'Local Market'!$A$1:$AA$1</definedName>
    <definedName name="_xlnm._FilterDatabase" localSheetId="3" hidden="1">Mat!$BG$1:$CU$120</definedName>
    <definedName name="_xlpm.c" hidden="1" xlm="1">#NAME?</definedName>
    <definedName name="Curr">tblCurrency[Currency]</definedName>
    <definedName name="Hotel_Name">OFFSET(Mat!$BG$2,0,0,COUNTA(Mat!$BG$2:$BG$119),1)</definedName>
    <definedName name="Market" localSheetId="4">#REF!</definedName>
    <definedName name="Market" localSheetId="5">#REF!</definedName>
    <definedName name="Market" localSheetId="3">#REF!</definedName>
    <definedName name="Market" localSheetId="6">#REF!</definedName>
    <definedName name="Market">tblMarket[Market]</definedName>
    <definedName name="MB" localSheetId="4">#REF!</definedName>
    <definedName name="MB" localSheetId="5">#REF!</definedName>
    <definedName name="MB" localSheetId="3">#REF!</definedName>
    <definedName name="MB" localSheetId="6">#REF!</definedName>
    <definedName name="MB">tblMealBasis[Meal Basis]</definedName>
    <definedName name="Payment" localSheetId="4">#REF!</definedName>
    <definedName name="Payment" localSheetId="5">#REF!</definedName>
    <definedName name="Payment" localSheetId="3">#REF!</definedName>
    <definedName name="Payment" localSheetId="6">#REF!</definedName>
    <definedName name="Payment">tblPayMethod[Payment Method]</definedName>
    <definedName name="_xlnm.Print_Area" localSheetId="4">Arrival_Transfers!$A$1:$I$1053</definedName>
    <definedName name="_xlnm.Print_Area" localSheetId="8">ArrivalReport!$A$1:$N$10</definedName>
    <definedName name="_xlnm.Print_Area" localSheetId="9">BookingFinanceReport!$A$1:$H$548</definedName>
    <definedName name="_xlnm.Print_Area" localSheetId="5">'Departure_Transfers '!$A$1:$I$1002</definedName>
    <definedName name="_xlnm.Print_Area" localSheetId="11">EBDListReport!$A$1:$N$4</definedName>
    <definedName name="_xlnm.Print_Area" localSheetId="3">Mat!$A$1:$AL$45</definedName>
    <definedName name="_xlnm.Print_Area" localSheetId="10">PaymentOptionReport!$A$1:$G$27</definedName>
    <definedName name="_xlnm.Print_Titles" localSheetId="8">ArrivalReport!$1:$1</definedName>
    <definedName name="_xlnm.Print_Titles" localSheetId="9">BookingFinanceReport!$1:$1</definedName>
    <definedName name="_xlnm.Print_Titles" localSheetId="11">EBDListReport!$1:$1</definedName>
    <definedName name="_xlnm.Print_Titles" localSheetId="10">PaymentOptionReport!$1:$1</definedName>
    <definedName name="Resort" localSheetId="4">#REF!</definedName>
    <definedName name="Resort" localSheetId="5">#REF!</definedName>
    <definedName name="Resort" localSheetId="3">#REF!</definedName>
    <definedName name="Resort" localSheetId="6">#REF!</definedName>
    <definedName name="Resort">tblResort[Resort]</definedName>
    <definedName name="Room" localSheetId="4">#REF!</definedName>
    <definedName name="Room" localSheetId="5">#REF!</definedName>
    <definedName name="Room" localSheetId="3">#REF!</definedName>
    <definedName name="Room" localSheetId="6">#REF!</definedName>
    <definedName name="Room">tblRoomCat[Room Category]</definedName>
    <definedName name="SPO">tblSPO[SPO]</definedName>
    <definedName name="Status" localSheetId="4">#REF!</definedName>
    <definedName name="Status" localSheetId="5">#REF!</definedName>
    <definedName name="Status" localSheetId="3">#REF!</definedName>
    <definedName name="Status" localSheetId="6">#REF!</definedName>
    <definedName name="Status">tblStatus[Booking Status]</definedName>
    <definedName name="T_O" localSheetId="4">#REF!</definedName>
    <definedName name="T_O" localSheetId="5">#REF!</definedName>
    <definedName name="T_O" localSheetId="3">#REF!</definedName>
    <definedName name="T_O" localSheetId="6">#REF!</definedName>
    <definedName name="T_O">tblTourOp[Tour Operator]</definedName>
    <definedName name="xei">Mat!$A$7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B2" i="1" l="1"/>
  <c r="AB3" i="1"/>
  <c r="AB4" i="1"/>
  <c r="AB5" i="1"/>
  <c r="AB6" i="1"/>
  <c r="AB7" i="1"/>
  <c r="AB9" i="1"/>
  <c r="AB13" i="1"/>
  <c r="AB14" i="1"/>
  <c r="AB15" i="1"/>
  <c r="AB16" i="1"/>
  <c r="AB18" i="1"/>
  <c r="AB19" i="1"/>
  <c r="AB21" i="1"/>
  <c r="AB22" i="1"/>
  <c r="AB23" i="1"/>
  <c r="AB24" i="1"/>
  <c r="AB25" i="1"/>
  <c r="AB26" i="1"/>
  <c r="AB28" i="1"/>
  <c r="AB29" i="1"/>
  <c r="AB30" i="1"/>
  <c r="AB31" i="1"/>
  <c r="AB32" i="1"/>
  <c r="AB34" i="1"/>
  <c r="AB35" i="1"/>
  <c r="AB36" i="1"/>
  <c r="AB37" i="1"/>
  <c r="AB39" i="1"/>
  <c r="AB40" i="1"/>
  <c r="AB41" i="1"/>
  <c r="AB42" i="1"/>
  <c r="AB43" i="1"/>
  <c r="AB44" i="1"/>
  <c r="AB45" i="1"/>
  <c r="AB46" i="1"/>
  <c r="AB47" i="1"/>
  <c r="AB48" i="1"/>
  <c r="AB49" i="1"/>
  <c r="AB50" i="1"/>
  <c r="AB52" i="1"/>
  <c r="AB53" i="1"/>
  <c r="AB54" i="1"/>
  <c r="AB55" i="1"/>
  <c r="AB57" i="1"/>
  <c r="AB58" i="1"/>
  <c r="AB59" i="1"/>
  <c r="AB60" i="1"/>
  <c r="AB61" i="1"/>
  <c r="AB63" i="1"/>
  <c r="AB65" i="1"/>
  <c r="AB67" i="1"/>
  <c r="AB68" i="1"/>
  <c r="AB69" i="1"/>
  <c r="AB70" i="1"/>
  <c r="AB71" i="1"/>
  <c r="AB72" i="1"/>
  <c r="AB73" i="1"/>
  <c r="AB74" i="1"/>
  <c r="AB75" i="1"/>
  <c r="AB82" i="1"/>
  <c r="AB85" i="1"/>
  <c r="AB86" i="1"/>
  <c r="AB87" i="1"/>
  <c r="AB90" i="1"/>
  <c r="AB91" i="1"/>
  <c r="AB92" i="1"/>
  <c r="AB93" i="1"/>
  <c r="AB94" i="1"/>
  <c r="AB95" i="1"/>
  <c r="AB96" i="1"/>
  <c r="AB99" i="1"/>
  <c r="AB100" i="1"/>
  <c r="AB101" i="1"/>
  <c r="AB102" i="1"/>
  <c r="AB103" i="1"/>
  <c r="AB104" i="1"/>
  <c r="AB106" i="1"/>
  <c r="AB107" i="1"/>
  <c r="AB110" i="1"/>
  <c r="AB112" i="1"/>
  <c r="AB113" i="1"/>
  <c r="AB114" i="1"/>
  <c r="AB115" i="1"/>
  <c r="AB116" i="1"/>
  <c r="AB117" i="1"/>
  <c r="AB119" i="1"/>
  <c r="AB120" i="1"/>
  <c r="AB127" i="1"/>
  <c r="AB128" i="1"/>
  <c r="AB129" i="1"/>
  <c r="AB130" i="1"/>
  <c r="AB131" i="1"/>
  <c r="AB132" i="1"/>
  <c r="AB133" i="1"/>
  <c r="AB134" i="1"/>
  <c r="AB137" i="1"/>
  <c r="AB138" i="1"/>
  <c r="AB145" i="1"/>
  <c r="AB146" i="1"/>
  <c r="AB147" i="1"/>
  <c r="AB149" i="1"/>
  <c r="AB151" i="1"/>
  <c r="AB152" i="1"/>
  <c r="AB153" i="1"/>
  <c r="AB156" i="1"/>
  <c r="AB158" i="1"/>
  <c r="AB159" i="1"/>
  <c r="AB160" i="1"/>
  <c r="AB164" i="1"/>
  <c r="AB165" i="1"/>
  <c r="AB168" i="1"/>
  <c r="AB169" i="1"/>
  <c r="AB171" i="1"/>
  <c r="AB173" i="1"/>
  <c r="AB174" i="1"/>
  <c r="AB175" i="1"/>
  <c r="AB176" i="1"/>
  <c r="AB180" i="1"/>
  <c r="AB181" i="1"/>
  <c r="AB182" i="1"/>
  <c r="AB183" i="1"/>
  <c r="AB184" i="1"/>
  <c r="AB185" i="1"/>
  <c r="AB186" i="1"/>
  <c r="AB187" i="1"/>
  <c r="AB189" i="1"/>
  <c r="AB190" i="1"/>
  <c r="AB192" i="1"/>
  <c r="AB193" i="1"/>
  <c r="AB194" i="1"/>
  <c r="AB195" i="1"/>
  <c r="AB200" i="1"/>
  <c r="AB202" i="1"/>
  <c r="AB204" i="1"/>
  <c r="AB209" i="1"/>
  <c r="AB214" i="1"/>
  <c r="AB217" i="1"/>
  <c r="AB218" i="1"/>
  <c r="AB219" i="1"/>
  <c r="AB220" i="1"/>
  <c r="AB222" i="1"/>
  <c r="AB224" i="1"/>
  <c r="AB225" i="1"/>
  <c r="AB226" i="1"/>
  <c r="AB227" i="1"/>
  <c r="AB228" i="1"/>
  <c r="AB230" i="1"/>
  <c r="AB231" i="1"/>
  <c r="AB233" i="1"/>
  <c r="AB234" i="1"/>
  <c r="AB235" i="1"/>
  <c r="AB237" i="1"/>
  <c r="AB238" i="1"/>
  <c r="AB239" i="1"/>
  <c r="AB240" i="1"/>
  <c r="AB241" i="1"/>
  <c r="AB242" i="1"/>
  <c r="AB244" i="1"/>
  <c r="AB245" i="1"/>
  <c r="AB246" i="1"/>
  <c r="AB250" i="1"/>
  <c r="AB251" i="1"/>
  <c r="AB252" i="1"/>
  <c r="AB262" i="1"/>
  <c r="AB263" i="1"/>
  <c r="AB266" i="1"/>
  <c r="AB267" i="1"/>
  <c r="AB277" i="1"/>
  <c r="AB278" i="1"/>
  <c r="AB279" i="1"/>
  <c r="AB290" i="1"/>
  <c r="AB291" i="1"/>
  <c r="AB292" i="1"/>
  <c r="AB294" i="1"/>
  <c r="AB300" i="1"/>
  <c r="AB302" i="1"/>
  <c r="AB305" i="1"/>
  <c r="AB309" i="1"/>
  <c r="AB310" i="1"/>
  <c r="AB311" i="1"/>
  <c r="AB312" i="1"/>
  <c r="AB313" i="1"/>
  <c r="AB314" i="1"/>
  <c r="AB315" i="1"/>
  <c r="AB316" i="1"/>
  <c r="AB318" i="1"/>
  <c r="AB319" i="1"/>
  <c r="AB320" i="1"/>
  <c r="AB323" i="1"/>
  <c r="AB324" i="1"/>
  <c r="AB326" i="1"/>
  <c r="AB327" i="1"/>
  <c r="AB330" i="1"/>
  <c r="AB334" i="1"/>
  <c r="AB336" i="1"/>
  <c r="AB340" i="1"/>
  <c r="AB341" i="1"/>
  <c r="AB345" i="1"/>
  <c r="AB346" i="1"/>
  <c r="AB348" i="1"/>
  <c r="AB350" i="1"/>
  <c r="AB351" i="1"/>
  <c r="AB353" i="1"/>
  <c r="AB356" i="1"/>
  <c r="AB360" i="1"/>
  <c r="AB362" i="1"/>
  <c r="AB363" i="1"/>
  <c r="AB364" i="1"/>
  <c r="AB368" i="1"/>
  <c r="AB369" i="1"/>
  <c r="AB376" i="1"/>
  <c r="AB377" i="1"/>
  <c r="AB378" i="1"/>
  <c r="AB382" i="1"/>
  <c r="AB383" i="1"/>
  <c r="AB388" i="1"/>
  <c r="AB391" i="1"/>
  <c r="AB393" i="1"/>
  <c r="AB398" i="1"/>
  <c r="AB399" i="1"/>
  <c r="AB400" i="1"/>
  <c r="AB401" i="1"/>
  <c r="AB403" i="1"/>
  <c r="AB404" i="1"/>
  <c r="AB406" i="1"/>
  <c r="AB407" i="1"/>
  <c r="AB408" i="1"/>
  <c r="AB409" i="1"/>
  <c r="AB412" i="1"/>
  <c r="AB419" i="1"/>
  <c r="AB420" i="1"/>
  <c r="AB421" i="1"/>
  <c r="AB423" i="1"/>
  <c r="AB425" i="1"/>
  <c r="AB426" i="1"/>
  <c r="AB428" i="1"/>
  <c r="AB430" i="1"/>
  <c r="AB432" i="1"/>
  <c r="AB435" i="1"/>
  <c r="AB437" i="1"/>
  <c r="AB439" i="1"/>
  <c r="AB440" i="1"/>
  <c r="AB442" i="1"/>
  <c r="AB447" i="1"/>
  <c r="AB448" i="1"/>
  <c r="AB450" i="1"/>
  <c r="AB451" i="1"/>
  <c r="AB456" i="1"/>
  <c r="AB457" i="1"/>
  <c r="AB458" i="1"/>
  <c r="AB459" i="1"/>
  <c r="AB461" i="1"/>
  <c r="AB462" i="1"/>
  <c r="AB463" i="1"/>
  <c r="AB464" i="1"/>
  <c r="AB465" i="1"/>
  <c r="AB467" i="1"/>
  <c r="AB468" i="1"/>
  <c r="AB469" i="1"/>
  <c r="AB471" i="1"/>
  <c r="AB472" i="1"/>
  <c r="AB474" i="1"/>
  <c r="AB475" i="1"/>
  <c r="AB476" i="1"/>
  <c r="AB477" i="1"/>
  <c r="AB480" i="1"/>
  <c r="AB481" i="1"/>
  <c r="AB482" i="1"/>
  <c r="AB485" i="1"/>
  <c r="AB486" i="1"/>
  <c r="AB488" i="1"/>
  <c r="AB490" i="1"/>
  <c r="AB491" i="1"/>
  <c r="AB492" i="1"/>
  <c r="AB493" i="1"/>
  <c r="AB494" i="1"/>
  <c r="AB495" i="1"/>
  <c r="AB496" i="1"/>
  <c r="AB497" i="1"/>
  <c r="AB499" i="1"/>
  <c r="AB501" i="1"/>
  <c r="AB502" i="1"/>
  <c r="AB503" i="1"/>
  <c r="AB504" i="1"/>
  <c r="AB507" i="1"/>
  <c r="AB509" i="1"/>
  <c r="AB510" i="1"/>
  <c r="AB511" i="1"/>
  <c r="AB514" i="1"/>
  <c r="AB515" i="1"/>
  <c r="AB516" i="1"/>
  <c r="AB517" i="1"/>
  <c r="AB518" i="1"/>
  <c r="AB519" i="1"/>
  <c r="AB520" i="1"/>
  <c r="AB522" i="1"/>
  <c r="AB524" i="1"/>
  <c r="AB525" i="1"/>
  <c r="AB527" i="1"/>
  <c r="AB529" i="1"/>
  <c r="AB532" i="1"/>
  <c r="AB534" i="1"/>
  <c r="AB536" i="1"/>
  <c r="AB537" i="1"/>
  <c r="AB541" i="1"/>
  <c r="AB542" i="1"/>
  <c r="AB543" i="1"/>
  <c r="AB547" i="1"/>
  <c r="AB548" i="1"/>
  <c r="AB549" i="1"/>
  <c r="AB550" i="1"/>
  <c r="AB551" i="1"/>
  <c r="AB552" i="1"/>
  <c r="AB553" i="1"/>
  <c r="AB555" i="1"/>
  <c r="AB556" i="1"/>
  <c r="AB559" i="1"/>
  <c r="AB560" i="1"/>
  <c r="AB562" i="1"/>
  <c r="AB567" i="1"/>
  <c r="AB568" i="1"/>
  <c r="AB570" i="1"/>
  <c r="AB571" i="1"/>
  <c r="AB575" i="1"/>
  <c r="AB576" i="1"/>
  <c r="AB578" i="1"/>
  <c r="AB579" i="1"/>
  <c r="AB581" i="1"/>
  <c r="AB582" i="1"/>
  <c r="AB583" i="1"/>
  <c r="AB584" i="1"/>
  <c r="AB586" i="1"/>
  <c r="AB588" i="1"/>
  <c r="AB589" i="1"/>
  <c r="AB592" i="1"/>
  <c r="AB593" i="1"/>
  <c r="AB594" i="1"/>
  <c r="AB595" i="1"/>
  <c r="AB596" i="1"/>
  <c r="AB597" i="1"/>
  <c r="AB598" i="1"/>
  <c r="AB599" i="1"/>
  <c r="AB602" i="1"/>
  <c r="AB603" i="1"/>
  <c r="AB604" i="1"/>
  <c r="AB606" i="1"/>
  <c r="AB607" i="1"/>
  <c r="AB608" i="1"/>
  <c r="AB609" i="1"/>
  <c r="AB611" i="1"/>
  <c r="AB612" i="1"/>
  <c r="AB613" i="1"/>
  <c r="AB614" i="1"/>
  <c r="AB615" i="1"/>
  <c r="AB616" i="1"/>
  <c r="AB617" i="1"/>
  <c r="AB618" i="1"/>
  <c r="AB619" i="1"/>
  <c r="AB620" i="1"/>
  <c r="AB621" i="1"/>
  <c r="AB622" i="1"/>
  <c r="AB624" i="1"/>
  <c r="AB625" i="1"/>
  <c r="AB626" i="1"/>
  <c r="AB627" i="1"/>
  <c r="AB628" i="1"/>
  <c r="AB629" i="1"/>
  <c r="AB630" i="1"/>
  <c r="AB631" i="1"/>
  <c r="AB632" i="1"/>
  <c r="AB633" i="1"/>
  <c r="AB634" i="1"/>
  <c r="AB635" i="1"/>
  <c r="AB636" i="1"/>
  <c r="AB637" i="1"/>
  <c r="AB638" i="1"/>
  <c r="AB639" i="1"/>
  <c r="AB640" i="1"/>
  <c r="AB641" i="1"/>
  <c r="AB642" i="1"/>
  <c r="AB643" i="1"/>
  <c r="AB644" i="1"/>
  <c r="AB645" i="1"/>
  <c r="Y10" i="1"/>
  <c r="Y11" i="1"/>
  <c r="Y12" i="1"/>
  <c r="Y17" i="1"/>
  <c r="Y20" i="1"/>
  <c r="Y38" i="1"/>
  <c r="Y51" i="1"/>
  <c r="Y62" i="1"/>
  <c r="Y64" i="1"/>
  <c r="Y78" i="1"/>
  <c r="Y79" i="1"/>
  <c r="Y80" i="1"/>
  <c r="Y81" i="1"/>
  <c r="Y83" i="1"/>
  <c r="Y84" i="1"/>
  <c r="Y88" i="1"/>
  <c r="Y89" i="1"/>
  <c r="Y97" i="1"/>
  <c r="Y105" i="1"/>
  <c r="Y109" i="1"/>
  <c r="Y111" i="1"/>
  <c r="Y118" i="1"/>
  <c r="Y121" i="1"/>
  <c r="Y122" i="1"/>
  <c r="Y125" i="1"/>
  <c r="Y126" i="1"/>
  <c r="Y135" i="1"/>
  <c r="Y136" i="1"/>
  <c r="Y139" i="1"/>
  <c r="Y140" i="1"/>
  <c r="Y141" i="1"/>
  <c r="Y142" i="1"/>
  <c r="Y143" i="1"/>
  <c r="Y144" i="1"/>
  <c r="Y148" i="1"/>
  <c r="Y150" i="1"/>
  <c r="Y154" i="1"/>
  <c r="Y155" i="1"/>
  <c r="Y157" i="1"/>
  <c r="Y163" i="1"/>
  <c r="Y167" i="1"/>
  <c r="Y170" i="1"/>
  <c r="Y172" i="1"/>
  <c r="Y177" i="1"/>
  <c r="Y178" i="1"/>
  <c r="Y179" i="1"/>
  <c r="Y191" i="1"/>
  <c r="Y196" i="1"/>
  <c r="Y197" i="1"/>
  <c r="Y198" i="1"/>
  <c r="Y199" i="1"/>
  <c r="Y205" i="1"/>
  <c r="Y206" i="1"/>
  <c r="Y208" i="1"/>
  <c r="Y210" i="1"/>
  <c r="Y211" i="1"/>
  <c r="Y212" i="1"/>
  <c r="Y213" i="1"/>
  <c r="Y216" i="1"/>
  <c r="Y221" i="1"/>
  <c r="Y223" i="1"/>
  <c r="Y229" i="1"/>
  <c r="Y232" i="1"/>
  <c r="Y236" i="1"/>
  <c r="Y243" i="1"/>
  <c r="Y258" i="1"/>
  <c r="Y264" i="1"/>
  <c r="Y296" i="1"/>
  <c r="Y299" i="1"/>
  <c r="Y304" i="1"/>
  <c r="Y307" i="1"/>
  <c r="Y321" i="1"/>
  <c r="Y322" i="1"/>
  <c r="Y329" i="1"/>
  <c r="Y335" i="1"/>
  <c r="Y342" i="1"/>
  <c r="Y343" i="1"/>
  <c r="Y349" i="1"/>
  <c r="Y352" i="1"/>
  <c r="Y354" i="1"/>
  <c r="Y355" i="1"/>
  <c r="Y358" i="1"/>
  <c r="Y361" i="1"/>
  <c r="Y367" i="1"/>
  <c r="Y370" i="1"/>
  <c r="Y379" i="1"/>
  <c r="Y380" i="1"/>
  <c r="Y381" i="1"/>
  <c r="Y386" i="1"/>
  <c r="Y390" i="1"/>
  <c r="Y392" i="1"/>
  <c r="Y402" i="1"/>
  <c r="Y414" i="1"/>
  <c r="Y431" i="1"/>
  <c r="Y443" i="1"/>
  <c r="Y449" i="1"/>
  <c r="Y453" i="1"/>
  <c r="Y454" i="1"/>
  <c r="Y487" i="1"/>
  <c r="Y489" i="1"/>
  <c r="Y498" i="1"/>
  <c r="Y505" i="1"/>
  <c r="Y535" i="1"/>
  <c r="Y546" i="1"/>
  <c r="Y557" i="1"/>
  <c r="Y574" i="1"/>
  <c r="Y587" i="1"/>
  <c r="Y590" i="1"/>
  <c r="Y591" i="1"/>
  <c r="AD2" i="1"/>
  <c r="AD3" i="1"/>
  <c r="AD4" i="1"/>
  <c r="AD5" i="1"/>
  <c r="AD6" i="1"/>
  <c r="AD7" i="1"/>
  <c r="AD8" i="1"/>
  <c r="AD9" i="1"/>
  <c r="AD10" i="1"/>
  <c r="AD11" i="1"/>
  <c r="AD12" i="1"/>
  <c r="AD13" i="1"/>
  <c r="AD14" i="1"/>
  <c r="AD15" i="1"/>
  <c r="AD16" i="1"/>
  <c r="AD17" i="1"/>
  <c r="AD18" i="1"/>
  <c r="AD19" i="1"/>
  <c r="AD20" i="1"/>
  <c r="AD21" i="1"/>
  <c r="AD22" i="1"/>
  <c r="AD23" i="1"/>
  <c r="AD24" i="1"/>
  <c r="AD25" i="1"/>
  <c r="AD26" i="1"/>
  <c r="AD27" i="1"/>
  <c r="AD28" i="1"/>
  <c r="AD29" i="1"/>
  <c r="AD30" i="1"/>
  <c r="AD31" i="1"/>
  <c r="AD32" i="1"/>
  <c r="AD33" i="1"/>
  <c r="AD34" i="1"/>
  <c r="AD35" i="1"/>
  <c r="AD36" i="1"/>
  <c r="AD37" i="1"/>
  <c r="AD38" i="1"/>
  <c r="AD39" i="1"/>
  <c r="AD40" i="1"/>
  <c r="AD41" i="1"/>
  <c r="AD42" i="1"/>
  <c r="AD43" i="1"/>
  <c r="AD44" i="1"/>
  <c r="AD45" i="1"/>
  <c r="AD46" i="1"/>
  <c r="AD47" i="1"/>
  <c r="AD48" i="1"/>
  <c r="AD49" i="1"/>
  <c r="AD50" i="1"/>
  <c r="AD51" i="1"/>
  <c r="AD52" i="1"/>
  <c r="AD53" i="1"/>
  <c r="AD54" i="1"/>
  <c r="AD55" i="1"/>
  <c r="AD56" i="1"/>
  <c r="AD57" i="1"/>
  <c r="AD58" i="1"/>
  <c r="AD59" i="1"/>
  <c r="AD60" i="1"/>
  <c r="AD61" i="1"/>
  <c r="AD62" i="1"/>
  <c r="AD63" i="1"/>
  <c r="AD64" i="1"/>
  <c r="AD65" i="1"/>
  <c r="AD66" i="1"/>
  <c r="AD67" i="1"/>
  <c r="AD68" i="1"/>
  <c r="AD69" i="1"/>
  <c r="AD70" i="1"/>
  <c r="AD71" i="1"/>
  <c r="AD72" i="1"/>
  <c r="AD73" i="1"/>
  <c r="AD74" i="1"/>
  <c r="AD75" i="1"/>
  <c r="AD76" i="1"/>
  <c r="AD77" i="1"/>
  <c r="AD78" i="1"/>
  <c r="AD79" i="1"/>
  <c r="AD80" i="1"/>
  <c r="AD81" i="1"/>
  <c r="AD82" i="1"/>
  <c r="AD83" i="1"/>
  <c r="AD84" i="1"/>
  <c r="AD85" i="1"/>
  <c r="AD86" i="1"/>
  <c r="AD87" i="1"/>
  <c r="AD88" i="1"/>
  <c r="AD89" i="1"/>
  <c r="AD90" i="1"/>
  <c r="AD91" i="1"/>
  <c r="AD92" i="1"/>
  <c r="AD93" i="1"/>
  <c r="AD94" i="1"/>
  <c r="AD95" i="1"/>
  <c r="AD96" i="1"/>
  <c r="AD97" i="1"/>
  <c r="AD98" i="1"/>
  <c r="AD99" i="1"/>
  <c r="AD100" i="1"/>
  <c r="AD101" i="1"/>
  <c r="AD102" i="1"/>
  <c r="AD103" i="1"/>
  <c r="AD104" i="1"/>
  <c r="AD105" i="1"/>
  <c r="AD106" i="1"/>
  <c r="AD107" i="1"/>
  <c r="AD108" i="1"/>
  <c r="AD109" i="1"/>
  <c r="AD110" i="1"/>
  <c r="AD111" i="1"/>
  <c r="AD112" i="1"/>
  <c r="AD113" i="1"/>
  <c r="AD114" i="1"/>
  <c r="AD115" i="1"/>
  <c r="AD116" i="1"/>
  <c r="AD117" i="1"/>
  <c r="AD118" i="1"/>
  <c r="AD119" i="1"/>
  <c r="AD120" i="1"/>
  <c r="AD121" i="1"/>
  <c r="AD122" i="1"/>
  <c r="AD123" i="1"/>
  <c r="AD124" i="1"/>
  <c r="AD125" i="1"/>
  <c r="AD126" i="1"/>
  <c r="AD127" i="1"/>
  <c r="AD128" i="1"/>
  <c r="AD129" i="1"/>
  <c r="AD130" i="1"/>
  <c r="AD131" i="1"/>
  <c r="AD132" i="1"/>
  <c r="AD133" i="1"/>
  <c r="AD134" i="1"/>
  <c r="AD135" i="1"/>
  <c r="AD136" i="1"/>
  <c r="AD137" i="1"/>
  <c r="AD138" i="1"/>
  <c r="AD139" i="1"/>
  <c r="AD140" i="1"/>
  <c r="AD141" i="1"/>
  <c r="AD142" i="1"/>
  <c r="AD143" i="1"/>
  <c r="AD144" i="1"/>
  <c r="AD145" i="1"/>
  <c r="AD146" i="1"/>
  <c r="AD147" i="1"/>
  <c r="AD148" i="1"/>
  <c r="AD149" i="1"/>
  <c r="AD150" i="1"/>
  <c r="AD151" i="1"/>
  <c r="AD152" i="1"/>
  <c r="AD153" i="1"/>
  <c r="AD154" i="1"/>
  <c r="AD155" i="1"/>
  <c r="AD156" i="1"/>
  <c r="AD157" i="1"/>
  <c r="AD158" i="1"/>
  <c r="AD159" i="1"/>
  <c r="AD160" i="1"/>
  <c r="AD161" i="1"/>
  <c r="AD162" i="1"/>
  <c r="AD163" i="1"/>
  <c r="AD164" i="1"/>
  <c r="AD165" i="1"/>
  <c r="AD166" i="1"/>
  <c r="AD167" i="1"/>
  <c r="AD168" i="1"/>
  <c r="AD169" i="1"/>
  <c r="AD170" i="1"/>
  <c r="AD171" i="1"/>
  <c r="AD172" i="1"/>
  <c r="AD173" i="1"/>
  <c r="AD174" i="1"/>
  <c r="AD175" i="1"/>
  <c r="AD176" i="1"/>
  <c r="AD177" i="1"/>
  <c r="AD178" i="1"/>
  <c r="AD179" i="1"/>
  <c r="AD180" i="1"/>
  <c r="AD181" i="1"/>
  <c r="AD182" i="1"/>
  <c r="AD183" i="1"/>
  <c r="AD184" i="1"/>
  <c r="AD185" i="1"/>
  <c r="AD186" i="1"/>
  <c r="AD187" i="1"/>
  <c r="AD188" i="1"/>
  <c r="AD189" i="1"/>
  <c r="AD190" i="1"/>
  <c r="AD191" i="1"/>
  <c r="AD192" i="1"/>
  <c r="AD193" i="1"/>
  <c r="AD194" i="1"/>
  <c r="AD195" i="1"/>
  <c r="AD196" i="1"/>
  <c r="AD197" i="1"/>
  <c r="AD198" i="1"/>
  <c r="AD199" i="1"/>
  <c r="AD200" i="1"/>
  <c r="AD201" i="1"/>
  <c r="AD202" i="1"/>
  <c r="AD203" i="1"/>
  <c r="AD204" i="1"/>
  <c r="AD205" i="1"/>
  <c r="AD206" i="1"/>
  <c r="AD207" i="1"/>
  <c r="AD208" i="1"/>
  <c r="AD209" i="1"/>
  <c r="AD210" i="1"/>
  <c r="AD211" i="1"/>
  <c r="AD212" i="1"/>
  <c r="AD213" i="1"/>
  <c r="AD214" i="1"/>
  <c r="AD215" i="1"/>
  <c r="AD216" i="1"/>
  <c r="AD217" i="1"/>
  <c r="AD218" i="1"/>
  <c r="AD219" i="1"/>
  <c r="AD220" i="1"/>
  <c r="AD221" i="1"/>
  <c r="AD222" i="1"/>
  <c r="AD223" i="1"/>
  <c r="AD224" i="1"/>
  <c r="AD225" i="1"/>
  <c r="AD226" i="1"/>
  <c r="AD227" i="1"/>
  <c r="AD228" i="1"/>
  <c r="AD229" i="1"/>
  <c r="AD230" i="1"/>
  <c r="AD231" i="1"/>
  <c r="AD232" i="1"/>
  <c r="AD233" i="1"/>
  <c r="AD234" i="1"/>
  <c r="AD235" i="1"/>
  <c r="AD236" i="1"/>
  <c r="AD237" i="1"/>
  <c r="AD238" i="1"/>
  <c r="AD239" i="1"/>
  <c r="AD240" i="1"/>
  <c r="AD241" i="1"/>
  <c r="AD242" i="1"/>
  <c r="AD243" i="1"/>
  <c r="AD244" i="1"/>
  <c r="AD245" i="1"/>
  <c r="AD246" i="1"/>
  <c r="AD247" i="1"/>
  <c r="AD248" i="1"/>
  <c r="AD249" i="1"/>
  <c r="AD250" i="1"/>
  <c r="AD251" i="1"/>
  <c r="AD252" i="1"/>
  <c r="AD253" i="1"/>
  <c r="AD254" i="1"/>
  <c r="AD255" i="1"/>
  <c r="AD256" i="1"/>
  <c r="AD257" i="1"/>
  <c r="AD258" i="1"/>
  <c r="AD259" i="1"/>
  <c r="AD260" i="1"/>
  <c r="AD261" i="1"/>
  <c r="AD262" i="1"/>
  <c r="AD263" i="1"/>
  <c r="AD264" i="1"/>
  <c r="AD265" i="1"/>
  <c r="AD266" i="1"/>
  <c r="AD267" i="1"/>
  <c r="AD268" i="1"/>
  <c r="AD269" i="1"/>
  <c r="AD270" i="1"/>
  <c r="AD271" i="1"/>
  <c r="AD272" i="1"/>
  <c r="AD273" i="1"/>
  <c r="AD274" i="1"/>
  <c r="AD275" i="1"/>
  <c r="AD276" i="1"/>
  <c r="AD277" i="1"/>
  <c r="AD278" i="1"/>
  <c r="AD279" i="1"/>
  <c r="AD280" i="1"/>
  <c r="AD281" i="1"/>
  <c r="AD282" i="1"/>
  <c r="AD283" i="1"/>
  <c r="AD284" i="1"/>
  <c r="AD285" i="1"/>
  <c r="AD286" i="1"/>
  <c r="AD287" i="1"/>
  <c r="AD288" i="1"/>
  <c r="AD289" i="1"/>
  <c r="AD290" i="1"/>
  <c r="AD291" i="1"/>
  <c r="AD292" i="1"/>
  <c r="AD293" i="1"/>
  <c r="AD294" i="1"/>
  <c r="AD295" i="1"/>
  <c r="AD296" i="1"/>
  <c r="AD297" i="1"/>
  <c r="AD298" i="1"/>
  <c r="AD299" i="1"/>
  <c r="AD300" i="1"/>
  <c r="AD301" i="1"/>
  <c r="AD302" i="1"/>
  <c r="AD303" i="1"/>
  <c r="AD304" i="1"/>
  <c r="AD305" i="1"/>
  <c r="AD306" i="1"/>
  <c r="AD307" i="1"/>
  <c r="AD308" i="1"/>
  <c r="AD309" i="1"/>
  <c r="AD310" i="1"/>
  <c r="AD311" i="1"/>
  <c r="AD312" i="1"/>
  <c r="AD313" i="1"/>
  <c r="AD314" i="1"/>
  <c r="AD315" i="1"/>
  <c r="AD316" i="1"/>
  <c r="AD317" i="1"/>
  <c r="AD318" i="1"/>
  <c r="AD319" i="1"/>
  <c r="AD320" i="1"/>
  <c r="AD321" i="1"/>
  <c r="AD322" i="1"/>
  <c r="AD323" i="1"/>
  <c r="AD324" i="1"/>
  <c r="AD325" i="1"/>
  <c r="AD326" i="1"/>
  <c r="AD327" i="1"/>
  <c r="AD328" i="1"/>
  <c r="AD329" i="1"/>
  <c r="AD330" i="1"/>
  <c r="AD331" i="1"/>
  <c r="AD332" i="1"/>
  <c r="AD333" i="1"/>
  <c r="AD334" i="1"/>
  <c r="AD335" i="1"/>
  <c r="AD336" i="1"/>
  <c r="AD337" i="1"/>
  <c r="AD338" i="1"/>
  <c r="AD339" i="1"/>
  <c r="AD340" i="1"/>
  <c r="AD341" i="1"/>
  <c r="AD342" i="1"/>
  <c r="AD343" i="1"/>
  <c r="AD344" i="1"/>
  <c r="AD345" i="1"/>
  <c r="AD346" i="1"/>
  <c r="AD347" i="1"/>
  <c r="AD348" i="1"/>
  <c r="AD349" i="1"/>
  <c r="AD350" i="1"/>
  <c r="AD351" i="1"/>
  <c r="AD352" i="1"/>
  <c r="AD353" i="1"/>
  <c r="AD354" i="1"/>
  <c r="AD355" i="1"/>
  <c r="AD356" i="1"/>
  <c r="AD357" i="1"/>
  <c r="AD358" i="1"/>
  <c r="AD359" i="1"/>
  <c r="AD360" i="1"/>
  <c r="AD361" i="1"/>
  <c r="AD362" i="1"/>
  <c r="AD363" i="1"/>
  <c r="AD364" i="1"/>
  <c r="AD365" i="1"/>
  <c r="AD366" i="1"/>
  <c r="AD367" i="1"/>
  <c r="AD368" i="1"/>
  <c r="AD369" i="1"/>
  <c r="AD370" i="1"/>
  <c r="AD371" i="1"/>
  <c r="AD372" i="1"/>
  <c r="AD373" i="1"/>
  <c r="AD374" i="1"/>
  <c r="AD375" i="1"/>
  <c r="AD376" i="1"/>
  <c r="AD377" i="1"/>
  <c r="AD378" i="1"/>
  <c r="AD379" i="1"/>
  <c r="AD380" i="1"/>
  <c r="AD381" i="1"/>
  <c r="AD382" i="1"/>
  <c r="AD383" i="1"/>
  <c r="AD384" i="1"/>
  <c r="AD385" i="1"/>
  <c r="AD386" i="1"/>
  <c r="AD387" i="1"/>
  <c r="AD388" i="1"/>
  <c r="AD389" i="1"/>
  <c r="AD390" i="1"/>
  <c r="AD391" i="1"/>
  <c r="AD392" i="1"/>
  <c r="AD393" i="1"/>
  <c r="AD394" i="1"/>
  <c r="AD395" i="1"/>
  <c r="AD396" i="1"/>
  <c r="AD397" i="1"/>
  <c r="AD398" i="1"/>
  <c r="AD399" i="1"/>
  <c r="AD400" i="1"/>
  <c r="AD401" i="1"/>
  <c r="AD402" i="1"/>
  <c r="AD403" i="1"/>
  <c r="AD404" i="1"/>
  <c r="AD405" i="1"/>
  <c r="AD406" i="1"/>
  <c r="AD407" i="1"/>
  <c r="AD408" i="1"/>
  <c r="AD409" i="1"/>
  <c r="AD410" i="1"/>
  <c r="AD411" i="1"/>
  <c r="AD412" i="1"/>
  <c r="AD413" i="1"/>
  <c r="AD414" i="1"/>
  <c r="AD415" i="1"/>
  <c r="AD416" i="1"/>
  <c r="AD417" i="1"/>
  <c r="AD418" i="1"/>
  <c r="AD419" i="1"/>
  <c r="AD420" i="1"/>
  <c r="AD421" i="1"/>
  <c r="AD422" i="1"/>
  <c r="AD423" i="1"/>
  <c r="AD424" i="1"/>
  <c r="AD425" i="1"/>
  <c r="AD426" i="1"/>
  <c r="AD427" i="1"/>
  <c r="AD428" i="1"/>
  <c r="AD429" i="1"/>
  <c r="AD430" i="1"/>
  <c r="AD431" i="1"/>
  <c r="AD432" i="1"/>
  <c r="AD433" i="1"/>
  <c r="AD434" i="1"/>
  <c r="AD435" i="1"/>
  <c r="AD436" i="1"/>
  <c r="AD437" i="1"/>
  <c r="AD438" i="1"/>
  <c r="AD439" i="1"/>
  <c r="AD440" i="1"/>
  <c r="AD441" i="1"/>
  <c r="AD442" i="1"/>
  <c r="AD443" i="1"/>
  <c r="AD444" i="1"/>
  <c r="AD445" i="1"/>
  <c r="AD446" i="1"/>
  <c r="AD447" i="1"/>
  <c r="AD448" i="1"/>
  <c r="AD449" i="1"/>
  <c r="AD450" i="1"/>
  <c r="AD451" i="1"/>
  <c r="AD452" i="1"/>
  <c r="AD453" i="1"/>
  <c r="AD454" i="1"/>
  <c r="AD455" i="1"/>
  <c r="AD456" i="1"/>
  <c r="AD457" i="1"/>
  <c r="AD458" i="1"/>
  <c r="AD459" i="1"/>
  <c r="AD460" i="1"/>
  <c r="AD461" i="1"/>
  <c r="AD462" i="1"/>
  <c r="AD463" i="1"/>
  <c r="AD464" i="1"/>
  <c r="AD465" i="1"/>
  <c r="AD466" i="1"/>
  <c r="AD467" i="1"/>
  <c r="AD468" i="1"/>
  <c r="AD469" i="1"/>
  <c r="AD470" i="1"/>
  <c r="AD471" i="1"/>
  <c r="AD472" i="1"/>
  <c r="AD473" i="1"/>
  <c r="AD474" i="1"/>
  <c r="AD475" i="1"/>
  <c r="AD476" i="1"/>
  <c r="AD477" i="1"/>
  <c r="AD478" i="1"/>
  <c r="AD479" i="1"/>
  <c r="AD480" i="1"/>
  <c r="AD481" i="1"/>
  <c r="AD482" i="1"/>
  <c r="AD483" i="1"/>
  <c r="AD484" i="1"/>
  <c r="AD485" i="1"/>
  <c r="AD486" i="1"/>
  <c r="AD487" i="1"/>
  <c r="AD488" i="1"/>
  <c r="AD489" i="1"/>
  <c r="AD490" i="1"/>
  <c r="AD491" i="1"/>
  <c r="AD492" i="1"/>
  <c r="AD493" i="1"/>
  <c r="AD494" i="1"/>
  <c r="AD495" i="1"/>
  <c r="AD496" i="1"/>
  <c r="AD497" i="1"/>
  <c r="AD498" i="1"/>
  <c r="AD499" i="1"/>
  <c r="AD500" i="1"/>
  <c r="AD501" i="1"/>
  <c r="AD502" i="1"/>
  <c r="AD503" i="1"/>
  <c r="AD504" i="1"/>
  <c r="AD505" i="1"/>
  <c r="AD506" i="1"/>
  <c r="AD507" i="1"/>
  <c r="AD508" i="1"/>
  <c r="AD509" i="1"/>
  <c r="AD510" i="1"/>
  <c r="AD511" i="1"/>
  <c r="AD512" i="1"/>
  <c r="AD513" i="1"/>
  <c r="AD514" i="1"/>
  <c r="AD515" i="1"/>
  <c r="AD516" i="1"/>
  <c r="AD517" i="1"/>
  <c r="AD518" i="1"/>
  <c r="AD519" i="1"/>
  <c r="AD520" i="1"/>
  <c r="AD521" i="1"/>
  <c r="AD522" i="1"/>
  <c r="AD523" i="1"/>
  <c r="AD524" i="1"/>
  <c r="AD525" i="1"/>
  <c r="AD526" i="1"/>
  <c r="AD527" i="1"/>
  <c r="AD528" i="1"/>
  <c r="AD529" i="1"/>
  <c r="AD530" i="1"/>
  <c r="AD531" i="1"/>
  <c r="AD532" i="1"/>
  <c r="AD533" i="1"/>
  <c r="AD534" i="1"/>
  <c r="AD535" i="1"/>
  <c r="AD536" i="1"/>
  <c r="AD537" i="1"/>
  <c r="AD538" i="1"/>
  <c r="AD539" i="1"/>
  <c r="AD540" i="1"/>
  <c r="AD541" i="1"/>
  <c r="AD542" i="1"/>
  <c r="AD543" i="1"/>
  <c r="AD544" i="1"/>
  <c r="AD545" i="1"/>
  <c r="AD546" i="1"/>
  <c r="AD547" i="1"/>
  <c r="AD548" i="1"/>
  <c r="AD549" i="1"/>
  <c r="AD550" i="1"/>
  <c r="AD551" i="1"/>
  <c r="AD552" i="1"/>
  <c r="AD553" i="1"/>
  <c r="AD554" i="1"/>
  <c r="AD555" i="1"/>
  <c r="AD556" i="1"/>
  <c r="AD557" i="1"/>
  <c r="AD558" i="1"/>
  <c r="AD559" i="1"/>
  <c r="AD560" i="1"/>
  <c r="AD561" i="1"/>
  <c r="AD562" i="1"/>
  <c r="AD563" i="1"/>
  <c r="AD564" i="1"/>
  <c r="AD565" i="1"/>
  <c r="AD566" i="1"/>
  <c r="AD567" i="1"/>
  <c r="AD568" i="1"/>
  <c r="AD569" i="1"/>
  <c r="AD570" i="1"/>
  <c r="AD571" i="1"/>
  <c r="AD572" i="1"/>
  <c r="AD573" i="1"/>
  <c r="AD574" i="1"/>
  <c r="AD575" i="1"/>
  <c r="AD576" i="1"/>
  <c r="AD577" i="1"/>
  <c r="AD578" i="1"/>
  <c r="AD579" i="1"/>
  <c r="AD580" i="1"/>
  <c r="AD581" i="1"/>
  <c r="AD582" i="1"/>
  <c r="AD583" i="1"/>
  <c r="AD584" i="1"/>
  <c r="AD585" i="1"/>
  <c r="AD586" i="1"/>
  <c r="AD587" i="1"/>
  <c r="AD588" i="1"/>
  <c r="AD589" i="1"/>
  <c r="AD590" i="1"/>
  <c r="AD591" i="1"/>
  <c r="AD592" i="1"/>
  <c r="AD593" i="1"/>
  <c r="AD594" i="1"/>
  <c r="AD595" i="1"/>
  <c r="AD596" i="1"/>
  <c r="AD597" i="1"/>
  <c r="AD598" i="1"/>
  <c r="AD599" i="1"/>
  <c r="AD600" i="1"/>
  <c r="AD601" i="1"/>
  <c r="AD602" i="1"/>
  <c r="AD603" i="1"/>
  <c r="AD604" i="1"/>
  <c r="AD606" i="1"/>
  <c r="AD607" i="1"/>
  <c r="AD608" i="1"/>
  <c r="AD609" i="1"/>
  <c r="AD610" i="1"/>
  <c r="AD611" i="1"/>
  <c r="AD612" i="1"/>
  <c r="AD613" i="1"/>
  <c r="AD614" i="1"/>
  <c r="AD615" i="1"/>
  <c r="AD616" i="1"/>
  <c r="AD617" i="1"/>
  <c r="AD618" i="1"/>
  <c r="AD619" i="1"/>
  <c r="AD620" i="1"/>
  <c r="AD621" i="1"/>
  <c r="AD622" i="1"/>
  <c r="AD623" i="1"/>
  <c r="AD624" i="1"/>
  <c r="AD625" i="1"/>
  <c r="AD626" i="1"/>
  <c r="AD627" i="1"/>
  <c r="AD628" i="1"/>
  <c r="AD629" i="1"/>
  <c r="AD630" i="1"/>
  <c r="AD631" i="1"/>
  <c r="AD632" i="1"/>
  <c r="AD633" i="1"/>
  <c r="AD634" i="1"/>
  <c r="AD635" i="1"/>
  <c r="AD636" i="1"/>
  <c r="AD637" i="1"/>
  <c r="AD638" i="1"/>
  <c r="AD639" i="1"/>
  <c r="AD640" i="1"/>
  <c r="AD641" i="1"/>
  <c r="AD642" i="1"/>
  <c r="AD643" i="1"/>
  <c r="AD644" i="1"/>
  <c r="AD645" i="1"/>
  <c r="AA2" i="1"/>
  <c r="AA3" i="1"/>
  <c r="AA4" i="1"/>
  <c r="AA5" i="1"/>
  <c r="AA6" i="1"/>
  <c r="AA7" i="1"/>
  <c r="AA8" i="1"/>
  <c r="AA9" i="1"/>
  <c r="AA10" i="1"/>
  <c r="AA11" i="1"/>
  <c r="AA12" i="1"/>
  <c r="AA13" i="1"/>
  <c r="AA14" i="1"/>
  <c r="AA15" i="1"/>
  <c r="AA16" i="1"/>
  <c r="AA17" i="1"/>
  <c r="AA18" i="1"/>
  <c r="AA19" i="1"/>
  <c r="AA20" i="1"/>
  <c r="AA21" i="1"/>
  <c r="AA22" i="1"/>
  <c r="AA23" i="1"/>
  <c r="AA24" i="1"/>
  <c r="AA25" i="1"/>
  <c r="AA26" i="1"/>
  <c r="AA27" i="1"/>
  <c r="AA28" i="1"/>
  <c r="AA29" i="1"/>
  <c r="AA30" i="1"/>
  <c r="AA31" i="1"/>
  <c r="AA32" i="1"/>
  <c r="AA33" i="1"/>
  <c r="AA34" i="1"/>
  <c r="AA35" i="1"/>
  <c r="AA36" i="1"/>
  <c r="AA37" i="1"/>
  <c r="AA38" i="1"/>
  <c r="AA39" i="1"/>
  <c r="AA40" i="1"/>
  <c r="AA41" i="1"/>
  <c r="AA42" i="1"/>
  <c r="AA43" i="1"/>
  <c r="AA44" i="1"/>
  <c r="AA45" i="1"/>
  <c r="AA46" i="1"/>
  <c r="AA47" i="1"/>
  <c r="AA48" i="1"/>
  <c r="AA49" i="1"/>
  <c r="AA50" i="1"/>
  <c r="AA51" i="1"/>
  <c r="AA52" i="1"/>
  <c r="AA53" i="1"/>
  <c r="AA54" i="1"/>
  <c r="AA55" i="1"/>
  <c r="AA56" i="1"/>
  <c r="AA57" i="1"/>
  <c r="AA58" i="1"/>
  <c r="AA59" i="1"/>
  <c r="AA60" i="1"/>
  <c r="AA61" i="1"/>
  <c r="AA62" i="1"/>
  <c r="AA63" i="1"/>
  <c r="AA64" i="1"/>
  <c r="AA65" i="1"/>
  <c r="AA66" i="1"/>
  <c r="AA67" i="1"/>
  <c r="AA68" i="1"/>
  <c r="AA69" i="1"/>
  <c r="AA70" i="1"/>
  <c r="AA71" i="1"/>
  <c r="AA72" i="1"/>
  <c r="AA73" i="1"/>
  <c r="AA74" i="1"/>
  <c r="AA75" i="1"/>
  <c r="AA76" i="1"/>
  <c r="AA77" i="1"/>
  <c r="AA78" i="1"/>
  <c r="AA79" i="1"/>
  <c r="AA80" i="1"/>
  <c r="AA81" i="1"/>
  <c r="AA82" i="1"/>
  <c r="AA83" i="1"/>
  <c r="AA84" i="1"/>
  <c r="AA85" i="1"/>
  <c r="AA86" i="1"/>
  <c r="AA87" i="1"/>
  <c r="AA88" i="1"/>
  <c r="AA89" i="1"/>
  <c r="AA90" i="1"/>
  <c r="AA91" i="1"/>
  <c r="AA92" i="1"/>
  <c r="AA93" i="1"/>
  <c r="AA94" i="1"/>
  <c r="AA95" i="1"/>
  <c r="AA96" i="1"/>
  <c r="AA97" i="1"/>
  <c r="AA98" i="1"/>
  <c r="AA99" i="1"/>
  <c r="AA100" i="1"/>
  <c r="AA101" i="1"/>
  <c r="AA102" i="1"/>
  <c r="AA103" i="1"/>
  <c r="AA104" i="1"/>
  <c r="AA105" i="1"/>
  <c r="AA106" i="1"/>
  <c r="AA107" i="1"/>
  <c r="AA108" i="1"/>
  <c r="AA109" i="1"/>
  <c r="AA110" i="1"/>
  <c r="AA111" i="1"/>
  <c r="AA112" i="1"/>
  <c r="AA113" i="1"/>
  <c r="AA114" i="1"/>
  <c r="AA115" i="1"/>
  <c r="AA116" i="1"/>
  <c r="AA117" i="1"/>
  <c r="AA118" i="1"/>
  <c r="AA119" i="1"/>
  <c r="AA120" i="1"/>
  <c r="AA121" i="1"/>
  <c r="AA122" i="1"/>
  <c r="AA123" i="1"/>
  <c r="AA124" i="1"/>
  <c r="AA125" i="1"/>
  <c r="AA126" i="1"/>
  <c r="AA127" i="1"/>
  <c r="AA128" i="1"/>
  <c r="AA129" i="1"/>
  <c r="AA130" i="1"/>
  <c r="AA131" i="1"/>
  <c r="AA132" i="1"/>
  <c r="AA133" i="1"/>
  <c r="AA134" i="1"/>
  <c r="AA135" i="1"/>
  <c r="AA136" i="1"/>
  <c r="AA137" i="1"/>
  <c r="AA138" i="1"/>
  <c r="AA139" i="1"/>
  <c r="AA140" i="1"/>
  <c r="AA141" i="1"/>
  <c r="AA142" i="1"/>
  <c r="AA143" i="1"/>
  <c r="AA144" i="1"/>
  <c r="AA145" i="1"/>
  <c r="AA146" i="1"/>
  <c r="AA147" i="1"/>
  <c r="AA148" i="1"/>
  <c r="AA149" i="1"/>
  <c r="AA150" i="1"/>
  <c r="AA151" i="1"/>
  <c r="AA152" i="1"/>
  <c r="AA153" i="1"/>
  <c r="AA154" i="1"/>
  <c r="AA155" i="1"/>
  <c r="AA156" i="1"/>
  <c r="AA157" i="1"/>
  <c r="AA158" i="1"/>
  <c r="AA159" i="1"/>
  <c r="AA160" i="1"/>
  <c r="AA161" i="1"/>
  <c r="AA162" i="1"/>
  <c r="AA163" i="1"/>
  <c r="AA164" i="1"/>
  <c r="AA165" i="1"/>
  <c r="AA166" i="1"/>
  <c r="AA167" i="1"/>
  <c r="AA168" i="1"/>
  <c r="AA169" i="1"/>
  <c r="AA170" i="1"/>
  <c r="AA171" i="1"/>
  <c r="AA172" i="1"/>
  <c r="AA173" i="1"/>
  <c r="AA174" i="1"/>
  <c r="AA175" i="1"/>
  <c r="AA176" i="1"/>
  <c r="AA177" i="1"/>
  <c r="AA178" i="1"/>
  <c r="AA179" i="1"/>
  <c r="AA180" i="1"/>
  <c r="AA181" i="1"/>
  <c r="AA182" i="1"/>
  <c r="AA183" i="1"/>
  <c r="AA184" i="1"/>
  <c r="AA185" i="1"/>
  <c r="AA186" i="1"/>
  <c r="AA187" i="1"/>
  <c r="AA188" i="1"/>
  <c r="AA189" i="1"/>
  <c r="AA190" i="1"/>
  <c r="AA191" i="1"/>
  <c r="AA192" i="1"/>
  <c r="AA193" i="1"/>
  <c r="AA194" i="1"/>
  <c r="AA195" i="1"/>
  <c r="AA196" i="1"/>
  <c r="AA197" i="1"/>
  <c r="AA198" i="1"/>
  <c r="AA199" i="1"/>
  <c r="AA200" i="1"/>
  <c r="AA201" i="1"/>
  <c r="AA202" i="1"/>
  <c r="AA203" i="1"/>
  <c r="AA204" i="1"/>
  <c r="AA205" i="1"/>
  <c r="AA206" i="1"/>
  <c r="AA207" i="1"/>
  <c r="AA208" i="1"/>
  <c r="AA209" i="1"/>
  <c r="AA210" i="1"/>
  <c r="AA211" i="1"/>
  <c r="AA212" i="1"/>
  <c r="AA213" i="1"/>
  <c r="AA214" i="1"/>
  <c r="AA215" i="1"/>
  <c r="AA216" i="1"/>
  <c r="AA217" i="1"/>
  <c r="AA218" i="1"/>
  <c r="AA219" i="1"/>
  <c r="AA220" i="1"/>
  <c r="AA221" i="1"/>
  <c r="AA222" i="1"/>
  <c r="AA223" i="1"/>
  <c r="AA224" i="1"/>
  <c r="AA225" i="1"/>
  <c r="AA226" i="1"/>
  <c r="AA227" i="1"/>
  <c r="AA228" i="1"/>
  <c r="AA229" i="1"/>
  <c r="AA230" i="1"/>
  <c r="AA231" i="1"/>
  <c r="AA232" i="1"/>
  <c r="AA233" i="1"/>
  <c r="AA234" i="1"/>
  <c r="AA235" i="1"/>
  <c r="AA236" i="1"/>
  <c r="AA237" i="1"/>
  <c r="AA238" i="1"/>
  <c r="AA239" i="1"/>
  <c r="AA240" i="1"/>
  <c r="AA241" i="1"/>
  <c r="AA242" i="1"/>
  <c r="AA243" i="1"/>
  <c r="AA244" i="1"/>
  <c r="AA245" i="1"/>
  <c r="AA246" i="1"/>
  <c r="AA247" i="1"/>
  <c r="AA248" i="1"/>
  <c r="AA249" i="1"/>
  <c r="AA250" i="1"/>
  <c r="AA251" i="1"/>
  <c r="AA252" i="1"/>
  <c r="AA253" i="1"/>
  <c r="AA254" i="1"/>
  <c r="AA255" i="1"/>
  <c r="AA256" i="1"/>
  <c r="AA257" i="1"/>
  <c r="AA258" i="1"/>
  <c r="AA259" i="1"/>
  <c r="AA260" i="1"/>
  <c r="AA261" i="1"/>
  <c r="AA262" i="1"/>
  <c r="AA263" i="1"/>
  <c r="AA264" i="1"/>
  <c r="AA265" i="1"/>
  <c r="AA266" i="1"/>
  <c r="AA267" i="1"/>
  <c r="AA268" i="1"/>
  <c r="AA269" i="1"/>
  <c r="AA270" i="1"/>
  <c r="AA271" i="1"/>
  <c r="AA272" i="1"/>
  <c r="AA273" i="1"/>
  <c r="AA274" i="1"/>
  <c r="AA275" i="1"/>
  <c r="AA276" i="1"/>
  <c r="AA277" i="1"/>
  <c r="AA278" i="1"/>
  <c r="AA279" i="1"/>
  <c r="AA280" i="1"/>
  <c r="AA281" i="1"/>
  <c r="AA282" i="1"/>
  <c r="AA283" i="1"/>
  <c r="AA284" i="1"/>
  <c r="AA285" i="1"/>
  <c r="AA286" i="1"/>
  <c r="AA287" i="1"/>
  <c r="AA288" i="1"/>
  <c r="AA289" i="1"/>
  <c r="AA290" i="1"/>
  <c r="AA291" i="1"/>
  <c r="AA292" i="1"/>
  <c r="AA293" i="1"/>
  <c r="AA294" i="1"/>
  <c r="AA295" i="1"/>
  <c r="AA296" i="1"/>
  <c r="AA297" i="1"/>
  <c r="AA298" i="1"/>
  <c r="AA299" i="1"/>
  <c r="AA300" i="1"/>
  <c r="AA301" i="1"/>
  <c r="AA302" i="1"/>
  <c r="AA303" i="1"/>
  <c r="AA304" i="1"/>
  <c r="AA305" i="1"/>
  <c r="AA306" i="1"/>
  <c r="AA307" i="1"/>
  <c r="AA308" i="1"/>
  <c r="AA309" i="1"/>
  <c r="AA310" i="1"/>
  <c r="AA311" i="1"/>
  <c r="AA312" i="1"/>
  <c r="AA313" i="1"/>
  <c r="AA314" i="1"/>
  <c r="AA315" i="1"/>
  <c r="AA316" i="1"/>
  <c r="AA317" i="1"/>
  <c r="AA318" i="1"/>
  <c r="AA319" i="1"/>
  <c r="AA320" i="1"/>
  <c r="AA323" i="1"/>
  <c r="AA324" i="1"/>
  <c r="AA325" i="1"/>
  <c r="AA326" i="1"/>
  <c r="AA327" i="1"/>
  <c r="AA328" i="1"/>
  <c r="AA330" i="1"/>
  <c r="AA331" i="1"/>
  <c r="AA332" i="1"/>
  <c r="AA333" i="1"/>
  <c r="AA334" i="1"/>
  <c r="AA336" i="1"/>
  <c r="AA337" i="1"/>
  <c r="AA338" i="1"/>
  <c r="AA339" i="1"/>
  <c r="AA340" i="1"/>
  <c r="AA341" i="1"/>
  <c r="AA344" i="1"/>
  <c r="AA345" i="1"/>
  <c r="AA346" i="1"/>
  <c r="AA347" i="1"/>
  <c r="AA348" i="1"/>
  <c r="AA350" i="1"/>
  <c r="AA351" i="1"/>
  <c r="AA353" i="1"/>
  <c r="AA356" i="1"/>
  <c r="AA357" i="1"/>
  <c r="AA359" i="1"/>
  <c r="AA360" i="1"/>
  <c r="AA362" i="1"/>
  <c r="AA363" i="1"/>
  <c r="AA364" i="1"/>
  <c r="AA365" i="1"/>
  <c r="AA366" i="1"/>
  <c r="AA368" i="1"/>
  <c r="AA369" i="1"/>
  <c r="AA371" i="1"/>
  <c r="AA372" i="1"/>
  <c r="AA373" i="1"/>
  <c r="AA374" i="1"/>
  <c r="AA375" i="1"/>
  <c r="AA376" i="1"/>
  <c r="AA377" i="1"/>
  <c r="AA378" i="1"/>
  <c r="AA382" i="1"/>
  <c r="AA383" i="1"/>
  <c r="AA384" i="1"/>
  <c r="AA385" i="1"/>
  <c r="AA387" i="1"/>
  <c r="AA388" i="1"/>
  <c r="AA389" i="1"/>
  <c r="AA391" i="1"/>
  <c r="AA393" i="1"/>
  <c r="AA394" i="1"/>
  <c r="AA395" i="1"/>
  <c r="AA396" i="1"/>
  <c r="AA397" i="1"/>
  <c r="AA398" i="1"/>
  <c r="AA399" i="1"/>
  <c r="AA400" i="1"/>
  <c r="AA401" i="1"/>
  <c r="AA403" i="1"/>
  <c r="AA404" i="1"/>
  <c r="AA405" i="1"/>
  <c r="AA406" i="1"/>
  <c r="AA407" i="1"/>
  <c r="AA408" i="1"/>
  <c r="AA409" i="1"/>
  <c r="AA410" i="1"/>
  <c r="AA411" i="1"/>
  <c r="AA412" i="1"/>
  <c r="AA413" i="1"/>
  <c r="AA415" i="1"/>
  <c r="AA416" i="1"/>
  <c r="AA417" i="1"/>
  <c r="AA418" i="1"/>
  <c r="AA419" i="1"/>
  <c r="AA420" i="1"/>
  <c r="AA421" i="1"/>
  <c r="AA422" i="1"/>
  <c r="AA423" i="1"/>
  <c r="AA424" i="1"/>
  <c r="AA425" i="1"/>
  <c r="AA426" i="1"/>
  <c r="AA427" i="1"/>
  <c r="AA428" i="1"/>
  <c r="AA429" i="1"/>
  <c r="AA430" i="1"/>
  <c r="AA432" i="1"/>
  <c r="AA433" i="1"/>
  <c r="AA434" i="1"/>
  <c r="AA435" i="1"/>
  <c r="AA436" i="1"/>
  <c r="AA437" i="1"/>
  <c r="AA438" i="1"/>
  <c r="AA439" i="1"/>
  <c r="AA440" i="1"/>
  <c r="AA441" i="1"/>
  <c r="AA442" i="1"/>
  <c r="AA444" i="1"/>
  <c r="AA445" i="1"/>
  <c r="AA446" i="1"/>
  <c r="AA447" i="1"/>
  <c r="AA448" i="1"/>
  <c r="AA450" i="1"/>
  <c r="AA451" i="1"/>
  <c r="AA452" i="1"/>
  <c r="AA455" i="1"/>
  <c r="AA456" i="1"/>
  <c r="AA457" i="1"/>
  <c r="AA458" i="1"/>
  <c r="AA459" i="1"/>
  <c r="AA460" i="1"/>
  <c r="AA461" i="1"/>
  <c r="AA462" i="1"/>
  <c r="AA463" i="1"/>
  <c r="AA464" i="1"/>
  <c r="AA465" i="1"/>
  <c r="AA466" i="1"/>
  <c r="AA467" i="1"/>
  <c r="AA468" i="1"/>
  <c r="AA469" i="1"/>
  <c r="AA470" i="1"/>
  <c r="AA471" i="1"/>
  <c r="AA472" i="1"/>
  <c r="AA473" i="1"/>
  <c r="AA474" i="1"/>
  <c r="AA475" i="1"/>
  <c r="AA476" i="1"/>
  <c r="AA477" i="1"/>
  <c r="AA478" i="1"/>
  <c r="AA479" i="1"/>
  <c r="AA480" i="1"/>
  <c r="AA481" i="1"/>
  <c r="AA482" i="1"/>
  <c r="AA483" i="1"/>
  <c r="AA484" i="1"/>
  <c r="AA485" i="1"/>
  <c r="AA486" i="1"/>
  <c r="AA488" i="1"/>
  <c r="AA490" i="1"/>
  <c r="AA491" i="1"/>
  <c r="AA492" i="1"/>
  <c r="AA493" i="1"/>
  <c r="AA494" i="1"/>
  <c r="AA495" i="1"/>
  <c r="AA496" i="1"/>
  <c r="AA497" i="1"/>
  <c r="AA499" i="1"/>
  <c r="AA500" i="1"/>
  <c r="AA501" i="1"/>
  <c r="AA502" i="1"/>
  <c r="AA503" i="1"/>
  <c r="AA504" i="1"/>
  <c r="AA506" i="1"/>
  <c r="AA507" i="1"/>
  <c r="AA508" i="1"/>
  <c r="AA509" i="1"/>
  <c r="AA510" i="1"/>
  <c r="AA511" i="1"/>
  <c r="AA512" i="1"/>
  <c r="AA513" i="1"/>
  <c r="AA514" i="1"/>
  <c r="AA515" i="1"/>
  <c r="AA516" i="1"/>
  <c r="AA517" i="1"/>
  <c r="AA518" i="1"/>
  <c r="AA519" i="1"/>
  <c r="AA520" i="1"/>
  <c r="AA521" i="1"/>
  <c r="AA522" i="1"/>
  <c r="AA523" i="1"/>
  <c r="AA524" i="1"/>
  <c r="AA525" i="1"/>
  <c r="AA526" i="1"/>
  <c r="AA527" i="1"/>
  <c r="AA528" i="1"/>
  <c r="AA529" i="1"/>
  <c r="AA530" i="1"/>
  <c r="AA531" i="1"/>
  <c r="AA532" i="1"/>
  <c r="AA533" i="1"/>
  <c r="AA534" i="1"/>
  <c r="AA536" i="1"/>
  <c r="AA537" i="1"/>
  <c r="AA538" i="1"/>
  <c r="AA539" i="1"/>
  <c r="AA540" i="1"/>
  <c r="AA541" i="1"/>
  <c r="AA542" i="1"/>
  <c r="AA543" i="1"/>
  <c r="AA544" i="1"/>
  <c r="AA545" i="1"/>
  <c r="AA547" i="1"/>
  <c r="AA548" i="1"/>
  <c r="AA549" i="1"/>
  <c r="AA550" i="1"/>
  <c r="AA551" i="1"/>
  <c r="AA552" i="1"/>
  <c r="AA553" i="1"/>
  <c r="AA554" i="1"/>
  <c r="AA555" i="1"/>
  <c r="AA556" i="1"/>
  <c r="AA558" i="1"/>
  <c r="AA559" i="1"/>
  <c r="AA560" i="1"/>
  <c r="AA561" i="1"/>
  <c r="AA562" i="1"/>
  <c r="AA563" i="1"/>
  <c r="AA564" i="1"/>
  <c r="AA565" i="1"/>
  <c r="AA566" i="1"/>
  <c r="AA567" i="1"/>
  <c r="AA568" i="1"/>
  <c r="AA569" i="1"/>
  <c r="AA570" i="1"/>
  <c r="AA571" i="1"/>
  <c r="AA572" i="1"/>
  <c r="AA573" i="1"/>
  <c r="AA575" i="1"/>
  <c r="AA576" i="1"/>
  <c r="AA577" i="1"/>
  <c r="AA578" i="1"/>
  <c r="AA579" i="1"/>
  <c r="AA580" i="1"/>
  <c r="AA581" i="1"/>
  <c r="AA582" i="1"/>
  <c r="AA583" i="1"/>
  <c r="AA584" i="1"/>
  <c r="AA585" i="1"/>
  <c r="AA586" i="1"/>
  <c r="AA587" i="1"/>
  <c r="AA588" i="1"/>
  <c r="AA589" i="1"/>
  <c r="AA590" i="1"/>
  <c r="AA591" i="1"/>
  <c r="AA592" i="1"/>
  <c r="AA593" i="1"/>
  <c r="AA594" i="1"/>
  <c r="AA595" i="1"/>
  <c r="AA596" i="1"/>
  <c r="AA597" i="1"/>
  <c r="AA598" i="1"/>
  <c r="AA599" i="1"/>
  <c r="AA600" i="1"/>
  <c r="AA601" i="1"/>
  <c r="AA602" i="1"/>
  <c r="AA603" i="1"/>
  <c r="AA604" i="1"/>
  <c r="AA605" i="1"/>
  <c r="AA606" i="1"/>
  <c r="AA607" i="1"/>
  <c r="AA608" i="1"/>
  <c r="AA609" i="1"/>
  <c r="AA610" i="1"/>
  <c r="AA611" i="1"/>
  <c r="AA612" i="1"/>
  <c r="AA613" i="1"/>
  <c r="AA614" i="1"/>
  <c r="AA615" i="1"/>
  <c r="AA616" i="1"/>
  <c r="AA617" i="1"/>
  <c r="AA618" i="1"/>
  <c r="AA619" i="1"/>
  <c r="AA620" i="1"/>
  <c r="AA621" i="1"/>
  <c r="AA622" i="1"/>
  <c r="AA623" i="1"/>
  <c r="AA624" i="1"/>
  <c r="AA625" i="1"/>
  <c r="AA626" i="1"/>
  <c r="AA627" i="1"/>
  <c r="AA628" i="1"/>
  <c r="AA629" i="1"/>
  <c r="AA630" i="1"/>
  <c r="AA631" i="1"/>
  <c r="AA632" i="1"/>
  <c r="AA633" i="1"/>
  <c r="AA634" i="1"/>
  <c r="AA635" i="1"/>
  <c r="AA636" i="1"/>
  <c r="AA637" i="1"/>
  <c r="AA638" i="1"/>
  <c r="AA639" i="1"/>
  <c r="AA640" i="1"/>
  <c r="AA641" i="1"/>
  <c r="AA642" i="1"/>
  <c r="AA643" i="1"/>
  <c r="AA644" i="1"/>
  <c r="AA645" i="1"/>
  <c r="M2" i="1"/>
  <c r="M3" i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M145" i="1"/>
  <c r="M146" i="1"/>
  <c r="M147" i="1"/>
  <c r="M148" i="1"/>
  <c r="M149" i="1"/>
  <c r="M15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194" i="1"/>
  <c r="M195" i="1"/>
  <c r="M196" i="1"/>
  <c r="M197" i="1"/>
  <c r="M198" i="1"/>
  <c r="M199" i="1"/>
  <c r="M200" i="1"/>
  <c r="M201" i="1"/>
  <c r="M202" i="1"/>
  <c r="M203" i="1"/>
  <c r="M204" i="1"/>
  <c r="M205" i="1"/>
  <c r="M206" i="1"/>
  <c r="M207" i="1"/>
  <c r="M208" i="1"/>
  <c r="M209" i="1"/>
  <c r="M210" i="1"/>
  <c r="M211" i="1"/>
  <c r="M212" i="1"/>
  <c r="M213" i="1"/>
  <c r="M214" i="1"/>
  <c r="M215" i="1"/>
  <c r="M216" i="1"/>
  <c r="M217" i="1"/>
  <c r="M218" i="1"/>
  <c r="M219" i="1"/>
  <c r="M220" i="1"/>
  <c r="M221" i="1"/>
  <c r="M222" i="1"/>
  <c r="M223" i="1"/>
  <c r="M224" i="1"/>
  <c r="M225" i="1"/>
  <c r="M226" i="1"/>
  <c r="M227" i="1"/>
  <c r="M228" i="1"/>
  <c r="M229" i="1"/>
  <c r="M230" i="1"/>
  <c r="M231" i="1"/>
  <c r="M232" i="1"/>
  <c r="M233" i="1"/>
  <c r="M234" i="1"/>
  <c r="M235" i="1"/>
  <c r="M236" i="1"/>
  <c r="M237" i="1"/>
  <c r="M238" i="1"/>
  <c r="M239" i="1"/>
  <c r="M240" i="1"/>
  <c r="M241" i="1"/>
  <c r="M242" i="1"/>
  <c r="M243" i="1"/>
  <c r="M244" i="1"/>
  <c r="M245" i="1"/>
  <c r="M246" i="1"/>
  <c r="M247" i="1"/>
  <c r="M248" i="1"/>
  <c r="M249" i="1"/>
  <c r="M250" i="1"/>
  <c r="M251" i="1"/>
  <c r="M252" i="1"/>
  <c r="M253" i="1"/>
  <c r="M254" i="1"/>
  <c r="M255" i="1"/>
  <c r="M256" i="1"/>
  <c r="M257" i="1"/>
  <c r="M258" i="1"/>
  <c r="M259" i="1"/>
  <c r="M260" i="1"/>
  <c r="M261" i="1"/>
  <c r="M262" i="1"/>
  <c r="M263" i="1"/>
  <c r="M264" i="1"/>
  <c r="M265" i="1"/>
  <c r="M266" i="1"/>
  <c r="M267" i="1"/>
  <c r="M268" i="1"/>
  <c r="M269" i="1"/>
  <c r="M270" i="1"/>
  <c r="M271" i="1"/>
  <c r="M272" i="1"/>
  <c r="M273" i="1"/>
  <c r="M274" i="1"/>
  <c r="M275" i="1"/>
  <c r="M276" i="1"/>
  <c r="M277" i="1"/>
  <c r="M278" i="1"/>
  <c r="M279" i="1"/>
  <c r="M280" i="1"/>
  <c r="M281" i="1"/>
  <c r="M282" i="1"/>
  <c r="M283" i="1"/>
  <c r="M284" i="1"/>
  <c r="M285" i="1"/>
  <c r="M286" i="1"/>
  <c r="M287" i="1"/>
  <c r="M288" i="1"/>
  <c r="M289" i="1"/>
  <c r="M290" i="1"/>
  <c r="M291" i="1"/>
  <c r="M292" i="1"/>
  <c r="M293" i="1"/>
  <c r="M294" i="1"/>
  <c r="M295" i="1"/>
  <c r="M296" i="1"/>
  <c r="M297" i="1"/>
  <c r="M298" i="1"/>
  <c r="M299" i="1"/>
  <c r="M300" i="1"/>
  <c r="M301" i="1"/>
  <c r="M302" i="1"/>
  <c r="M303" i="1"/>
  <c r="M304" i="1"/>
  <c r="M305" i="1"/>
  <c r="M306" i="1"/>
  <c r="M307" i="1"/>
  <c r="M308" i="1"/>
  <c r="M309" i="1"/>
  <c r="M310" i="1"/>
  <c r="M311" i="1"/>
  <c r="M312" i="1"/>
  <c r="M313" i="1"/>
  <c r="M314" i="1"/>
  <c r="M315" i="1"/>
  <c r="M316" i="1"/>
  <c r="M317" i="1"/>
  <c r="M318" i="1"/>
  <c r="M319" i="1"/>
  <c r="M320" i="1"/>
  <c r="M321" i="1"/>
  <c r="M322" i="1"/>
  <c r="M323" i="1"/>
  <c r="M324" i="1"/>
  <c r="M325" i="1"/>
  <c r="M326" i="1"/>
  <c r="M327" i="1"/>
  <c r="M328" i="1"/>
  <c r="M329" i="1"/>
  <c r="M330" i="1"/>
  <c r="M331" i="1"/>
  <c r="M332" i="1"/>
  <c r="M333" i="1"/>
  <c r="M334" i="1"/>
  <c r="M335" i="1"/>
  <c r="M336" i="1"/>
  <c r="M337" i="1"/>
  <c r="M338" i="1"/>
  <c r="M339" i="1"/>
  <c r="M340" i="1"/>
  <c r="M341" i="1"/>
  <c r="M342" i="1"/>
  <c r="M343" i="1"/>
  <c r="M344" i="1"/>
  <c r="M345" i="1"/>
  <c r="M346" i="1"/>
  <c r="M347" i="1"/>
  <c r="M348" i="1"/>
  <c r="M349" i="1"/>
  <c r="M350" i="1"/>
  <c r="M351" i="1"/>
  <c r="M352" i="1"/>
  <c r="M353" i="1"/>
  <c r="M354" i="1"/>
  <c r="M355" i="1"/>
  <c r="M356" i="1"/>
  <c r="M357" i="1"/>
  <c r="M358" i="1"/>
  <c r="M359" i="1"/>
  <c r="M360" i="1"/>
  <c r="M361" i="1"/>
  <c r="M362" i="1"/>
  <c r="M363" i="1"/>
  <c r="M364" i="1"/>
  <c r="M365" i="1"/>
  <c r="M366" i="1"/>
  <c r="M367" i="1"/>
  <c r="M368" i="1"/>
  <c r="M369" i="1"/>
  <c r="M370" i="1"/>
  <c r="M371" i="1"/>
  <c r="M372" i="1"/>
  <c r="M373" i="1"/>
  <c r="M374" i="1"/>
  <c r="M375" i="1"/>
  <c r="M376" i="1"/>
  <c r="M377" i="1"/>
  <c r="M378" i="1"/>
  <c r="M379" i="1"/>
  <c r="M380" i="1"/>
  <c r="M381" i="1"/>
  <c r="M382" i="1"/>
  <c r="M383" i="1"/>
  <c r="M384" i="1"/>
  <c r="M385" i="1"/>
  <c r="M386" i="1"/>
  <c r="M387" i="1"/>
  <c r="M388" i="1"/>
  <c r="M389" i="1"/>
  <c r="M390" i="1"/>
  <c r="M391" i="1"/>
  <c r="M392" i="1"/>
  <c r="M393" i="1"/>
  <c r="M394" i="1"/>
  <c r="M395" i="1"/>
  <c r="M396" i="1"/>
  <c r="M397" i="1"/>
  <c r="M398" i="1"/>
  <c r="M399" i="1"/>
  <c r="M400" i="1"/>
  <c r="M401" i="1"/>
  <c r="M402" i="1"/>
  <c r="M403" i="1"/>
  <c r="M404" i="1"/>
  <c r="M405" i="1"/>
  <c r="M406" i="1"/>
  <c r="M407" i="1"/>
  <c r="M408" i="1"/>
  <c r="M409" i="1"/>
  <c r="M410" i="1"/>
  <c r="M411" i="1"/>
  <c r="M412" i="1"/>
  <c r="M413" i="1"/>
  <c r="M414" i="1"/>
  <c r="M415" i="1"/>
  <c r="M416" i="1"/>
  <c r="M417" i="1"/>
  <c r="M418" i="1"/>
  <c r="M419" i="1"/>
  <c r="M420" i="1"/>
  <c r="M421" i="1"/>
  <c r="M422" i="1"/>
  <c r="M423" i="1"/>
  <c r="M424" i="1"/>
  <c r="M425" i="1"/>
  <c r="M426" i="1"/>
  <c r="M427" i="1"/>
  <c r="M428" i="1"/>
  <c r="M429" i="1"/>
  <c r="M430" i="1"/>
  <c r="M431" i="1"/>
  <c r="M432" i="1"/>
  <c r="M433" i="1"/>
  <c r="M434" i="1"/>
  <c r="M435" i="1"/>
  <c r="M436" i="1"/>
  <c r="M437" i="1"/>
  <c r="M438" i="1"/>
  <c r="M439" i="1"/>
  <c r="M440" i="1"/>
  <c r="M441" i="1"/>
  <c r="M442" i="1"/>
  <c r="M443" i="1"/>
  <c r="M444" i="1"/>
  <c r="M445" i="1"/>
  <c r="M446" i="1"/>
  <c r="M447" i="1"/>
  <c r="M448" i="1"/>
  <c r="M449" i="1"/>
  <c r="M450" i="1"/>
  <c r="M451" i="1"/>
  <c r="M452" i="1"/>
  <c r="M453" i="1"/>
  <c r="M454" i="1"/>
  <c r="M455" i="1"/>
  <c r="M456" i="1"/>
  <c r="M457" i="1"/>
  <c r="M458" i="1"/>
  <c r="M459" i="1"/>
  <c r="M460" i="1"/>
  <c r="M461" i="1"/>
  <c r="M462" i="1"/>
  <c r="M463" i="1"/>
  <c r="M464" i="1"/>
  <c r="M465" i="1"/>
  <c r="M466" i="1"/>
  <c r="M467" i="1"/>
  <c r="M468" i="1"/>
  <c r="M469" i="1"/>
  <c r="M470" i="1"/>
  <c r="M471" i="1"/>
  <c r="M472" i="1"/>
  <c r="M473" i="1"/>
  <c r="M474" i="1"/>
  <c r="M475" i="1"/>
  <c r="M476" i="1"/>
  <c r="M477" i="1"/>
  <c r="M478" i="1"/>
  <c r="M479" i="1"/>
  <c r="M480" i="1"/>
  <c r="M481" i="1"/>
  <c r="M482" i="1"/>
  <c r="M483" i="1"/>
  <c r="M484" i="1"/>
  <c r="M485" i="1"/>
  <c r="M486" i="1"/>
  <c r="M487" i="1"/>
  <c r="M488" i="1"/>
  <c r="M489" i="1"/>
  <c r="M490" i="1"/>
  <c r="M491" i="1"/>
  <c r="M492" i="1"/>
  <c r="M493" i="1"/>
  <c r="M494" i="1"/>
  <c r="M495" i="1"/>
  <c r="M496" i="1"/>
  <c r="M497" i="1"/>
  <c r="M498" i="1"/>
  <c r="M499" i="1"/>
  <c r="M500" i="1"/>
  <c r="M501" i="1"/>
  <c r="M502" i="1"/>
  <c r="M503" i="1"/>
  <c r="M504" i="1"/>
  <c r="M505" i="1"/>
  <c r="M506" i="1"/>
  <c r="M507" i="1"/>
  <c r="M508" i="1"/>
  <c r="M509" i="1"/>
  <c r="M510" i="1"/>
  <c r="M511" i="1"/>
  <c r="M512" i="1"/>
  <c r="M513" i="1"/>
  <c r="M514" i="1"/>
  <c r="M515" i="1"/>
  <c r="M516" i="1"/>
  <c r="M517" i="1"/>
  <c r="M518" i="1"/>
  <c r="M519" i="1"/>
  <c r="M520" i="1"/>
  <c r="M521" i="1"/>
  <c r="M522" i="1"/>
  <c r="M523" i="1"/>
  <c r="M524" i="1"/>
  <c r="M525" i="1"/>
  <c r="M526" i="1"/>
  <c r="M527" i="1"/>
  <c r="M528" i="1"/>
  <c r="M529" i="1"/>
  <c r="M530" i="1"/>
  <c r="M531" i="1"/>
  <c r="M532" i="1"/>
  <c r="M533" i="1"/>
  <c r="M534" i="1"/>
  <c r="M535" i="1"/>
  <c r="M536" i="1"/>
  <c r="M537" i="1"/>
  <c r="M538" i="1"/>
  <c r="M539" i="1"/>
  <c r="M540" i="1"/>
  <c r="M541" i="1"/>
  <c r="M542" i="1"/>
  <c r="M543" i="1"/>
  <c r="M544" i="1"/>
  <c r="M545" i="1"/>
  <c r="M546" i="1"/>
  <c r="M547" i="1"/>
  <c r="M548" i="1"/>
  <c r="M549" i="1"/>
  <c r="M550" i="1"/>
  <c r="M551" i="1"/>
  <c r="M552" i="1"/>
  <c r="M553" i="1"/>
  <c r="M554" i="1"/>
  <c r="M555" i="1"/>
  <c r="M556" i="1"/>
  <c r="M557" i="1"/>
  <c r="M558" i="1"/>
  <c r="M559" i="1"/>
  <c r="M560" i="1"/>
  <c r="M561" i="1"/>
  <c r="M562" i="1"/>
  <c r="M563" i="1"/>
  <c r="M564" i="1"/>
  <c r="M565" i="1"/>
  <c r="M566" i="1"/>
  <c r="M567" i="1"/>
  <c r="M568" i="1"/>
  <c r="M569" i="1"/>
  <c r="M570" i="1"/>
  <c r="M571" i="1"/>
  <c r="M572" i="1"/>
  <c r="M573" i="1"/>
  <c r="M574" i="1"/>
  <c r="M575" i="1"/>
  <c r="M576" i="1"/>
  <c r="M577" i="1"/>
  <c r="M578" i="1"/>
  <c r="M579" i="1"/>
  <c r="M580" i="1"/>
  <c r="M581" i="1"/>
  <c r="M582" i="1"/>
  <c r="M583" i="1"/>
  <c r="M584" i="1"/>
  <c r="M585" i="1"/>
  <c r="M586" i="1"/>
  <c r="M587" i="1"/>
  <c r="M588" i="1"/>
  <c r="M589" i="1"/>
  <c r="M590" i="1"/>
  <c r="M591" i="1"/>
  <c r="M592" i="1"/>
  <c r="M593" i="1"/>
  <c r="M594" i="1"/>
  <c r="M595" i="1"/>
  <c r="M596" i="1"/>
  <c r="M597" i="1"/>
  <c r="M598" i="1"/>
  <c r="M599" i="1"/>
  <c r="M600" i="1"/>
  <c r="M601" i="1"/>
  <c r="M602" i="1"/>
  <c r="M603" i="1"/>
  <c r="M604" i="1"/>
  <c r="M605" i="1"/>
  <c r="M606" i="1"/>
  <c r="M607" i="1"/>
  <c r="M608" i="1"/>
  <c r="M609" i="1"/>
  <c r="M610" i="1"/>
  <c r="M611" i="1"/>
  <c r="M612" i="1"/>
  <c r="M613" i="1"/>
  <c r="M614" i="1"/>
  <c r="M615" i="1"/>
  <c r="M616" i="1"/>
  <c r="M617" i="1"/>
  <c r="M618" i="1"/>
  <c r="M619" i="1"/>
  <c r="M620" i="1"/>
  <c r="M621" i="1"/>
  <c r="M622" i="1"/>
  <c r="M623" i="1"/>
  <c r="M624" i="1"/>
  <c r="M625" i="1"/>
  <c r="M626" i="1"/>
  <c r="M627" i="1"/>
  <c r="M628" i="1"/>
  <c r="M629" i="1"/>
  <c r="M630" i="1"/>
  <c r="M631" i="1"/>
  <c r="M632" i="1"/>
  <c r="M633" i="1"/>
  <c r="M634" i="1"/>
  <c r="M635" i="1"/>
  <c r="M636" i="1"/>
  <c r="M637" i="1"/>
  <c r="M638" i="1"/>
  <c r="M639" i="1"/>
  <c r="M640" i="1"/>
  <c r="M641" i="1"/>
  <c r="M642" i="1"/>
  <c r="M643" i="1"/>
  <c r="M644" i="1"/>
  <c r="M645" i="1"/>
  <c r="AB649" i="1"/>
  <c r="AB648" i="1"/>
  <c r="AB647" i="1"/>
  <c r="AB646" i="1"/>
  <c r="AA649" i="1"/>
  <c r="M649" i="1"/>
  <c r="AD648" i="1"/>
  <c r="AA648" i="1"/>
  <c r="M648" i="1"/>
  <c r="AA647" i="1"/>
  <c r="M647" i="1"/>
  <c r="AD647" i="1"/>
  <c r="AA646" i="1"/>
  <c r="M646" i="1"/>
  <c r="AD646" i="1"/>
  <c r="K44" i="11"/>
  <c r="J45" i="11"/>
  <c r="K45" i="11"/>
  <c r="J46" i="11"/>
  <c r="K46" i="11"/>
  <c r="J47" i="11"/>
  <c r="K47" i="11"/>
  <c r="J48" i="11"/>
  <c r="K48" i="11"/>
  <c r="J49" i="11"/>
  <c r="K49" i="11"/>
  <c r="J50" i="11"/>
  <c r="K50" i="11"/>
  <c r="J51" i="11"/>
  <c r="K51" i="11"/>
  <c r="J52" i="11"/>
  <c r="K52" i="11"/>
  <c r="J53" i="11"/>
  <c r="K53" i="11"/>
  <c r="A42" i="11"/>
  <c r="J42" i="11" s="1"/>
  <c r="AD458" i="11"/>
  <c r="AE458" i="11" s="1"/>
  <c r="AD457" i="11"/>
  <c r="AE457" i="11" s="1"/>
  <c r="AD456" i="11"/>
  <c r="AE456" i="11" s="1"/>
  <c r="AD455" i="11"/>
  <c r="AE455" i="11" s="1"/>
  <c r="AD454" i="11"/>
  <c r="AE454" i="11" s="1"/>
  <c r="AD453" i="11"/>
  <c r="AE453" i="11" s="1"/>
  <c r="AD452" i="11"/>
  <c r="AE452" i="11" s="1"/>
  <c r="AD451" i="11"/>
  <c r="AE451" i="11" s="1"/>
  <c r="AD450" i="11"/>
  <c r="AE450" i="11" s="1"/>
  <c r="AD449" i="11"/>
  <c r="AE449" i="11" s="1"/>
  <c r="AD448" i="11"/>
  <c r="AE448" i="11" s="1"/>
  <c r="AD447" i="11"/>
  <c r="AE447" i="11" s="1"/>
  <c r="AD446" i="11"/>
  <c r="AE446" i="11" s="1"/>
  <c r="AD445" i="11"/>
  <c r="AE445" i="11" s="1"/>
  <c r="AD444" i="11"/>
  <c r="AE444" i="11" s="1"/>
  <c r="AD443" i="11"/>
  <c r="AE443" i="11" s="1"/>
  <c r="AD442" i="11"/>
  <c r="AE442" i="11" s="1"/>
  <c r="AD441" i="11"/>
  <c r="AE441" i="11" s="1"/>
  <c r="AD440" i="11"/>
  <c r="AE440" i="11" s="1"/>
  <c r="AD439" i="11"/>
  <c r="AE439" i="11" s="1"/>
  <c r="AD438" i="11"/>
  <c r="AE438" i="11" s="1"/>
  <c r="AD437" i="11"/>
  <c r="AE437" i="11" s="1"/>
  <c r="AD436" i="11"/>
  <c r="AE436" i="11" s="1"/>
  <c r="AD435" i="11"/>
  <c r="AE435" i="11" s="1"/>
  <c r="AD434" i="11"/>
  <c r="AE434" i="11" s="1"/>
  <c r="AD433" i="11"/>
  <c r="AE433" i="11" s="1"/>
  <c r="AD432" i="11"/>
  <c r="AE432" i="11" s="1"/>
  <c r="AD431" i="11"/>
  <c r="AE431" i="11" s="1"/>
  <c r="AD430" i="11"/>
  <c r="AE430" i="11" s="1"/>
  <c r="AD429" i="11"/>
  <c r="AE429" i="11" s="1"/>
  <c r="AD428" i="11"/>
  <c r="AE428" i="11" s="1"/>
  <c r="AD427" i="11"/>
  <c r="AE427" i="11" s="1"/>
  <c r="AD426" i="11"/>
  <c r="AE426" i="11" s="1"/>
  <c r="AD425" i="11"/>
  <c r="AE425" i="11" s="1"/>
  <c r="AD424" i="11"/>
  <c r="AE424" i="11" s="1"/>
  <c r="AD423" i="11"/>
  <c r="AE423" i="11" s="1"/>
  <c r="AD422" i="11"/>
  <c r="AE422" i="11" s="1"/>
  <c r="AD421" i="11"/>
  <c r="AE421" i="11" s="1"/>
  <c r="AD420" i="11"/>
  <c r="AE420" i="11" s="1"/>
  <c r="AD419" i="11"/>
  <c r="AE419" i="11" s="1"/>
  <c r="AD418" i="11"/>
  <c r="AE418" i="11" s="1"/>
  <c r="AD417" i="11"/>
  <c r="AE417" i="11" s="1"/>
  <c r="AD416" i="11"/>
  <c r="AE416" i="11" s="1"/>
  <c r="AD415" i="11"/>
  <c r="AE415" i="11" s="1"/>
  <c r="AD414" i="11"/>
  <c r="AE414" i="11" s="1"/>
  <c r="AD413" i="11"/>
  <c r="AE413" i="11" s="1"/>
  <c r="AD412" i="11"/>
  <c r="AE412" i="11" s="1"/>
  <c r="AD411" i="11"/>
  <c r="AE411" i="11" s="1"/>
  <c r="AD410" i="11"/>
  <c r="AE410" i="11" s="1"/>
  <c r="AD409" i="11"/>
  <c r="AE409" i="11" s="1"/>
  <c r="AD408" i="11"/>
  <c r="AE408" i="11" s="1"/>
  <c r="AD407" i="11"/>
  <c r="AE407" i="11" s="1"/>
  <c r="AD406" i="11"/>
  <c r="AE406" i="11" s="1"/>
  <c r="AD405" i="11"/>
  <c r="AE405" i="11" s="1"/>
  <c r="AD404" i="11"/>
  <c r="AE404" i="11" s="1"/>
  <c r="AD403" i="11"/>
  <c r="AE403" i="11" s="1"/>
  <c r="AD402" i="11"/>
  <c r="AE402" i="11" s="1"/>
  <c r="AD401" i="11"/>
  <c r="AE401" i="11" s="1"/>
  <c r="AD400" i="11"/>
  <c r="AE400" i="11" s="1"/>
  <c r="AD399" i="11"/>
  <c r="AE399" i="11" s="1"/>
  <c r="AD398" i="11"/>
  <c r="AE398" i="11" s="1"/>
  <c r="AD397" i="11"/>
  <c r="AE397" i="11" s="1"/>
  <c r="AD396" i="11"/>
  <c r="AE396" i="11" s="1"/>
  <c r="AD395" i="11"/>
  <c r="AE395" i="11" s="1"/>
  <c r="AD394" i="11"/>
  <c r="AE394" i="11" s="1"/>
  <c r="AD393" i="11"/>
  <c r="AE393" i="11" s="1"/>
  <c r="AD392" i="11"/>
  <c r="AE392" i="11" s="1"/>
  <c r="AD391" i="11"/>
  <c r="AE391" i="11" s="1"/>
  <c r="AD390" i="11"/>
  <c r="AE390" i="11" s="1"/>
  <c r="AD389" i="11"/>
  <c r="AE389" i="11" s="1"/>
  <c r="AD388" i="11"/>
  <c r="AE388" i="11" s="1"/>
  <c r="AD387" i="11"/>
  <c r="AE387" i="11" s="1"/>
  <c r="AD386" i="11"/>
  <c r="AE386" i="11" s="1"/>
  <c r="AD385" i="11"/>
  <c r="AE385" i="11" s="1"/>
  <c r="AD384" i="11"/>
  <c r="AE384" i="11" s="1"/>
  <c r="AD383" i="11"/>
  <c r="AE383" i="11" s="1"/>
  <c r="AD382" i="11"/>
  <c r="AE382" i="11" s="1"/>
  <c r="AD381" i="11"/>
  <c r="AE381" i="11" s="1"/>
  <c r="AD380" i="11"/>
  <c r="AE380" i="11" s="1"/>
  <c r="AD379" i="11"/>
  <c r="AE379" i="11" s="1"/>
  <c r="AD378" i="11"/>
  <c r="AE378" i="11" s="1"/>
  <c r="AD377" i="11"/>
  <c r="AE377" i="11" s="1"/>
  <c r="AD376" i="11"/>
  <c r="AE376" i="11" s="1"/>
  <c r="AD375" i="11"/>
  <c r="AE375" i="11" s="1"/>
  <c r="AD374" i="11"/>
  <c r="AE374" i="11" s="1"/>
  <c r="AD373" i="11"/>
  <c r="AE373" i="11" s="1"/>
  <c r="AD372" i="11"/>
  <c r="AE372" i="11" s="1"/>
  <c r="AD371" i="11"/>
  <c r="AE371" i="11" s="1"/>
  <c r="AD370" i="11"/>
  <c r="AE370" i="11" s="1"/>
  <c r="AD369" i="11"/>
  <c r="AE369" i="11" s="1"/>
  <c r="AD368" i="11"/>
  <c r="AE368" i="11" s="1"/>
  <c r="AD367" i="11"/>
  <c r="AE367" i="11" s="1"/>
  <c r="AD366" i="11"/>
  <c r="AE366" i="11" s="1"/>
  <c r="AD365" i="11"/>
  <c r="AE365" i="11" s="1"/>
  <c r="AD364" i="11"/>
  <c r="AE364" i="11" s="1"/>
  <c r="AD363" i="11"/>
  <c r="AE363" i="11" s="1"/>
  <c r="AD362" i="11"/>
  <c r="AE362" i="11" s="1"/>
  <c r="AD361" i="11"/>
  <c r="AE361" i="11" s="1"/>
  <c r="AD360" i="11"/>
  <c r="AE360" i="11" s="1"/>
  <c r="AD359" i="11"/>
  <c r="AE359" i="11" s="1"/>
  <c r="AD358" i="11"/>
  <c r="AE358" i="11" s="1"/>
  <c r="AD357" i="11"/>
  <c r="AE357" i="11" s="1"/>
  <c r="AD356" i="11"/>
  <c r="AE356" i="11" s="1"/>
  <c r="AD355" i="11"/>
  <c r="AE355" i="11" s="1"/>
  <c r="AD354" i="11"/>
  <c r="AE354" i="11" s="1"/>
  <c r="AD353" i="11"/>
  <c r="AE353" i="11" s="1"/>
  <c r="AD352" i="11"/>
  <c r="AE352" i="11" s="1"/>
  <c r="AD351" i="11"/>
  <c r="AE351" i="11" s="1"/>
  <c r="AD350" i="11"/>
  <c r="AE350" i="11" s="1"/>
  <c r="AD349" i="11"/>
  <c r="AE349" i="11" s="1"/>
  <c r="AD348" i="11"/>
  <c r="AE348" i="11" s="1"/>
  <c r="AD347" i="11"/>
  <c r="AE347" i="11" s="1"/>
  <c r="AD346" i="11"/>
  <c r="AE346" i="11" s="1"/>
  <c r="AD345" i="11"/>
  <c r="AE345" i="11" s="1"/>
  <c r="AD344" i="11"/>
  <c r="AE344" i="11" s="1"/>
  <c r="AD343" i="11"/>
  <c r="AE343" i="11" s="1"/>
  <c r="AD342" i="11"/>
  <c r="AE342" i="11" s="1"/>
  <c r="AD341" i="11"/>
  <c r="AE341" i="11" s="1"/>
  <c r="AD340" i="11"/>
  <c r="AE340" i="11" s="1"/>
  <c r="AD339" i="11"/>
  <c r="AE339" i="11" s="1"/>
  <c r="AD338" i="11"/>
  <c r="AE338" i="11" s="1"/>
  <c r="AD337" i="11"/>
  <c r="AE337" i="11" s="1"/>
  <c r="AD336" i="11"/>
  <c r="AE336" i="11" s="1"/>
  <c r="AD335" i="11"/>
  <c r="AE335" i="11" s="1"/>
  <c r="AD334" i="11"/>
  <c r="AE334" i="11" s="1"/>
  <c r="AD333" i="11"/>
  <c r="AE333" i="11" s="1"/>
  <c r="AD332" i="11"/>
  <c r="AE332" i="11" s="1"/>
  <c r="AD331" i="11"/>
  <c r="AE331" i="11" s="1"/>
  <c r="AD330" i="11"/>
  <c r="AE330" i="11" s="1"/>
  <c r="AD329" i="11"/>
  <c r="AE329" i="11" s="1"/>
  <c r="AD328" i="11"/>
  <c r="AE328" i="11" s="1"/>
  <c r="AD327" i="11"/>
  <c r="AE327" i="11" s="1"/>
  <c r="AD326" i="11"/>
  <c r="AE326" i="11" s="1"/>
  <c r="AD325" i="11"/>
  <c r="AE325" i="11" s="1"/>
  <c r="AD324" i="11"/>
  <c r="AE324" i="11" s="1"/>
  <c r="AD323" i="11"/>
  <c r="AE323" i="11" s="1"/>
  <c r="AD322" i="11"/>
  <c r="AE322" i="11" s="1"/>
  <c r="AD321" i="11"/>
  <c r="AE321" i="11" s="1"/>
  <c r="AD320" i="11"/>
  <c r="AE320" i="11" s="1"/>
  <c r="AD319" i="11"/>
  <c r="AE319" i="11" s="1"/>
  <c r="AD318" i="11"/>
  <c r="AE318" i="11" s="1"/>
  <c r="AD317" i="11"/>
  <c r="AE317" i="11" s="1"/>
  <c r="AD316" i="11"/>
  <c r="AE316" i="11" s="1"/>
  <c r="AD315" i="11"/>
  <c r="AE315" i="11" s="1"/>
  <c r="AD314" i="11"/>
  <c r="AE314" i="11" s="1"/>
  <c r="AD313" i="11"/>
  <c r="AE313" i="11" s="1"/>
  <c r="AD312" i="11"/>
  <c r="AE312" i="11" s="1"/>
  <c r="AD311" i="11"/>
  <c r="AE311" i="11" s="1"/>
  <c r="AD310" i="11"/>
  <c r="AE310" i="11" s="1"/>
  <c r="AD309" i="11"/>
  <c r="AE309" i="11" s="1"/>
  <c r="AD308" i="11"/>
  <c r="AE308" i="11" s="1"/>
  <c r="AD307" i="11"/>
  <c r="AE307" i="11" s="1"/>
  <c r="AD306" i="11"/>
  <c r="AE306" i="11" s="1"/>
  <c r="AD305" i="11"/>
  <c r="AE305" i="11" s="1"/>
  <c r="AD304" i="11"/>
  <c r="AE304" i="11" s="1"/>
  <c r="AD303" i="11"/>
  <c r="AE303" i="11" s="1"/>
  <c r="AD302" i="11"/>
  <c r="AE302" i="11" s="1"/>
  <c r="AD301" i="11"/>
  <c r="AE301" i="11" s="1"/>
  <c r="AD300" i="11"/>
  <c r="AE300" i="11" s="1"/>
  <c r="AD299" i="11"/>
  <c r="AE299" i="11" s="1"/>
  <c r="AD298" i="11"/>
  <c r="AE298" i="11" s="1"/>
  <c r="AD297" i="11"/>
  <c r="AE297" i="11" s="1"/>
  <c r="AD296" i="11"/>
  <c r="AE296" i="11" s="1"/>
  <c r="AD295" i="11"/>
  <c r="AE295" i="11" s="1"/>
  <c r="AD294" i="11"/>
  <c r="AE294" i="11" s="1"/>
  <c r="AD293" i="11"/>
  <c r="AE293" i="11" s="1"/>
  <c r="AD292" i="11"/>
  <c r="AE292" i="11" s="1"/>
  <c r="AD291" i="11"/>
  <c r="AE291" i="11" s="1"/>
  <c r="AD290" i="11"/>
  <c r="AE290" i="11" s="1"/>
  <c r="AD289" i="11"/>
  <c r="AE289" i="11" s="1"/>
  <c r="AD288" i="11"/>
  <c r="AE288" i="11" s="1"/>
  <c r="AD287" i="11"/>
  <c r="AE287" i="11" s="1"/>
  <c r="AD286" i="11"/>
  <c r="AE286" i="11" s="1"/>
  <c r="AD285" i="11"/>
  <c r="AE285" i="11" s="1"/>
  <c r="AD284" i="11"/>
  <c r="AE284" i="11" s="1"/>
  <c r="AD283" i="11"/>
  <c r="AE283" i="11" s="1"/>
  <c r="AD282" i="11"/>
  <c r="AE282" i="11" s="1"/>
  <c r="AD281" i="11"/>
  <c r="AE281" i="11" s="1"/>
  <c r="AD280" i="11"/>
  <c r="AE280" i="11" s="1"/>
  <c r="AD279" i="11"/>
  <c r="AE279" i="11" s="1"/>
  <c r="AD278" i="11"/>
  <c r="AE278" i="11" s="1"/>
  <c r="AD277" i="11"/>
  <c r="AE277" i="11" s="1"/>
  <c r="AD276" i="11"/>
  <c r="AE276" i="11" s="1"/>
  <c r="AD275" i="11"/>
  <c r="AE275" i="11" s="1"/>
  <c r="AD274" i="11"/>
  <c r="AE274" i="11" s="1"/>
  <c r="AD273" i="11"/>
  <c r="AE273" i="11" s="1"/>
  <c r="AD272" i="11"/>
  <c r="AE272" i="11" s="1"/>
  <c r="AD271" i="11"/>
  <c r="AE271" i="11" s="1"/>
  <c r="AD270" i="11"/>
  <c r="AE270" i="11" s="1"/>
  <c r="AD269" i="11"/>
  <c r="AE269" i="11" s="1"/>
  <c r="AD268" i="11"/>
  <c r="AE268" i="11" s="1"/>
  <c r="AD267" i="11"/>
  <c r="AE267" i="11" s="1"/>
  <c r="AD266" i="11"/>
  <c r="AE266" i="11" s="1"/>
  <c r="AD265" i="11"/>
  <c r="AE265" i="11" s="1"/>
  <c r="AD264" i="11"/>
  <c r="AE264" i="11" s="1"/>
  <c r="AD263" i="11"/>
  <c r="AE263" i="11" s="1"/>
  <c r="AD262" i="11"/>
  <c r="AE262" i="11" s="1"/>
  <c r="AD261" i="11"/>
  <c r="AE261" i="11" s="1"/>
  <c r="AD260" i="11"/>
  <c r="AE260" i="11" s="1"/>
  <c r="AD259" i="11"/>
  <c r="AE259" i="11" s="1"/>
  <c r="AD258" i="11"/>
  <c r="AE258" i="11" s="1"/>
  <c r="AD257" i="11"/>
  <c r="AE257" i="11" s="1"/>
  <c r="AD256" i="11"/>
  <c r="AE256" i="11" s="1"/>
  <c r="AD255" i="11"/>
  <c r="AE255" i="11" s="1"/>
  <c r="AD254" i="11"/>
  <c r="AE254" i="11" s="1"/>
  <c r="AD253" i="11"/>
  <c r="AE253" i="11" s="1"/>
  <c r="AD252" i="11"/>
  <c r="AE252" i="11" s="1"/>
  <c r="AD251" i="11"/>
  <c r="AE251" i="11" s="1"/>
  <c r="AD250" i="11"/>
  <c r="AE250" i="11" s="1"/>
  <c r="AD249" i="11"/>
  <c r="AE249" i="11" s="1"/>
  <c r="AD248" i="11"/>
  <c r="AE248" i="11" s="1"/>
  <c r="AD247" i="11"/>
  <c r="AE247" i="11" s="1"/>
  <c r="AD246" i="11"/>
  <c r="AE246" i="11" s="1"/>
  <c r="AD245" i="11"/>
  <c r="AE245" i="11" s="1"/>
  <c r="AD244" i="11"/>
  <c r="AE244" i="11" s="1"/>
  <c r="AD243" i="11"/>
  <c r="AE243" i="11" s="1"/>
  <c r="AD242" i="11"/>
  <c r="AE242" i="11" s="1"/>
  <c r="AD241" i="11"/>
  <c r="AE241" i="11" s="1"/>
  <c r="AD240" i="11"/>
  <c r="AE240" i="11" s="1"/>
  <c r="AD239" i="11"/>
  <c r="AE239" i="11" s="1"/>
  <c r="AD238" i="11"/>
  <c r="AE238" i="11" s="1"/>
  <c r="AD237" i="11"/>
  <c r="AE237" i="11" s="1"/>
  <c r="AD236" i="11"/>
  <c r="AE236" i="11" s="1"/>
  <c r="AD235" i="11"/>
  <c r="AE235" i="11" s="1"/>
  <c r="AD234" i="11"/>
  <c r="AE234" i="11" s="1"/>
  <c r="AD233" i="11"/>
  <c r="AE233" i="11" s="1"/>
  <c r="AD232" i="11"/>
  <c r="AE232" i="11" s="1"/>
  <c r="AD231" i="11"/>
  <c r="AE231" i="11" s="1"/>
  <c r="AD230" i="11"/>
  <c r="AE230" i="11" s="1"/>
  <c r="AD229" i="11"/>
  <c r="AE229" i="11" s="1"/>
  <c r="AD228" i="11"/>
  <c r="AE228" i="11" s="1"/>
  <c r="AD227" i="11"/>
  <c r="AE227" i="11" s="1"/>
  <c r="AD226" i="11"/>
  <c r="AE226" i="11" s="1"/>
  <c r="AD225" i="11"/>
  <c r="AE225" i="11" s="1"/>
  <c r="AD224" i="11"/>
  <c r="AE224" i="11" s="1"/>
  <c r="AD223" i="11"/>
  <c r="AE223" i="11" s="1"/>
  <c r="AD222" i="11"/>
  <c r="AE222" i="11" s="1"/>
  <c r="AD221" i="11"/>
  <c r="AE221" i="11" s="1"/>
  <c r="AD220" i="11"/>
  <c r="AE220" i="11" s="1"/>
  <c r="AD219" i="11"/>
  <c r="AE219" i="11" s="1"/>
  <c r="AD218" i="11"/>
  <c r="AE218" i="11" s="1"/>
  <c r="AD217" i="11"/>
  <c r="AE217" i="11" s="1"/>
  <c r="AD216" i="11"/>
  <c r="AE216" i="11" s="1"/>
  <c r="AD215" i="11"/>
  <c r="AE215" i="11" s="1"/>
  <c r="AD214" i="11"/>
  <c r="AE214" i="11" s="1"/>
  <c r="AD213" i="11"/>
  <c r="AE213" i="11" s="1"/>
  <c r="AD212" i="11"/>
  <c r="AE212" i="11" s="1"/>
  <c r="AD211" i="11"/>
  <c r="AE211" i="11" s="1"/>
  <c r="AD210" i="11"/>
  <c r="AE210" i="11" s="1"/>
  <c r="AD209" i="11"/>
  <c r="AE209" i="11" s="1"/>
  <c r="AD208" i="11"/>
  <c r="AE208" i="11" s="1"/>
  <c r="AD207" i="11"/>
  <c r="AE207" i="11" s="1"/>
  <c r="AD206" i="11"/>
  <c r="AE206" i="11" s="1"/>
  <c r="AD205" i="11"/>
  <c r="AE205" i="11" s="1"/>
  <c r="AD204" i="11"/>
  <c r="AE204" i="11" s="1"/>
  <c r="AD203" i="11"/>
  <c r="AE203" i="11" s="1"/>
  <c r="AD202" i="11"/>
  <c r="AE202" i="11" s="1"/>
  <c r="AD201" i="11"/>
  <c r="AE201" i="11" s="1"/>
  <c r="AD200" i="11"/>
  <c r="AE200" i="11" s="1"/>
  <c r="AD199" i="11"/>
  <c r="AE199" i="11" s="1"/>
  <c r="AD198" i="11"/>
  <c r="AE198" i="11" s="1"/>
  <c r="AD197" i="11"/>
  <c r="AE197" i="11" s="1"/>
  <c r="AD196" i="11"/>
  <c r="AE196" i="11" s="1"/>
  <c r="AD195" i="11"/>
  <c r="AE195" i="11" s="1"/>
  <c r="AD194" i="11"/>
  <c r="AE194" i="11" s="1"/>
  <c r="AD193" i="11"/>
  <c r="AE193" i="11" s="1"/>
  <c r="AD192" i="11"/>
  <c r="AE192" i="11" s="1"/>
  <c r="AD191" i="11"/>
  <c r="AE191" i="11" s="1"/>
  <c r="AD190" i="11"/>
  <c r="AE190" i="11" s="1"/>
  <c r="AD189" i="11"/>
  <c r="AE189" i="11" s="1"/>
  <c r="AD188" i="11"/>
  <c r="AE188" i="11" s="1"/>
  <c r="AD187" i="11"/>
  <c r="AE187" i="11" s="1"/>
  <c r="AD186" i="11"/>
  <c r="AE186" i="11" s="1"/>
  <c r="AD185" i="11"/>
  <c r="AE185" i="11" s="1"/>
  <c r="AD184" i="11"/>
  <c r="AE184" i="11" s="1"/>
  <c r="AD183" i="11"/>
  <c r="AE183" i="11" s="1"/>
  <c r="AD182" i="11"/>
  <c r="AE182" i="11" s="1"/>
  <c r="AD181" i="11"/>
  <c r="AE181" i="11" s="1"/>
  <c r="AD180" i="11"/>
  <c r="AE180" i="11" s="1"/>
  <c r="AD179" i="11"/>
  <c r="AE179" i="11" s="1"/>
  <c r="AD178" i="11"/>
  <c r="AE178" i="11" s="1"/>
  <c r="AD177" i="11"/>
  <c r="AE177" i="11" s="1"/>
  <c r="AD176" i="11"/>
  <c r="AE176" i="11" s="1"/>
  <c r="AD175" i="11"/>
  <c r="AE175" i="11" s="1"/>
  <c r="AD174" i="11"/>
  <c r="AE174" i="11" s="1"/>
  <c r="AD173" i="11"/>
  <c r="AE173" i="11" s="1"/>
  <c r="AD172" i="11"/>
  <c r="AE172" i="11" s="1"/>
  <c r="AD171" i="11"/>
  <c r="AE171" i="11" s="1"/>
  <c r="AD170" i="11"/>
  <c r="AE170" i="11" s="1"/>
  <c r="AD169" i="11"/>
  <c r="AE169" i="11" s="1"/>
  <c r="AD168" i="11"/>
  <c r="AE168" i="11" s="1"/>
  <c r="AD167" i="11"/>
  <c r="AE167" i="11" s="1"/>
  <c r="AD166" i="11"/>
  <c r="AE166" i="11" s="1"/>
  <c r="AD165" i="11"/>
  <c r="AE165" i="11" s="1"/>
  <c r="AD164" i="11"/>
  <c r="AE164" i="11" s="1"/>
  <c r="AD163" i="11"/>
  <c r="AE163" i="11" s="1"/>
  <c r="AD162" i="11"/>
  <c r="AE162" i="11" s="1"/>
  <c r="AD161" i="11"/>
  <c r="AE161" i="11" s="1"/>
  <c r="AD160" i="11"/>
  <c r="AE160" i="11" s="1"/>
  <c r="AD159" i="11"/>
  <c r="AE159" i="11" s="1"/>
  <c r="AD158" i="11"/>
  <c r="AE158" i="11" s="1"/>
  <c r="AD157" i="11"/>
  <c r="AE157" i="11" s="1"/>
  <c r="AD156" i="11"/>
  <c r="AE156" i="11" s="1"/>
  <c r="AD155" i="11"/>
  <c r="AE155" i="11" s="1"/>
  <c r="AD154" i="11"/>
  <c r="AE154" i="11" s="1"/>
  <c r="AD153" i="11"/>
  <c r="AE153" i="11" s="1"/>
  <c r="AD152" i="11"/>
  <c r="AE152" i="11" s="1"/>
  <c r="AD151" i="11"/>
  <c r="AE151" i="11" s="1"/>
  <c r="AD150" i="11"/>
  <c r="AE150" i="11" s="1"/>
  <c r="AD149" i="11"/>
  <c r="AE149" i="11" s="1"/>
  <c r="AD148" i="11"/>
  <c r="AE148" i="11" s="1"/>
  <c r="AD147" i="11"/>
  <c r="AE147" i="11" s="1"/>
  <c r="AD146" i="11"/>
  <c r="AE146" i="11" s="1"/>
  <c r="AD145" i="11"/>
  <c r="AE145" i="11" s="1"/>
  <c r="AD144" i="11"/>
  <c r="AE144" i="11" s="1"/>
  <c r="AD143" i="11"/>
  <c r="AE143" i="11" s="1"/>
  <c r="AD142" i="11"/>
  <c r="AE142" i="11" s="1"/>
  <c r="AD141" i="11"/>
  <c r="AE141" i="11" s="1"/>
  <c r="AD140" i="11"/>
  <c r="AE140" i="11" s="1"/>
  <c r="AD139" i="11"/>
  <c r="AE139" i="11" s="1"/>
  <c r="AD138" i="11"/>
  <c r="AE138" i="11" s="1"/>
  <c r="AD137" i="11"/>
  <c r="AE137" i="11" s="1"/>
  <c r="AD136" i="11"/>
  <c r="AE136" i="11" s="1"/>
  <c r="AD135" i="11"/>
  <c r="AE135" i="11" s="1"/>
  <c r="AD134" i="11"/>
  <c r="AE134" i="11" s="1"/>
  <c r="AD133" i="11"/>
  <c r="AE133" i="11" s="1"/>
  <c r="AD132" i="11"/>
  <c r="AE132" i="11" s="1"/>
  <c r="AD131" i="11"/>
  <c r="AE131" i="11" s="1"/>
  <c r="AD130" i="11"/>
  <c r="AE130" i="11" s="1"/>
  <c r="AD129" i="11"/>
  <c r="AE129" i="11" s="1"/>
  <c r="AD128" i="11"/>
  <c r="AE128" i="11" s="1"/>
  <c r="AD127" i="11"/>
  <c r="AE127" i="11" s="1"/>
  <c r="AD126" i="11"/>
  <c r="AE126" i="11" s="1"/>
  <c r="AD125" i="11"/>
  <c r="AE125" i="11" s="1"/>
  <c r="AD124" i="11"/>
  <c r="AE124" i="11" s="1"/>
  <c r="AD123" i="11"/>
  <c r="AE123" i="11" s="1"/>
  <c r="AD122" i="11"/>
  <c r="AE122" i="11" s="1"/>
  <c r="AD121" i="11"/>
  <c r="AE121" i="11" s="1"/>
  <c r="AD120" i="11"/>
  <c r="AE120" i="11" s="1"/>
  <c r="AD119" i="11"/>
  <c r="AE119" i="11" s="1"/>
  <c r="AD118" i="11"/>
  <c r="AE118" i="11" s="1"/>
  <c r="AD117" i="11"/>
  <c r="AE117" i="11" s="1"/>
  <c r="AD116" i="11"/>
  <c r="AE116" i="11" s="1"/>
  <c r="AD115" i="11"/>
  <c r="AE115" i="11" s="1"/>
  <c r="AD114" i="11"/>
  <c r="AE114" i="11" s="1"/>
  <c r="AD113" i="11"/>
  <c r="AE113" i="11" s="1"/>
  <c r="AD112" i="11"/>
  <c r="AE112" i="11" s="1"/>
  <c r="AD111" i="11"/>
  <c r="AE111" i="11" s="1"/>
  <c r="AD110" i="11"/>
  <c r="AE110" i="11" s="1"/>
  <c r="AD109" i="11"/>
  <c r="AE109" i="11" s="1"/>
  <c r="AD108" i="11"/>
  <c r="AE108" i="11" s="1"/>
  <c r="AD107" i="11"/>
  <c r="AE107" i="11" s="1"/>
  <c r="AD106" i="11"/>
  <c r="AE106" i="11" s="1"/>
  <c r="AD105" i="11"/>
  <c r="AE105" i="11" s="1"/>
  <c r="AD104" i="11"/>
  <c r="AE104" i="11" s="1"/>
  <c r="AD103" i="11"/>
  <c r="AE103" i="11" s="1"/>
  <c r="AD102" i="11"/>
  <c r="AE102" i="11" s="1"/>
  <c r="AD101" i="11"/>
  <c r="AE101" i="11" s="1"/>
  <c r="AD100" i="11"/>
  <c r="AE100" i="11" s="1"/>
  <c r="AD99" i="11"/>
  <c r="AE99" i="11" s="1"/>
  <c r="AD98" i="11"/>
  <c r="AE98" i="11" s="1"/>
  <c r="AD97" i="11"/>
  <c r="AE97" i="11" s="1"/>
  <c r="AD96" i="11"/>
  <c r="AE96" i="11" s="1"/>
  <c r="AD95" i="11"/>
  <c r="AE95" i="11" s="1"/>
  <c r="AD94" i="11"/>
  <c r="AE94" i="11" s="1"/>
  <c r="AD93" i="11"/>
  <c r="AE93" i="11" s="1"/>
  <c r="AD92" i="11"/>
  <c r="AE92" i="11" s="1"/>
  <c r="AD91" i="11"/>
  <c r="AE91" i="11" s="1"/>
  <c r="AD90" i="11"/>
  <c r="AE90" i="11" s="1"/>
  <c r="AD89" i="11"/>
  <c r="AE89" i="11" s="1"/>
  <c r="AD88" i="11"/>
  <c r="AE88" i="11" s="1"/>
  <c r="AD87" i="11"/>
  <c r="AE87" i="11" s="1"/>
  <c r="AD86" i="11"/>
  <c r="AE86" i="11" s="1"/>
  <c r="AD85" i="11"/>
  <c r="AE85" i="11" s="1"/>
  <c r="AD84" i="11"/>
  <c r="AE84" i="11" s="1"/>
  <c r="AD83" i="11"/>
  <c r="AE83" i="11" s="1"/>
  <c r="AD82" i="11"/>
  <c r="AE82" i="11" s="1"/>
  <c r="AD81" i="11"/>
  <c r="AE81" i="11" s="1"/>
  <c r="AD80" i="11"/>
  <c r="AE80" i="11" s="1"/>
  <c r="AD79" i="11"/>
  <c r="AE79" i="11" s="1"/>
  <c r="AD78" i="11"/>
  <c r="AE78" i="11" s="1"/>
  <c r="AD77" i="11"/>
  <c r="AE77" i="11" s="1"/>
  <c r="AD76" i="11"/>
  <c r="AE76" i="11" s="1"/>
  <c r="AD75" i="11"/>
  <c r="AE75" i="11" s="1"/>
  <c r="AD74" i="11"/>
  <c r="AE74" i="11" s="1"/>
  <c r="AD73" i="11"/>
  <c r="AE73" i="11" s="1"/>
  <c r="AD72" i="11"/>
  <c r="AE72" i="11" s="1"/>
  <c r="AD71" i="11"/>
  <c r="AE71" i="11" s="1"/>
  <c r="AD70" i="11"/>
  <c r="AE70" i="11" s="1"/>
  <c r="AD69" i="11"/>
  <c r="AE69" i="11" s="1"/>
  <c r="AD68" i="11"/>
  <c r="AE68" i="11" s="1"/>
  <c r="AD67" i="11"/>
  <c r="AE67" i="11" s="1"/>
  <c r="AD66" i="11"/>
  <c r="AE66" i="11" s="1"/>
  <c r="AD65" i="11"/>
  <c r="AE65" i="11" s="1"/>
  <c r="AD64" i="11"/>
  <c r="AE64" i="11" s="1"/>
  <c r="AD63" i="11"/>
  <c r="AE63" i="11" s="1"/>
  <c r="AD62" i="11"/>
  <c r="AE62" i="11" s="1"/>
  <c r="AD61" i="11"/>
  <c r="AE61" i="11" s="1"/>
  <c r="AD60" i="11"/>
  <c r="AE60" i="11" s="1"/>
  <c r="AD59" i="11"/>
  <c r="AE59" i="11" s="1"/>
  <c r="AD58" i="11"/>
  <c r="AE58" i="11" s="1"/>
  <c r="AD57" i="11"/>
  <c r="AE57" i="11" s="1"/>
  <c r="AD56" i="11"/>
  <c r="AE56" i="11" s="1"/>
  <c r="AD55" i="11"/>
  <c r="AE55" i="11" s="1"/>
  <c r="AD54" i="11"/>
  <c r="AE54" i="11" s="1"/>
  <c r="AD53" i="11"/>
  <c r="AE53" i="11" s="1"/>
  <c r="AD52" i="11"/>
  <c r="AE52" i="11" s="1"/>
  <c r="AD51" i="11"/>
  <c r="AE51" i="11" s="1"/>
  <c r="AD50" i="11"/>
  <c r="AE50" i="11" s="1"/>
  <c r="AD49" i="11"/>
  <c r="AE49" i="11" s="1"/>
  <c r="AD48" i="11"/>
  <c r="AE48" i="11" s="1"/>
  <c r="AD47" i="11"/>
  <c r="AE47" i="11" s="1"/>
  <c r="AD46" i="11"/>
  <c r="AE46" i="11" s="1"/>
  <c r="AD45" i="11"/>
  <c r="AE45" i="11" s="1"/>
  <c r="AD44" i="11"/>
  <c r="AE44" i="11" s="1"/>
  <c r="AD43" i="11"/>
  <c r="AE43" i="11" s="1"/>
  <c r="AD42" i="11"/>
  <c r="AE42" i="11" s="1"/>
  <c r="AD41" i="11"/>
  <c r="AE41" i="11" s="1"/>
  <c r="AD40" i="11"/>
  <c r="AE40" i="11" s="1"/>
  <c r="AD39" i="11"/>
  <c r="AE39" i="11" s="1"/>
  <c r="AD38" i="11"/>
  <c r="AE38" i="11" s="1"/>
  <c r="AD37" i="11"/>
  <c r="AE37" i="11" s="1"/>
  <c r="AD36" i="11"/>
  <c r="AE36" i="11" s="1"/>
  <c r="AD35" i="11"/>
  <c r="AE35" i="11" s="1"/>
  <c r="AD34" i="11"/>
  <c r="AE34" i="11" s="1"/>
  <c r="AD33" i="11"/>
  <c r="AE33" i="11" s="1"/>
  <c r="AD32" i="11"/>
  <c r="AE32" i="11" s="1"/>
  <c r="AD31" i="11"/>
  <c r="AE31" i="11" s="1"/>
  <c r="AD30" i="11"/>
  <c r="AE30" i="11" s="1"/>
  <c r="AD29" i="11"/>
  <c r="AE29" i="11" s="1"/>
  <c r="AD28" i="11"/>
  <c r="AE28" i="11" s="1"/>
  <c r="AD27" i="11"/>
  <c r="AE27" i="11" s="1"/>
  <c r="AD26" i="11"/>
  <c r="AE26" i="11" s="1"/>
  <c r="AD25" i="11"/>
  <c r="AE25" i="11" s="1"/>
  <c r="AD24" i="11"/>
  <c r="AE24" i="11" s="1"/>
  <c r="AD23" i="11"/>
  <c r="AE23" i="11" s="1"/>
  <c r="AD22" i="11"/>
  <c r="AE22" i="11" s="1"/>
  <c r="AD21" i="11"/>
  <c r="AE21" i="11" s="1"/>
  <c r="AD20" i="11"/>
  <c r="AE20" i="11" s="1"/>
  <c r="AD19" i="11"/>
  <c r="AE19" i="11" s="1"/>
  <c r="AD18" i="11"/>
  <c r="AE18" i="11" s="1"/>
  <c r="AD17" i="11"/>
  <c r="AE17" i="11" s="1"/>
  <c r="AD16" i="11"/>
  <c r="AE16" i="11" s="1"/>
  <c r="AD15" i="11"/>
  <c r="AE15" i="11" s="1"/>
  <c r="AD14" i="11"/>
  <c r="AE14" i="11" s="1"/>
  <c r="AD13" i="11"/>
  <c r="AE13" i="11" s="1"/>
  <c r="AD12" i="11"/>
  <c r="AE12" i="11" s="1"/>
  <c r="AD11" i="11"/>
  <c r="AE11" i="11" s="1"/>
  <c r="AD10" i="11"/>
  <c r="AE10" i="11" s="1"/>
  <c r="AD9" i="11"/>
  <c r="AE9" i="11" s="1"/>
  <c r="AD8" i="11"/>
  <c r="AE8" i="11" s="1"/>
  <c r="AD7" i="11"/>
  <c r="AE7" i="11" s="1"/>
  <c r="AD6" i="11"/>
  <c r="AE6" i="11" s="1"/>
  <c r="AD5" i="11"/>
  <c r="AE5" i="11" s="1"/>
  <c r="AD4" i="11"/>
  <c r="AE4" i="11" s="1"/>
  <c r="AD3" i="11"/>
  <c r="AE3" i="11" s="1"/>
  <c r="S52" i="11" a="1"/>
  <c r="R52" i="11" a="1"/>
  <c r="S51" i="11" a="1"/>
  <c r="R51" i="11" a="1"/>
  <c r="S50" i="11" a="1"/>
  <c r="R50" i="11" a="1"/>
  <c r="S49" i="11" a="1"/>
  <c r="R49" i="11" a="1"/>
  <c r="S48" i="11" a="1"/>
  <c r="R48" i="11" a="1"/>
  <c r="S47" i="11" a="1"/>
  <c r="R47" i="11" a="1"/>
  <c r="S46" i="11" a="1"/>
  <c r="R46" i="11" a="1"/>
  <c r="S45" i="11" a="1"/>
  <c r="R45" i="11" a="1"/>
  <c r="S44" i="11" a="1"/>
  <c r="R44" i="11" a="1"/>
  <c r="S43" i="11" a="1"/>
  <c r="R43" i="11" a="1"/>
  <c r="S42" i="11" a="1"/>
  <c r="R42" i="11" a="1"/>
  <c r="S41" i="11" a="1"/>
  <c r="R41" i="11" a="1"/>
  <c r="S40" i="11" a="1"/>
  <c r="R40" i="11" a="1"/>
  <c r="S39" i="11" a="1"/>
  <c r="R39" i="11" a="1"/>
  <c r="S38" i="11" a="1"/>
  <c r="R38" i="11" a="1"/>
  <c r="S37" i="11" a="1"/>
  <c r="R37" i="11" a="1"/>
  <c r="S36" i="11" a="1"/>
  <c r="R36" i="11" a="1"/>
  <c r="S35" i="11" a="1"/>
  <c r="R35" i="11" a="1"/>
  <c r="S34" i="11" a="1"/>
  <c r="R34" i="11" a="1"/>
  <c r="S33" i="11" a="1"/>
  <c r="R33" i="11" a="1"/>
  <c r="S32" i="11" a="1"/>
  <c r="R32" i="11" a="1"/>
  <c r="S31" i="11" a="1"/>
  <c r="R31" i="11" a="1"/>
  <c r="S30" i="11" a="1"/>
  <c r="R30" i="11" a="1"/>
  <c r="S29" i="11" a="1"/>
  <c r="R29" i="11" a="1"/>
  <c r="S28" i="11" a="1"/>
  <c r="R28" i="11" a="1"/>
  <c r="S27" i="11" a="1"/>
  <c r="R27" i="11" a="1"/>
  <c r="S26" i="11" a="1"/>
  <c r="R26" i="11" a="1"/>
  <c r="S25" i="11" a="1"/>
  <c r="R25" i="11" a="1"/>
  <c r="S24" i="11" a="1"/>
  <c r="R24" i="11" a="1"/>
  <c r="S23" i="11" a="1"/>
  <c r="R23" i="11" a="1"/>
  <c r="S22" i="11" a="1"/>
  <c r="R22" i="11" a="1"/>
  <c r="S21" i="11" a="1"/>
  <c r="R21" i="11" a="1"/>
  <c r="S20" i="11" a="1"/>
  <c r="R20" i="11" a="1"/>
  <c r="S19" i="11" a="1"/>
  <c r="R19" i="11" a="1"/>
  <c r="S18" i="11" a="1"/>
  <c r="R18" i="11" a="1"/>
  <c r="S17" i="11" a="1"/>
  <c r="R17" i="11" a="1"/>
  <c r="S16" i="11" a="1"/>
  <c r="R16" i="11" a="1"/>
  <c r="S15" i="11" a="1"/>
  <c r="R15" i="11" a="1"/>
  <c r="S14" i="11" a="1"/>
  <c r="R14" i="11" a="1"/>
  <c r="S13" i="11" a="1"/>
  <c r="R13" i="11" a="1"/>
  <c r="S12" i="11" a="1"/>
  <c r="R12" i="11" a="1"/>
  <c r="S11" i="11" a="1"/>
  <c r="R11" i="11" a="1"/>
  <c r="S10" i="11" a="1"/>
  <c r="R10" i="11" a="1"/>
  <c r="S9" i="11" a="1"/>
  <c r="R9" i="11" a="1"/>
  <c r="S8" i="11" a="1"/>
  <c r="R8" i="11" a="1"/>
  <c r="S7" i="11" a="1"/>
  <c r="R7" i="11" a="1"/>
  <c r="S6" i="11" a="1"/>
  <c r="R6" i="11" a="1"/>
  <c r="S5" i="11" a="1"/>
  <c r="R5" i="11" a="1"/>
  <c r="S4" i="11" a="1"/>
  <c r="R4" i="11" a="1"/>
  <c r="S3" i="11" a="1"/>
  <c r="R3" i="11" a="1"/>
  <c r="M19" i="11" a="1"/>
  <c r="M17" i="11" a="1"/>
  <c r="M16" i="11" a="1"/>
  <c r="M15" i="11" a="1"/>
  <c r="H20" i="11" a="1"/>
  <c r="H19" i="11" a="1"/>
  <c r="H18" i="11" a="1"/>
  <c r="H17" i="11" a="1"/>
  <c r="H16" i="11" a="1"/>
  <c r="H15" i="11" a="1"/>
  <c r="B19" i="11" a="1"/>
  <c r="B17" i="11" a="1"/>
  <c r="B16" i="11" a="1"/>
  <c r="B15" i="11" a="1"/>
  <c r="O7" i="11" a="1"/>
  <c r="N7" i="11" a="1"/>
  <c r="K7" i="11" a="1"/>
  <c r="J7" i="11" a="1"/>
  <c r="I7" i="11" a="1"/>
  <c r="H7" i="11" a="1"/>
  <c r="G7" i="11" a="1"/>
  <c r="F7" i="11" a="1"/>
  <c r="E7" i="11" a="1"/>
  <c r="D7" i="11" a="1"/>
  <c r="Y7" i="10"/>
  <c r="X7" i="10"/>
  <c r="L7" i="10"/>
  <c r="Y6" i="10"/>
  <c r="X6" i="10"/>
  <c r="Z6" i="10" s="1"/>
  <c r="L6" i="10"/>
  <c r="Y5" i="10"/>
  <c r="X5" i="10"/>
  <c r="L5" i="10"/>
  <c r="Y4" i="10"/>
  <c r="X4" i="10"/>
  <c r="L4" i="10"/>
  <c r="L3" i="10"/>
  <c r="L2" i="10"/>
  <c r="H1649" i="5"/>
  <c r="H1302" i="5"/>
  <c r="X3" i="10"/>
  <c r="Y3" i="10"/>
  <c r="B2" i="8"/>
  <c r="H1182" i="5"/>
  <c r="C7" i="9"/>
  <c r="B7" i="9"/>
  <c r="C6" i="9"/>
  <c r="C5" i="9"/>
  <c r="B6" i="9"/>
  <c r="B5" i="9"/>
  <c r="X2" i="10"/>
  <c r="Y2" i="10"/>
  <c r="C8" i="9"/>
  <c r="C9" i="9"/>
  <c r="C10" i="9"/>
  <c r="C11" i="9"/>
  <c r="C12" i="9"/>
  <c r="C13" i="9"/>
  <c r="C14" i="9"/>
  <c r="C15" i="9"/>
  <c r="C16" i="9"/>
  <c r="C17" i="9"/>
  <c r="C18" i="9"/>
  <c r="C19" i="9"/>
  <c r="C20" i="9"/>
  <c r="C21" i="9"/>
  <c r="C22" i="9"/>
  <c r="C23" i="9"/>
  <c r="C24" i="9"/>
  <c r="C25" i="9"/>
  <c r="C26" i="9"/>
  <c r="C27" i="9"/>
  <c r="C28" i="9"/>
  <c r="C29" i="9"/>
  <c r="C30" i="9"/>
  <c r="C31" i="9"/>
  <c r="C32" i="9"/>
  <c r="C33" i="9"/>
  <c r="C34" i="9"/>
  <c r="C35" i="9"/>
  <c r="C36" i="9"/>
  <c r="C37" i="9"/>
  <c r="C38" i="9"/>
  <c r="C39" i="9"/>
  <c r="C40" i="9"/>
  <c r="C41" i="9"/>
  <c r="C42" i="9"/>
  <c r="C43" i="9"/>
  <c r="C44" i="9"/>
  <c r="C45" i="9"/>
  <c r="C46" i="9"/>
  <c r="C47" i="9"/>
  <c r="C48" i="9"/>
  <c r="C49" i="9"/>
  <c r="C50" i="9"/>
  <c r="C51" i="9"/>
  <c r="C52" i="9"/>
  <c r="C53" i="9"/>
  <c r="C54" i="9"/>
  <c r="C55" i="9"/>
  <c r="C56" i="9"/>
  <c r="C57" i="9"/>
  <c r="C58" i="9"/>
  <c r="C59" i="9"/>
  <c r="C60" i="9"/>
  <c r="C61" i="9"/>
  <c r="C62" i="9"/>
  <c r="C63" i="9"/>
  <c r="C64" i="9"/>
  <c r="C65" i="9"/>
  <c r="C66" i="9"/>
  <c r="C67" i="9"/>
  <c r="C68" i="9"/>
  <c r="C69" i="9"/>
  <c r="C70" i="9"/>
  <c r="C71" i="9"/>
  <c r="C72" i="9"/>
  <c r="C73" i="9"/>
  <c r="C74" i="9"/>
  <c r="C75" i="9"/>
  <c r="C76" i="9"/>
  <c r="C77" i="9"/>
  <c r="C78" i="9"/>
  <c r="C79" i="9"/>
  <c r="C80" i="9"/>
  <c r="C81" i="9"/>
  <c r="C82" i="9"/>
  <c r="C83" i="9"/>
  <c r="C84" i="9"/>
  <c r="C85" i="9"/>
  <c r="C86" i="9"/>
  <c r="C87" i="9"/>
  <c r="C88" i="9"/>
  <c r="C89" i="9"/>
  <c r="C90" i="9"/>
  <c r="C91" i="9"/>
  <c r="C92" i="9"/>
  <c r="C93" i="9"/>
  <c r="C94" i="9"/>
  <c r="C95" i="9"/>
  <c r="C96" i="9"/>
  <c r="C97" i="9"/>
  <c r="C98" i="9"/>
  <c r="C99" i="9"/>
  <c r="C100" i="9"/>
  <c r="C101" i="9"/>
  <c r="C102" i="9"/>
  <c r="C103" i="9"/>
  <c r="C104" i="9"/>
  <c r="C105" i="9"/>
  <c r="C106" i="9"/>
  <c r="C107" i="9"/>
  <c r="C108" i="9"/>
  <c r="C109" i="9"/>
  <c r="C110" i="9"/>
  <c r="C111" i="9"/>
  <c r="C112" i="9"/>
  <c r="C113" i="9"/>
  <c r="C114" i="9"/>
  <c r="C115" i="9"/>
  <c r="C116" i="9"/>
  <c r="C117" i="9"/>
  <c r="C118" i="9"/>
  <c r="C119" i="9"/>
  <c r="C120" i="9"/>
  <c r="C121" i="9"/>
  <c r="C122" i="9"/>
  <c r="C123" i="9"/>
  <c r="C124" i="9"/>
  <c r="C125" i="9"/>
  <c r="C126" i="9"/>
  <c r="C127" i="9"/>
  <c r="C128" i="9"/>
  <c r="C129" i="9"/>
  <c r="C130" i="9"/>
  <c r="C131" i="9"/>
  <c r="C132" i="9"/>
  <c r="C133" i="9"/>
  <c r="C134" i="9"/>
  <c r="C135" i="9"/>
  <c r="C136" i="9"/>
  <c r="C137" i="9"/>
  <c r="C138" i="9"/>
  <c r="C139" i="9"/>
  <c r="C140" i="9"/>
  <c r="C141" i="9"/>
  <c r="C142" i="9"/>
  <c r="C143" i="9"/>
  <c r="C144" i="9"/>
  <c r="C145" i="9"/>
  <c r="C146" i="9"/>
  <c r="C147" i="9"/>
  <c r="C148" i="9"/>
  <c r="C149" i="9"/>
  <c r="C150" i="9"/>
  <c r="C151" i="9"/>
  <c r="C152" i="9"/>
  <c r="C153" i="9"/>
  <c r="C154" i="9"/>
  <c r="C155" i="9"/>
  <c r="C156" i="9"/>
  <c r="C157" i="9"/>
  <c r="C158" i="9"/>
  <c r="C159" i="9"/>
  <c r="C160" i="9"/>
  <c r="C161" i="9"/>
  <c r="C162" i="9"/>
  <c r="C163" i="9"/>
  <c r="C164" i="9"/>
  <c r="C165" i="9"/>
  <c r="C166" i="9"/>
  <c r="C167" i="9"/>
  <c r="C168" i="9"/>
  <c r="C169" i="9"/>
  <c r="C170" i="9"/>
  <c r="C171" i="9"/>
  <c r="C172" i="9"/>
  <c r="C173" i="9"/>
  <c r="C174" i="9"/>
  <c r="C175" i="9"/>
  <c r="C176" i="9"/>
  <c r="C177" i="9"/>
  <c r="C178" i="9"/>
  <c r="C179" i="9"/>
  <c r="C180" i="9"/>
  <c r="C181" i="9"/>
  <c r="C182" i="9"/>
  <c r="C183" i="9"/>
  <c r="C184" i="9"/>
  <c r="C185" i="9"/>
  <c r="C186" i="9"/>
  <c r="C187" i="9"/>
  <c r="C188" i="9"/>
  <c r="C189" i="9"/>
  <c r="C190" i="9"/>
  <c r="C191" i="9"/>
  <c r="C192" i="9"/>
  <c r="C193" i="9"/>
  <c r="C194" i="9"/>
  <c r="C195" i="9"/>
  <c r="C196" i="9"/>
  <c r="C197" i="9"/>
  <c r="C198" i="9"/>
  <c r="C199" i="9"/>
  <c r="C200" i="9"/>
  <c r="C201" i="9"/>
  <c r="C202" i="9"/>
  <c r="C203" i="9"/>
  <c r="C204" i="9"/>
  <c r="C205" i="9"/>
  <c r="C206" i="9"/>
  <c r="C207" i="9"/>
  <c r="C208" i="9"/>
  <c r="C209" i="9"/>
  <c r="C210" i="9"/>
  <c r="C211" i="9"/>
  <c r="C212" i="9"/>
  <c r="C213" i="9"/>
  <c r="C214" i="9"/>
  <c r="C215" i="9"/>
  <c r="C216" i="9"/>
  <c r="C217" i="9"/>
  <c r="C218" i="9"/>
  <c r="C219" i="9"/>
  <c r="C220" i="9"/>
  <c r="C221" i="9"/>
  <c r="C222" i="9"/>
  <c r="C223" i="9"/>
  <c r="C224" i="9"/>
  <c r="C225" i="9"/>
  <c r="C226" i="9"/>
  <c r="C227" i="9"/>
  <c r="C228" i="9"/>
  <c r="C229" i="9"/>
  <c r="C230" i="9"/>
  <c r="C231" i="9"/>
  <c r="C232" i="9"/>
  <c r="C233" i="9"/>
  <c r="C234" i="9"/>
  <c r="C235" i="9"/>
  <c r="C236" i="9"/>
  <c r="C237" i="9"/>
  <c r="C238" i="9"/>
  <c r="C239" i="9"/>
  <c r="C240" i="9"/>
  <c r="C241" i="9"/>
  <c r="C242" i="9"/>
  <c r="C243" i="9"/>
  <c r="C244" i="9"/>
  <c r="C245" i="9"/>
  <c r="C246" i="9"/>
  <c r="C247" i="9"/>
  <c r="C248" i="9"/>
  <c r="C249" i="9"/>
  <c r="C250" i="9"/>
  <c r="C251" i="9"/>
  <c r="C252" i="9"/>
  <c r="C253" i="9"/>
  <c r="C254" i="9"/>
  <c r="C255" i="9"/>
  <c r="C256" i="9"/>
  <c r="C257" i="9"/>
  <c r="C258" i="9"/>
  <c r="C259" i="9"/>
  <c r="C260" i="9"/>
  <c r="C261" i="9"/>
  <c r="C262" i="9"/>
  <c r="C263" i="9"/>
  <c r="C264" i="9"/>
  <c r="C265" i="9"/>
  <c r="C266" i="9"/>
  <c r="C267" i="9"/>
  <c r="C268" i="9"/>
  <c r="C269" i="9"/>
  <c r="C270" i="9"/>
  <c r="C271" i="9"/>
  <c r="C272" i="9"/>
  <c r="C273" i="9"/>
  <c r="C274" i="9"/>
  <c r="C275" i="9"/>
  <c r="C276" i="9"/>
  <c r="C277" i="9"/>
  <c r="C278" i="9"/>
  <c r="C279" i="9"/>
  <c r="C280" i="9"/>
  <c r="C281" i="9"/>
  <c r="C282" i="9"/>
  <c r="C283" i="9"/>
  <c r="C284" i="9"/>
  <c r="C285" i="9"/>
  <c r="C286" i="9"/>
  <c r="C287" i="9"/>
  <c r="C288" i="9"/>
  <c r="C289" i="9"/>
  <c r="C290" i="9"/>
  <c r="C291" i="9"/>
  <c r="C292" i="9"/>
  <c r="C293" i="9"/>
  <c r="C294" i="9"/>
  <c r="C295" i="9"/>
  <c r="C296" i="9"/>
  <c r="C297" i="9"/>
  <c r="C298" i="9"/>
  <c r="C299" i="9"/>
  <c r="C300" i="9"/>
  <c r="C301" i="9"/>
  <c r="C302" i="9"/>
  <c r="C303" i="9"/>
  <c r="C304" i="9"/>
  <c r="C305" i="9"/>
  <c r="C306" i="9"/>
  <c r="C307" i="9"/>
  <c r="C308" i="9"/>
  <c r="C309" i="9"/>
  <c r="C310" i="9"/>
  <c r="C311" i="9"/>
  <c r="C312" i="9"/>
  <c r="C313" i="9"/>
  <c r="C314" i="9"/>
  <c r="C315" i="9"/>
  <c r="C316" i="9"/>
  <c r="C317" i="9"/>
  <c r="C318" i="9"/>
  <c r="C319" i="9"/>
  <c r="C320" i="9"/>
  <c r="C321" i="9"/>
  <c r="C322" i="9"/>
  <c r="C323" i="9"/>
  <c r="C324" i="9"/>
  <c r="C325" i="9"/>
  <c r="C326" i="9"/>
  <c r="C327" i="9"/>
  <c r="C328" i="9"/>
  <c r="C329" i="9"/>
  <c r="C330" i="9"/>
  <c r="C331" i="9"/>
  <c r="C332" i="9"/>
  <c r="C333" i="9"/>
  <c r="C334" i="9"/>
  <c r="C335" i="9"/>
  <c r="C336" i="9"/>
  <c r="C337" i="9"/>
  <c r="C338" i="9"/>
  <c r="C339" i="9"/>
  <c r="C340" i="9"/>
  <c r="C341" i="9"/>
  <c r="C342" i="9"/>
  <c r="C343" i="9"/>
  <c r="C344" i="9"/>
  <c r="C345" i="9"/>
  <c r="C346" i="9"/>
  <c r="C347" i="9"/>
  <c r="C348" i="9"/>
  <c r="C349" i="9"/>
  <c r="C350" i="9"/>
  <c r="C351" i="9"/>
  <c r="C352" i="9"/>
  <c r="C353" i="9"/>
  <c r="C354" i="9"/>
  <c r="C355" i="9"/>
  <c r="C356" i="9"/>
  <c r="C357" i="9"/>
  <c r="C358" i="9"/>
  <c r="C359" i="9"/>
  <c r="C360" i="9"/>
  <c r="C361" i="9"/>
  <c r="C362" i="9"/>
  <c r="C363" i="9"/>
  <c r="C364" i="9"/>
  <c r="C365" i="9"/>
  <c r="C366" i="9"/>
  <c r="C367" i="9"/>
  <c r="C368" i="9"/>
  <c r="C369" i="9"/>
  <c r="C370" i="9"/>
  <c r="C371" i="9"/>
  <c r="C372" i="9"/>
  <c r="C373" i="9"/>
  <c r="C374" i="9"/>
  <c r="C375" i="9"/>
  <c r="C376" i="9"/>
  <c r="C377" i="9"/>
  <c r="C378" i="9"/>
  <c r="C379" i="9"/>
  <c r="C380" i="9"/>
  <c r="C381" i="9"/>
  <c r="C382" i="9"/>
  <c r="C383" i="9"/>
  <c r="C384" i="9"/>
  <c r="C385" i="9"/>
  <c r="C386" i="9"/>
  <c r="C387" i="9"/>
  <c r="C388" i="9"/>
  <c r="C389" i="9"/>
  <c r="C390" i="9"/>
  <c r="C391" i="9"/>
  <c r="C392" i="9"/>
  <c r="C393" i="9"/>
  <c r="C394" i="9"/>
  <c r="C395" i="9"/>
  <c r="C396" i="9"/>
  <c r="C397" i="9"/>
  <c r="C398" i="9"/>
  <c r="C399" i="9"/>
  <c r="C400" i="9"/>
  <c r="C401" i="9"/>
  <c r="C402" i="9"/>
  <c r="C403" i="9"/>
  <c r="C404" i="9"/>
  <c r="C405" i="9"/>
  <c r="C406" i="9"/>
  <c r="C407" i="9"/>
  <c r="C408" i="9"/>
  <c r="C409" i="9"/>
  <c r="C410" i="9"/>
  <c r="C411" i="9"/>
  <c r="C412" i="9"/>
  <c r="C413" i="9"/>
  <c r="C414" i="9"/>
  <c r="C415" i="9"/>
  <c r="C416" i="9"/>
  <c r="C417" i="9"/>
  <c r="C418" i="9"/>
  <c r="C419" i="9"/>
  <c r="C420" i="9"/>
  <c r="C421" i="9"/>
  <c r="C422" i="9"/>
  <c r="C423" i="9"/>
  <c r="C424" i="9"/>
  <c r="C425" i="9"/>
  <c r="C426" i="9"/>
  <c r="C427" i="9"/>
  <c r="C428" i="9"/>
  <c r="C429" i="9"/>
  <c r="C430" i="9"/>
  <c r="C431" i="9"/>
  <c r="C432" i="9"/>
  <c r="C433" i="9"/>
  <c r="C434" i="9"/>
  <c r="C435" i="9"/>
  <c r="C436" i="9"/>
  <c r="C437" i="9"/>
  <c r="C438" i="9"/>
  <c r="C439" i="9"/>
  <c r="C440" i="9"/>
  <c r="C441" i="9"/>
  <c r="C442" i="9"/>
  <c r="C443" i="9"/>
  <c r="C444" i="9"/>
  <c r="C445" i="9"/>
  <c r="C446" i="9"/>
  <c r="C447" i="9"/>
  <c r="C448" i="9"/>
  <c r="C449" i="9"/>
  <c r="C450" i="9"/>
  <c r="C451" i="9"/>
  <c r="C452" i="9"/>
  <c r="C453" i="9"/>
  <c r="C454" i="9"/>
  <c r="C455" i="9"/>
  <c r="C456" i="9"/>
  <c r="C457" i="9"/>
  <c r="C458" i="9"/>
  <c r="C459" i="9"/>
  <c r="C460" i="9"/>
  <c r="C461" i="9"/>
  <c r="C462" i="9"/>
  <c r="C463" i="9"/>
  <c r="C464" i="9"/>
  <c r="C465" i="9"/>
  <c r="C466" i="9"/>
  <c r="C467" i="9"/>
  <c r="C468" i="9"/>
  <c r="C469" i="9"/>
  <c r="C470" i="9"/>
  <c r="C471" i="9"/>
  <c r="C472" i="9"/>
  <c r="C473" i="9"/>
  <c r="C474" i="9"/>
  <c r="C475" i="9"/>
  <c r="C476" i="9"/>
  <c r="C477" i="9"/>
  <c r="C478" i="9"/>
  <c r="C479" i="9"/>
  <c r="C480" i="9"/>
  <c r="C481" i="9"/>
  <c r="C482" i="9"/>
  <c r="C483" i="9"/>
  <c r="C484" i="9"/>
  <c r="C485" i="9"/>
  <c r="C486" i="9"/>
  <c r="C487" i="9"/>
  <c r="C488" i="9"/>
  <c r="C489" i="9"/>
  <c r="C490" i="9"/>
  <c r="C491" i="9"/>
  <c r="C492" i="9"/>
  <c r="C493" i="9"/>
  <c r="C494" i="9"/>
  <c r="C495" i="9"/>
  <c r="C496" i="9"/>
  <c r="C497" i="9"/>
  <c r="C498" i="9"/>
  <c r="C499" i="9"/>
  <c r="C500" i="9"/>
  <c r="C501" i="9"/>
  <c r="C502" i="9"/>
  <c r="C503" i="9"/>
  <c r="C504" i="9"/>
  <c r="C505" i="9"/>
  <c r="C506" i="9"/>
  <c r="C507" i="9"/>
  <c r="C508" i="9"/>
  <c r="C509" i="9"/>
  <c r="C510" i="9"/>
  <c r="C511" i="9"/>
  <c r="C512" i="9"/>
  <c r="C513" i="9"/>
  <c r="C514" i="9"/>
  <c r="C515" i="9"/>
  <c r="C516" i="9"/>
  <c r="C517" i="9"/>
  <c r="C518" i="9"/>
  <c r="C519" i="9"/>
  <c r="C520" i="9"/>
  <c r="C521" i="9"/>
  <c r="C522" i="9"/>
  <c r="C523" i="9"/>
  <c r="C524" i="9"/>
  <c r="C525" i="9"/>
  <c r="C526" i="9"/>
  <c r="C527" i="9"/>
  <c r="C528" i="9"/>
  <c r="C529" i="9"/>
  <c r="C530" i="9"/>
  <c r="C531" i="9"/>
  <c r="C532" i="9"/>
  <c r="C533" i="9"/>
  <c r="C534" i="9"/>
  <c r="C535" i="9"/>
  <c r="C536" i="9"/>
  <c r="C537" i="9"/>
  <c r="C538" i="9"/>
  <c r="C539" i="9"/>
  <c r="C540" i="9"/>
  <c r="C541" i="9"/>
  <c r="C542" i="9"/>
  <c r="C543" i="9"/>
  <c r="C544" i="9"/>
  <c r="C545" i="9"/>
  <c r="C546" i="9"/>
  <c r="C547" i="9"/>
  <c r="C548" i="9"/>
  <c r="C549" i="9"/>
  <c r="C550" i="9"/>
  <c r="C551" i="9"/>
  <c r="C552" i="9"/>
  <c r="C553" i="9"/>
  <c r="C554" i="9"/>
  <c r="C555" i="9"/>
  <c r="C556" i="9"/>
  <c r="C557" i="9"/>
  <c r="C558" i="9"/>
  <c r="C559" i="9"/>
  <c r="C560" i="9"/>
  <c r="C561" i="9"/>
  <c r="C562" i="9"/>
  <c r="C563" i="9"/>
  <c r="C564" i="9"/>
  <c r="C565" i="9"/>
  <c r="C566" i="9"/>
  <c r="C567" i="9"/>
  <c r="C568" i="9"/>
  <c r="C569" i="9"/>
  <c r="C570" i="9"/>
  <c r="C571" i="9"/>
  <c r="C572" i="9"/>
  <c r="C573" i="9"/>
  <c r="C574" i="9"/>
  <c r="C575" i="9"/>
  <c r="C576" i="9"/>
  <c r="C577" i="9"/>
  <c r="C578" i="9"/>
  <c r="C579" i="9"/>
  <c r="C580" i="9"/>
  <c r="C581" i="9"/>
  <c r="C582" i="9"/>
  <c r="C583" i="9"/>
  <c r="C584" i="9"/>
  <c r="C585" i="9"/>
  <c r="C586" i="9"/>
  <c r="C587" i="9"/>
  <c r="C588" i="9"/>
  <c r="C589" i="9"/>
  <c r="C590" i="9"/>
  <c r="C591" i="9"/>
  <c r="C592" i="9"/>
  <c r="C593" i="9"/>
  <c r="C594" i="9"/>
  <c r="C595" i="9"/>
  <c r="C596" i="9"/>
  <c r="C597" i="9"/>
  <c r="C598" i="9"/>
  <c r="C599" i="9"/>
  <c r="C600" i="9"/>
  <c r="C601" i="9"/>
  <c r="C602" i="9"/>
  <c r="C603" i="9"/>
  <c r="C604" i="9"/>
  <c r="C605" i="9"/>
  <c r="C606" i="9"/>
  <c r="C607" i="9"/>
  <c r="C608" i="9"/>
  <c r="C609" i="9"/>
  <c r="C610" i="9"/>
  <c r="C611" i="9"/>
  <c r="C612" i="9"/>
  <c r="C613" i="9"/>
  <c r="C614" i="9"/>
  <c r="C615" i="9"/>
  <c r="C616" i="9"/>
  <c r="C617" i="9"/>
  <c r="C618" i="9"/>
  <c r="C619" i="9"/>
  <c r="C620" i="9"/>
  <c r="C621" i="9"/>
  <c r="C622" i="9"/>
  <c r="C623" i="9"/>
  <c r="C624" i="9"/>
  <c r="C625" i="9"/>
  <c r="C626" i="9"/>
  <c r="C627" i="9"/>
  <c r="C628" i="9"/>
  <c r="C629" i="9"/>
  <c r="C630" i="9"/>
  <c r="C631" i="9"/>
  <c r="C632" i="9"/>
  <c r="C633" i="9"/>
  <c r="C634" i="9"/>
  <c r="C635" i="9"/>
  <c r="C636" i="9"/>
  <c r="C637" i="9"/>
  <c r="C638" i="9"/>
  <c r="C639" i="9"/>
  <c r="C640" i="9"/>
  <c r="C641" i="9"/>
  <c r="C642" i="9"/>
  <c r="C643" i="9"/>
  <c r="C644" i="9"/>
  <c r="C645" i="9"/>
  <c r="C646" i="9"/>
  <c r="C647" i="9"/>
  <c r="C648" i="9"/>
  <c r="C649" i="9"/>
  <c r="C650" i="9"/>
  <c r="C651" i="9"/>
  <c r="C652" i="9"/>
  <c r="C653" i="9"/>
  <c r="C654" i="9"/>
  <c r="C655" i="9"/>
  <c r="C656" i="9"/>
  <c r="C657" i="9"/>
  <c r="C658" i="9"/>
  <c r="C659" i="9"/>
  <c r="C660" i="9"/>
  <c r="C661" i="9"/>
  <c r="C662" i="9"/>
  <c r="C663" i="9"/>
  <c r="C664" i="9"/>
  <c r="C665" i="9"/>
  <c r="C666" i="9"/>
  <c r="C667" i="9"/>
  <c r="C668" i="9"/>
  <c r="C669" i="9"/>
  <c r="C670" i="9"/>
  <c r="C671" i="9"/>
  <c r="C672" i="9"/>
  <c r="C673" i="9"/>
  <c r="C674" i="9"/>
  <c r="C675" i="9"/>
  <c r="C676" i="9"/>
  <c r="C677" i="9"/>
  <c r="C678" i="9"/>
  <c r="C679" i="9"/>
  <c r="C680" i="9"/>
  <c r="C681" i="9"/>
  <c r="C682" i="9"/>
  <c r="C683" i="9"/>
  <c r="C684" i="9"/>
  <c r="C685" i="9"/>
  <c r="C686" i="9"/>
  <c r="C687" i="9"/>
  <c r="C688" i="9"/>
  <c r="C689" i="9"/>
  <c r="C690" i="9"/>
  <c r="C691" i="9"/>
  <c r="C692" i="9"/>
  <c r="C693" i="9"/>
  <c r="C694" i="9"/>
  <c r="C695" i="9"/>
  <c r="C696" i="9"/>
  <c r="C697" i="9"/>
  <c r="C698" i="9"/>
  <c r="C699" i="9"/>
  <c r="C700" i="9"/>
  <c r="C701" i="9"/>
  <c r="C702" i="9"/>
  <c r="C703" i="9"/>
  <c r="C704" i="9"/>
  <c r="C705" i="9"/>
  <c r="C706" i="9"/>
  <c r="C707" i="9"/>
  <c r="C708" i="9"/>
  <c r="C709" i="9"/>
  <c r="C710" i="9"/>
  <c r="C711" i="9"/>
  <c r="C712" i="9"/>
  <c r="C713" i="9"/>
  <c r="C714" i="9"/>
  <c r="C715" i="9"/>
  <c r="C716" i="9"/>
  <c r="C717" i="9"/>
  <c r="C718" i="9"/>
  <c r="C719" i="9"/>
  <c r="C720" i="9"/>
  <c r="C721" i="9"/>
  <c r="C722" i="9"/>
  <c r="C723" i="9"/>
  <c r="C724" i="9"/>
  <c r="C725" i="9"/>
  <c r="C726" i="9"/>
  <c r="C727" i="9"/>
  <c r="C728" i="9"/>
  <c r="C729" i="9"/>
  <c r="C730" i="9"/>
  <c r="C731" i="9"/>
  <c r="C732" i="9"/>
  <c r="C733" i="9"/>
  <c r="C734" i="9"/>
  <c r="C735" i="9"/>
  <c r="C736" i="9"/>
  <c r="C737" i="9"/>
  <c r="C738" i="9"/>
  <c r="C739" i="9"/>
  <c r="C740" i="9"/>
  <c r="C741" i="9"/>
  <c r="C742" i="9"/>
  <c r="C743" i="9"/>
  <c r="C744" i="9"/>
  <c r="C745" i="9"/>
  <c r="C746" i="9"/>
  <c r="C747" i="9"/>
  <c r="C748" i="9"/>
  <c r="C749" i="9"/>
  <c r="C750" i="9"/>
  <c r="C751" i="9"/>
  <c r="C752" i="9"/>
  <c r="C753" i="9"/>
  <c r="C754" i="9"/>
  <c r="C755" i="9"/>
  <c r="C756" i="9"/>
  <c r="C757" i="9"/>
  <c r="C758" i="9"/>
  <c r="C759" i="9"/>
  <c r="C760" i="9"/>
  <c r="C761" i="9"/>
  <c r="C762" i="9"/>
  <c r="C763" i="9"/>
  <c r="C764" i="9"/>
  <c r="C765" i="9"/>
  <c r="C766" i="9"/>
  <c r="C767" i="9"/>
  <c r="C768" i="9"/>
  <c r="C769" i="9"/>
  <c r="C770" i="9"/>
  <c r="C771" i="9"/>
  <c r="C772" i="9"/>
  <c r="C773" i="9"/>
  <c r="C774" i="9"/>
  <c r="C775" i="9"/>
  <c r="C776" i="9"/>
  <c r="C777" i="9"/>
  <c r="C778" i="9"/>
  <c r="C779" i="9"/>
  <c r="C780" i="9"/>
  <c r="C781" i="9"/>
  <c r="C782" i="9"/>
  <c r="C783" i="9"/>
  <c r="C784" i="9"/>
  <c r="C785" i="9"/>
  <c r="C786" i="9"/>
  <c r="C787" i="9"/>
  <c r="C788" i="9"/>
  <c r="C789" i="9"/>
  <c r="C790" i="9"/>
  <c r="C791" i="9"/>
  <c r="C792" i="9"/>
  <c r="C793" i="9"/>
  <c r="C794" i="9"/>
  <c r="C795" i="9"/>
  <c r="C796" i="9"/>
  <c r="C797" i="9"/>
  <c r="C798" i="9"/>
  <c r="C799" i="9"/>
  <c r="C800" i="9"/>
  <c r="C801" i="9"/>
  <c r="C802" i="9"/>
  <c r="C803" i="9"/>
  <c r="C804" i="9"/>
  <c r="C805" i="9"/>
  <c r="C806" i="9"/>
  <c r="C807" i="9"/>
  <c r="C808" i="9"/>
  <c r="C809" i="9"/>
  <c r="C810" i="9"/>
  <c r="C811" i="9"/>
  <c r="C812" i="9"/>
  <c r="C813" i="9"/>
  <c r="C814" i="9"/>
  <c r="C815" i="9"/>
  <c r="C816" i="9"/>
  <c r="C817" i="9"/>
  <c r="C818" i="9"/>
  <c r="C819" i="9"/>
  <c r="C820" i="9"/>
  <c r="C821" i="9"/>
  <c r="C822" i="9"/>
  <c r="C823" i="9"/>
  <c r="C824" i="9"/>
  <c r="C825" i="9"/>
  <c r="C826" i="9"/>
  <c r="C827" i="9"/>
  <c r="C828" i="9"/>
  <c r="C829" i="9"/>
  <c r="C830" i="9"/>
  <c r="C831" i="9"/>
  <c r="C832" i="9"/>
  <c r="C833" i="9"/>
  <c r="C834" i="9"/>
  <c r="C835" i="9"/>
  <c r="C836" i="9"/>
  <c r="C837" i="9"/>
  <c r="C838" i="9"/>
  <c r="C839" i="9"/>
  <c r="C840" i="9"/>
  <c r="C841" i="9"/>
  <c r="C842" i="9"/>
  <c r="C843" i="9"/>
  <c r="C844" i="9"/>
  <c r="C845" i="9"/>
  <c r="C846" i="9"/>
  <c r="C847" i="9"/>
  <c r="C848" i="9"/>
  <c r="C849" i="9"/>
  <c r="C850" i="9"/>
  <c r="C851" i="9"/>
  <c r="C852" i="9"/>
  <c r="C853" i="9"/>
  <c r="C854" i="9"/>
  <c r="C855" i="9"/>
  <c r="C856" i="9"/>
  <c r="C857" i="9"/>
  <c r="C858" i="9"/>
  <c r="C859" i="9"/>
  <c r="C860" i="9"/>
  <c r="C861" i="9"/>
  <c r="C862" i="9"/>
  <c r="C863" i="9"/>
  <c r="C864" i="9"/>
  <c r="C865" i="9"/>
  <c r="C866" i="9"/>
  <c r="C867" i="9"/>
  <c r="C868" i="9"/>
  <c r="C869" i="9"/>
  <c r="C870" i="9"/>
  <c r="C871" i="9"/>
  <c r="C872" i="9"/>
  <c r="C873" i="9"/>
  <c r="C874" i="9"/>
  <c r="C875" i="9"/>
  <c r="C876" i="9"/>
  <c r="C877" i="9"/>
  <c r="C878" i="9"/>
  <c r="C879" i="9"/>
  <c r="C880" i="9"/>
  <c r="C881" i="9"/>
  <c r="C882" i="9"/>
  <c r="C883" i="9"/>
  <c r="C884" i="9"/>
  <c r="C885" i="9"/>
  <c r="C886" i="9"/>
  <c r="C887" i="9"/>
  <c r="C888" i="9"/>
  <c r="C889" i="9"/>
  <c r="C890" i="9"/>
  <c r="C891" i="9"/>
  <c r="C892" i="9"/>
  <c r="C893" i="9"/>
  <c r="C894" i="9"/>
  <c r="C895" i="9"/>
  <c r="C896" i="9"/>
  <c r="C897" i="9"/>
  <c r="C898" i="9"/>
  <c r="C899" i="9"/>
  <c r="C900" i="9"/>
  <c r="C901" i="9"/>
  <c r="C902" i="9"/>
  <c r="C903" i="9"/>
  <c r="C904" i="9"/>
  <c r="C905" i="9"/>
  <c r="C906" i="9"/>
  <c r="C907" i="9"/>
  <c r="C908" i="9"/>
  <c r="C909" i="9"/>
  <c r="C910" i="9"/>
  <c r="C911" i="9"/>
  <c r="C912" i="9"/>
  <c r="C913" i="9"/>
  <c r="C914" i="9"/>
  <c r="C915" i="9"/>
  <c r="C916" i="9"/>
  <c r="C917" i="9"/>
  <c r="C918" i="9"/>
  <c r="C919" i="9"/>
  <c r="C920" i="9"/>
  <c r="C921" i="9"/>
  <c r="C922" i="9"/>
  <c r="C923" i="9"/>
  <c r="C924" i="9"/>
  <c r="C925" i="9"/>
  <c r="C926" i="9"/>
  <c r="C927" i="9"/>
  <c r="C928" i="9"/>
  <c r="C929" i="9"/>
  <c r="C930" i="9"/>
  <c r="C931" i="9"/>
  <c r="C932" i="9"/>
  <c r="C933" i="9"/>
  <c r="C934" i="9"/>
  <c r="C935" i="9"/>
  <c r="C936" i="9"/>
  <c r="C937" i="9"/>
  <c r="C938" i="9"/>
  <c r="C939" i="9"/>
  <c r="C940" i="9"/>
  <c r="C941" i="9"/>
  <c r="C942" i="9"/>
  <c r="C943" i="9"/>
  <c r="C944" i="9"/>
  <c r="C945" i="9"/>
  <c r="C946" i="9"/>
  <c r="C947" i="9"/>
  <c r="C948" i="9"/>
  <c r="C949" i="9"/>
  <c r="C950" i="9"/>
  <c r="C951" i="9"/>
  <c r="C952" i="9"/>
  <c r="C953" i="9"/>
  <c r="C954" i="9"/>
  <c r="C955" i="9"/>
  <c r="C956" i="9"/>
  <c r="C957" i="9"/>
  <c r="C958" i="9"/>
  <c r="C959" i="9"/>
  <c r="C960" i="9"/>
  <c r="C961" i="9"/>
  <c r="C962" i="9"/>
  <c r="C963" i="9"/>
  <c r="C964" i="9"/>
  <c r="C965" i="9"/>
  <c r="C966" i="9"/>
  <c r="C967" i="9"/>
  <c r="C968" i="9"/>
  <c r="C969" i="9"/>
  <c r="C970" i="9"/>
  <c r="C971" i="9"/>
  <c r="C972" i="9"/>
  <c r="C973" i="9"/>
  <c r="C974" i="9"/>
  <c r="C975" i="9"/>
  <c r="C976" i="9"/>
  <c r="C977" i="9"/>
  <c r="C978" i="9"/>
  <c r="C979" i="9"/>
  <c r="C980" i="9"/>
  <c r="C981" i="9"/>
  <c r="C982" i="9"/>
  <c r="C983" i="9"/>
  <c r="C984" i="9"/>
  <c r="C985" i="9"/>
  <c r="C986" i="9"/>
  <c r="C987" i="9"/>
  <c r="C988" i="9"/>
  <c r="C989" i="9"/>
  <c r="C990" i="9"/>
  <c r="C991" i="9"/>
  <c r="C992" i="9"/>
  <c r="C993" i="9"/>
  <c r="C994" i="9"/>
  <c r="C995" i="9"/>
  <c r="C996" i="9"/>
  <c r="C997" i="9"/>
  <c r="C998" i="9"/>
  <c r="C999" i="9"/>
  <c r="C1000" i="9"/>
  <c r="C1001" i="9"/>
  <c r="C1002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B31" i="9"/>
  <c r="B32" i="9"/>
  <c r="B33" i="9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B50" i="9"/>
  <c r="B51" i="9"/>
  <c r="B52" i="9"/>
  <c r="B53" i="9"/>
  <c r="B54" i="9"/>
  <c r="B55" i="9"/>
  <c r="B56" i="9"/>
  <c r="B57" i="9"/>
  <c r="B58" i="9"/>
  <c r="B59" i="9"/>
  <c r="B60" i="9"/>
  <c r="B61" i="9"/>
  <c r="B62" i="9"/>
  <c r="B63" i="9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B87" i="9"/>
  <c r="B88" i="9"/>
  <c r="B89" i="9"/>
  <c r="B90" i="9"/>
  <c r="B91" i="9"/>
  <c r="B92" i="9"/>
  <c r="B93" i="9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129" i="9"/>
  <c r="B130" i="9"/>
  <c r="B131" i="9"/>
  <c r="B132" i="9"/>
  <c r="B133" i="9"/>
  <c r="B134" i="9"/>
  <c r="B135" i="9"/>
  <c r="B136" i="9"/>
  <c r="B137" i="9"/>
  <c r="B138" i="9"/>
  <c r="B139" i="9"/>
  <c r="B140" i="9"/>
  <c r="B141" i="9"/>
  <c r="B142" i="9"/>
  <c r="B143" i="9"/>
  <c r="B144" i="9"/>
  <c r="B145" i="9"/>
  <c r="B146" i="9"/>
  <c r="B147" i="9"/>
  <c r="B148" i="9"/>
  <c r="B149" i="9"/>
  <c r="B150" i="9"/>
  <c r="B151" i="9"/>
  <c r="B152" i="9"/>
  <c r="B153" i="9"/>
  <c r="B154" i="9"/>
  <c r="B155" i="9"/>
  <c r="B156" i="9"/>
  <c r="B157" i="9"/>
  <c r="B158" i="9"/>
  <c r="B159" i="9"/>
  <c r="B160" i="9"/>
  <c r="B161" i="9"/>
  <c r="B162" i="9"/>
  <c r="B163" i="9"/>
  <c r="B164" i="9"/>
  <c r="B165" i="9"/>
  <c r="B166" i="9"/>
  <c r="B167" i="9"/>
  <c r="B168" i="9"/>
  <c r="B169" i="9"/>
  <c r="B170" i="9"/>
  <c r="B171" i="9"/>
  <c r="B172" i="9"/>
  <c r="B173" i="9"/>
  <c r="B174" i="9"/>
  <c r="B175" i="9"/>
  <c r="B176" i="9"/>
  <c r="B177" i="9"/>
  <c r="B178" i="9"/>
  <c r="B179" i="9"/>
  <c r="B180" i="9"/>
  <c r="B181" i="9"/>
  <c r="B182" i="9"/>
  <c r="B183" i="9"/>
  <c r="B184" i="9"/>
  <c r="B185" i="9"/>
  <c r="B186" i="9"/>
  <c r="B187" i="9"/>
  <c r="B188" i="9"/>
  <c r="B189" i="9"/>
  <c r="B190" i="9"/>
  <c r="B191" i="9"/>
  <c r="B192" i="9"/>
  <c r="B193" i="9"/>
  <c r="B194" i="9"/>
  <c r="B195" i="9"/>
  <c r="B196" i="9"/>
  <c r="B197" i="9"/>
  <c r="B198" i="9"/>
  <c r="B199" i="9"/>
  <c r="B200" i="9"/>
  <c r="B201" i="9"/>
  <c r="B202" i="9"/>
  <c r="B203" i="9"/>
  <c r="B204" i="9"/>
  <c r="B205" i="9"/>
  <c r="B206" i="9"/>
  <c r="B207" i="9"/>
  <c r="B208" i="9"/>
  <c r="B209" i="9"/>
  <c r="B210" i="9"/>
  <c r="B211" i="9"/>
  <c r="B212" i="9"/>
  <c r="B213" i="9"/>
  <c r="B214" i="9"/>
  <c r="B215" i="9"/>
  <c r="B216" i="9"/>
  <c r="B217" i="9"/>
  <c r="B218" i="9"/>
  <c r="B219" i="9"/>
  <c r="B220" i="9"/>
  <c r="B221" i="9"/>
  <c r="B222" i="9"/>
  <c r="B223" i="9"/>
  <c r="B224" i="9"/>
  <c r="B225" i="9"/>
  <c r="B226" i="9"/>
  <c r="B227" i="9"/>
  <c r="B228" i="9"/>
  <c r="B229" i="9"/>
  <c r="B230" i="9"/>
  <c r="B231" i="9"/>
  <c r="B232" i="9"/>
  <c r="B233" i="9"/>
  <c r="B234" i="9"/>
  <c r="B235" i="9"/>
  <c r="B236" i="9"/>
  <c r="B237" i="9"/>
  <c r="B238" i="9"/>
  <c r="B239" i="9"/>
  <c r="B240" i="9"/>
  <c r="B241" i="9"/>
  <c r="B242" i="9"/>
  <c r="B243" i="9"/>
  <c r="B244" i="9"/>
  <c r="B245" i="9"/>
  <c r="B246" i="9"/>
  <c r="B247" i="9"/>
  <c r="B248" i="9"/>
  <c r="B249" i="9"/>
  <c r="B250" i="9"/>
  <c r="B251" i="9"/>
  <c r="B252" i="9"/>
  <c r="B253" i="9"/>
  <c r="B254" i="9"/>
  <c r="B255" i="9"/>
  <c r="B256" i="9"/>
  <c r="B257" i="9"/>
  <c r="B258" i="9"/>
  <c r="B259" i="9"/>
  <c r="B260" i="9"/>
  <c r="B261" i="9"/>
  <c r="B262" i="9"/>
  <c r="B263" i="9"/>
  <c r="B264" i="9"/>
  <c r="B265" i="9"/>
  <c r="B266" i="9"/>
  <c r="B267" i="9"/>
  <c r="B268" i="9"/>
  <c r="B269" i="9"/>
  <c r="B270" i="9"/>
  <c r="B271" i="9"/>
  <c r="B272" i="9"/>
  <c r="B273" i="9"/>
  <c r="B274" i="9"/>
  <c r="B275" i="9"/>
  <c r="B276" i="9"/>
  <c r="B277" i="9"/>
  <c r="B278" i="9"/>
  <c r="B279" i="9"/>
  <c r="B280" i="9"/>
  <c r="B281" i="9"/>
  <c r="B282" i="9"/>
  <c r="B283" i="9"/>
  <c r="B284" i="9"/>
  <c r="B285" i="9"/>
  <c r="B286" i="9"/>
  <c r="B287" i="9"/>
  <c r="B288" i="9"/>
  <c r="B289" i="9"/>
  <c r="B290" i="9"/>
  <c r="B291" i="9"/>
  <c r="B292" i="9"/>
  <c r="B293" i="9"/>
  <c r="B294" i="9"/>
  <c r="B295" i="9"/>
  <c r="B296" i="9"/>
  <c r="B297" i="9"/>
  <c r="B298" i="9"/>
  <c r="B299" i="9"/>
  <c r="B300" i="9"/>
  <c r="B301" i="9"/>
  <c r="B302" i="9"/>
  <c r="B303" i="9"/>
  <c r="B304" i="9"/>
  <c r="B305" i="9"/>
  <c r="B306" i="9"/>
  <c r="B307" i="9"/>
  <c r="B308" i="9"/>
  <c r="B309" i="9"/>
  <c r="B310" i="9"/>
  <c r="B311" i="9"/>
  <c r="B312" i="9"/>
  <c r="B313" i="9"/>
  <c r="B314" i="9"/>
  <c r="B315" i="9"/>
  <c r="B316" i="9"/>
  <c r="B317" i="9"/>
  <c r="B318" i="9"/>
  <c r="B319" i="9"/>
  <c r="B320" i="9"/>
  <c r="B321" i="9"/>
  <c r="B322" i="9"/>
  <c r="B323" i="9"/>
  <c r="B324" i="9"/>
  <c r="B325" i="9"/>
  <c r="B326" i="9"/>
  <c r="B327" i="9"/>
  <c r="B328" i="9"/>
  <c r="B329" i="9"/>
  <c r="B330" i="9"/>
  <c r="B331" i="9"/>
  <c r="B332" i="9"/>
  <c r="B333" i="9"/>
  <c r="B334" i="9"/>
  <c r="B335" i="9"/>
  <c r="B336" i="9"/>
  <c r="B337" i="9"/>
  <c r="B338" i="9"/>
  <c r="B339" i="9"/>
  <c r="B340" i="9"/>
  <c r="B341" i="9"/>
  <c r="B342" i="9"/>
  <c r="B343" i="9"/>
  <c r="B344" i="9"/>
  <c r="B345" i="9"/>
  <c r="B346" i="9"/>
  <c r="B347" i="9"/>
  <c r="B348" i="9"/>
  <c r="B349" i="9"/>
  <c r="B350" i="9"/>
  <c r="B351" i="9"/>
  <c r="B352" i="9"/>
  <c r="B353" i="9"/>
  <c r="B354" i="9"/>
  <c r="B355" i="9"/>
  <c r="B356" i="9"/>
  <c r="B357" i="9"/>
  <c r="B358" i="9"/>
  <c r="B359" i="9"/>
  <c r="B360" i="9"/>
  <c r="B361" i="9"/>
  <c r="B362" i="9"/>
  <c r="B363" i="9"/>
  <c r="B364" i="9"/>
  <c r="B365" i="9"/>
  <c r="B366" i="9"/>
  <c r="B367" i="9"/>
  <c r="B368" i="9"/>
  <c r="B369" i="9"/>
  <c r="B370" i="9"/>
  <c r="B371" i="9"/>
  <c r="B372" i="9"/>
  <c r="B373" i="9"/>
  <c r="B374" i="9"/>
  <c r="B375" i="9"/>
  <c r="B376" i="9"/>
  <c r="B377" i="9"/>
  <c r="B378" i="9"/>
  <c r="B379" i="9"/>
  <c r="B380" i="9"/>
  <c r="B381" i="9"/>
  <c r="B382" i="9"/>
  <c r="B383" i="9"/>
  <c r="B384" i="9"/>
  <c r="B385" i="9"/>
  <c r="B386" i="9"/>
  <c r="B387" i="9"/>
  <c r="B388" i="9"/>
  <c r="B389" i="9"/>
  <c r="B390" i="9"/>
  <c r="B391" i="9"/>
  <c r="B392" i="9"/>
  <c r="B393" i="9"/>
  <c r="B394" i="9"/>
  <c r="B395" i="9"/>
  <c r="B396" i="9"/>
  <c r="B397" i="9"/>
  <c r="B398" i="9"/>
  <c r="B399" i="9"/>
  <c r="B400" i="9"/>
  <c r="B401" i="9"/>
  <c r="B402" i="9"/>
  <c r="B403" i="9"/>
  <c r="B404" i="9"/>
  <c r="B405" i="9"/>
  <c r="B406" i="9"/>
  <c r="B407" i="9"/>
  <c r="B408" i="9"/>
  <c r="B409" i="9"/>
  <c r="B410" i="9"/>
  <c r="B411" i="9"/>
  <c r="B412" i="9"/>
  <c r="B413" i="9"/>
  <c r="B414" i="9"/>
  <c r="B415" i="9"/>
  <c r="B416" i="9"/>
  <c r="B417" i="9"/>
  <c r="B418" i="9"/>
  <c r="B419" i="9"/>
  <c r="B420" i="9"/>
  <c r="B421" i="9"/>
  <c r="B422" i="9"/>
  <c r="B423" i="9"/>
  <c r="B424" i="9"/>
  <c r="B425" i="9"/>
  <c r="B426" i="9"/>
  <c r="B427" i="9"/>
  <c r="B428" i="9"/>
  <c r="B429" i="9"/>
  <c r="B430" i="9"/>
  <c r="B431" i="9"/>
  <c r="B432" i="9"/>
  <c r="B433" i="9"/>
  <c r="B434" i="9"/>
  <c r="B435" i="9"/>
  <c r="B436" i="9"/>
  <c r="B437" i="9"/>
  <c r="B438" i="9"/>
  <c r="B439" i="9"/>
  <c r="B440" i="9"/>
  <c r="B441" i="9"/>
  <c r="B442" i="9"/>
  <c r="B443" i="9"/>
  <c r="B444" i="9"/>
  <c r="B445" i="9"/>
  <c r="B446" i="9"/>
  <c r="B447" i="9"/>
  <c r="B448" i="9"/>
  <c r="B449" i="9"/>
  <c r="B450" i="9"/>
  <c r="B451" i="9"/>
  <c r="B452" i="9"/>
  <c r="B453" i="9"/>
  <c r="B454" i="9"/>
  <c r="B455" i="9"/>
  <c r="B456" i="9"/>
  <c r="B457" i="9"/>
  <c r="B458" i="9"/>
  <c r="B459" i="9"/>
  <c r="B460" i="9"/>
  <c r="B461" i="9"/>
  <c r="B462" i="9"/>
  <c r="B463" i="9"/>
  <c r="B464" i="9"/>
  <c r="B465" i="9"/>
  <c r="B466" i="9"/>
  <c r="B467" i="9"/>
  <c r="B468" i="9"/>
  <c r="B469" i="9"/>
  <c r="B470" i="9"/>
  <c r="B471" i="9"/>
  <c r="B472" i="9"/>
  <c r="B473" i="9"/>
  <c r="B474" i="9"/>
  <c r="B475" i="9"/>
  <c r="B476" i="9"/>
  <c r="B477" i="9"/>
  <c r="B478" i="9"/>
  <c r="B479" i="9"/>
  <c r="B480" i="9"/>
  <c r="B481" i="9"/>
  <c r="B482" i="9"/>
  <c r="B483" i="9"/>
  <c r="B484" i="9"/>
  <c r="B485" i="9"/>
  <c r="B486" i="9"/>
  <c r="B487" i="9"/>
  <c r="B488" i="9"/>
  <c r="B489" i="9"/>
  <c r="B490" i="9"/>
  <c r="B491" i="9"/>
  <c r="B492" i="9"/>
  <c r="B493" i="9"/>
  <c r="B494" i="9"/>
  <c r="B495" i="9"/>
  <c r="B496" i="9"/>
  <c r="B497" i="9"/>
  <c r="B498" i="9"/>
  <c r="B499" i="9"/>
  <c r="B500" i="9"/>
  <c r="B501" i="9"/>
  <c r="B502" i="9"/>
  <c r="B503" i="9"/>
  <c r="B504" i="9"/>
  <c r="B505" i="9"/>
  <c r="B506" i="9"/>
  <c r="B507" i="9"/>
  <c r="B508" i="9"/>
  <c r="B509" i="9"/>
  <c r="B510" i="9"/>
  <c r="B511" i="9"/>
  <c r="B512" i="9"/>
  <c r="B513" i="9"/>
  <c r="B514" i="9"/>
  <c r="B515" i="9"/>
  <c r="B516" i="9"/>
  <c r="B517" i="9"/>
  <c r="B518" i="9"/>
  <c r="B519" i="9"/>
  <c r="B520" i="9"/>
  <c r="B521" i="9"/>
  <c r="B522" i="9"/>
  <c r="B523" i="9"/>
  <c r="B524" i="9"/>
  <c r="B525" i="9"/>
  <c r="B526" i="9"/>
  <c r="B527" i="9"/>
  <c r="B528" i="9"/>
  <c r="B529" i="9"/>
  <c r="B530" i="9"/>
  <c r="B531" i="9"/>
  <c r="B532" i="9"/>
  <c r="B533" i="9"/>
  <c r="B534" i="9"/>
  <c r="B535" i="9"/>
  <c r="B536" i="9"/>
  <c r="B537" i="9"/>
  <c r="B538" i="9"/>
  <c r="B539" i="9"/>
  <c r="B540" i="9"/>
  <c r="B541" i="9"/>
  <c r="B542" i="9"/>
  <c r="B543" i="9"/>
  <c r="B544" i="9"/>
  <c r="B545" i="9"/>
  <c r="B546" i="9"/>
  <c r="B547" i="9"/>
  <c r="B548" i="9"/>
  <c r="B549" i="9"/>
  <c r="B550" i="9"/>
  <c r="B551" i="9"/>
  <c r="B552" i="9"/>
  <c r="B553" i="9"/>
  <c r="B554" i="9"/>
  <c r="B555" i="9"/>
  <c r="B556" i="9"/>
  <c r="B557" i="9"/>
  <c r="B558" i="9"/>
  <c r="B559" i="9"/>
  <c r="B560" i="9"/>
  <c r="B561" i="9"/>
  <c r="B562" i="9"/>
  <c r="B563" i="9"/>
  <c r="B564" i="9"/>
  <c r="B565" i="9"/>
  <c r="B566" i="9"/>
  <c r="B567" i="9"/>
  <c r="B568" i="9"/>
  <c r="B569" i="9"/>
  <c r="B570" i="9"/>
  <c r="B571" i="9"/>
  <c r="B572" i="9"/>
  <c r="B573" i="9"/>
  <c r="B574" i="9"/>
  <c r="B575" i="9"/>
  <c r="B576" i="9"/>
  <c r="B577" i="9"/>
  <c r="B578" i="9"/>
  <c r="B579" i="9"/>
  <c r="B580" i="9"/>
  <c r="B581" i="9"/>
  <c r="B582" i="9"/>
  <c r="B583" i="9"/>
  <c r="B584" i="9"/>
  <c r="B585" i="9"/>
  <c r="B586" i="9"/>
  <c r="B587" i="9"/>
  <c r="B588" i="9"/>
  <c r="B589" i="9"/>
  <c r="B590" i="9"/>
  <c r="B591" i="9"/>
  <c r="B592" i="9"/>
  <c r="B593" i="9"/>
  <c r="B594" i="9"/>
  <c r="B595" i="9"/>
  <c r="B596" i="9"/>
  <c r="B597" i="9"/>
  <c r="B598" i="9"/>
  <c r="B599" i="9"/>
  <c r="B600" i="9"/>
  <c r="B601" i="9"/>
  <c r="B602" i="9"/>
  <c r="B603" i="9"/>
  <c r="B604" i="9"/>
  <c r="B605" i="9"/>
  <c r="B606" i="9"/>
  <c r="B607" i="9"/>
  <c r="B608" i="9"/>
  <c r="B609" i="9"/>
  <c r="B610" i="9"/>
  <c r="B611" i="9"/>
  <c r="B612" i="9"/>
  <c r="B613" i="9"/>
  <c r="B614" i="9"/>
  <c r="B615" i="9"/>
  <c r="B616" i="9"/>
  <c r="B617" i="9"/>
  <c r="B618" i="9"/>
  <c r="B619" i="9"/>
  <c r="B620" i="9"/>
  <c r="B621" i="9"/>
  <c r="B622" i="9"/>
  <c r="B623" i="9"/>
  <c r="B624" i="9"/>
  <c r="B625" i="9"/>
  <c r="B626" i="9"/>
  <c r="B627" i="9"/>
  <c r="B628" i="9"/>
  <c r="B629" i="9"/>
  <c r="B630" i="9"/>
  <c r="B631" i="9"/>
  <c r="B632" i="9"/>
  <c r="B633" i="9"/>
  <c r="B634" i="9"/>
  <c r="B635" i="9"/>
  <c r="B636" i="9"/>
  <c r="B637" i="9"/>
  <c r="B638" i="9"/>
  <c r="B639" i="9"/>
  <c r="B640" i="9"/>
  <c r="B641" i="9"/>
  <c r="B642" i="9"/>
  <c r="B643" i="9"/>
  <c r="B644" i="9"/>
  <c r="B645" i="9"/>
  <c r="B646" i="9"/>
  <c r="B647" i="9"/>
  <c r="B648" i="9"/>
  <c r="B649" i="9"/>
  <c r="B650" i="9"/>
  <c r="B651" i="9"/>
  <c r="B652" i="9"/>
  <c r="B653" i="9"/>
  <c r="B654" i="9"/>
  <c r="B655" i="9"/>
  <c r="B656" i="9"/>
  <c r="B657" i="9"/>
  <c r="B658" i="9"/>
  <c r="B659" i="9"/>
  <c r="B660" i="9"/>
  <c r="B661" i="9"/>
  <c r="B662" i="9"/>
  <c r="B663" i="9"/>
  <c r="B664" i="9"/>
  <c r="B665" i="9"/>
  <c r="B666" i="9"/>
  <c r="B667" i="9"/>
  <c r="B668" i="9"/>
  <c r="B669" i="9"/>
  <c r="B670" i="9"/>
  <c r="B671" i="9"/>
  <c r="B672" i="9"/>
  <c r="B673" i="9"/>
  <c r="B674" i="9"/>
  <c r="B675" i="9"/>
  <c r="B676" i="9"/>
  <c r="B677" i="9"/>
  <c r="B678" i="9"/>
  <c r="B679" i="9"/>
  <c r="B680" i="9"/>
  <c r="B681" i="9"/>
  <c r="B682" i="9"/>
  <c r="B683" i="9"/>
  <c r="B684" i="9"/>
  <c r="B685" i="9"/>
  <c r="B686" i="9"/>
  <c r="B687" i="9"/>
  <c r="B688" i="9"/>
  <c r="B689" i="9"/>
  <c r="B690" i="9"/>
  <c r="B691" i="9"/>
  <c r="B692" i="9"/>
  <c r="B693" i="9"/>
  <c r="B694" i="9"/>
  <c r="B695" i="9"/>
  <c r="B696" i="9"/>
  <c r="B697" i="9"/>
  <c r="B698" i="9"/>
  <c r="B699" i="9"/>
  <c r="B700" i="9"/>
  <c r="B701" i="9"/>
  <c r="B702" i="9"/>
  <c r="B703" i="9"/>
  <c r="B704" i="9"/>
  <c r="B705" i="9"/>
  <c r="B706" i="9"/>
  <c r="B707" i="9"/>
  <c r="B708" i="9"/>
  <c r="B709" i="9"/>
  <c r="B710" i="9"/>
  <c r="B711" i="9"/>
  <c r="B712" i="9"/>
  <c r="B713" i="9"/>
  <c r="B714" i="9"/>
  <c r="B715" i="9"/>
  <c r="B716" i="9"/>
  <c r="B717" i="9"/>
  <c r="B718" i="9"/>
  <c r="B719" i="9"/>
  <c r="B720" i="9"/>
  <c r="B721" i="9"/>
  <c r="B722" i="9"/>
  <c r="B723" i="9"/>
  <c r="B724" i="9"/>
  <c r="B725" i="9"/>
  <c r="B726" i="9"/>
  <c r="B727" i="9"/>
  <c r="B728" i="9"/>
  <c r="B729" i="9"/>
  <c r="B730" i="9"/>
  <c r="B731" i="9"/>
  <c r="B732" i="9"/>
  <c r="B733" i="9"/>
  <c r="B734" i="9"/>
  <c r="B735" i="9"/>
  <c r="B736" i="9"/>
  <c r="B737" i="9"/>
  <c r="B738" i="9"/>
  <c r="B739" i="9"/>
  <c r="B740" i="9"/>
  <c r="B741" i="9"/>
  <c r="B742" i="9"/>
  <c r="B743" i="9"/>
  <c r="B744" i="9"/>
  <c r="B745" i="9"/>
  <c r="B746" i="9"/>
  <c r="B747" i="9"/>
  <c r="B748" i="9"/>
  <c r="B749" i="9"/>
  <c r="B750" i="9"/>
  <c r="B751" i="9"/>
  <c r="B752" i="9"/>
  <c r="B753" i="9"/>
  <c r="B754" i="9"/>
  <c r="B755" i="9"/>
  <c r="B756" i="9"/>
  <c r="B757" i="9"/>
  <c r="B758" i="9"/>
  <c r="B759" i="9"/>
  <c r="B760" i="9"/>
  <c r="B761" i="9"/>
  <c r="B762" i="9"/>
  <c r="B763" i="9"/>
  <c r="B764" i="9"/>
  <c r="B765" i="9"/>
  <c r="B766" i="9"/>
  <c r="B767" i="9"/>
  <c r="B768" i="9"/>
  <c r="B769" i="9"/>
  <c r="B770" i="9"/>
  <c r="B771" i="9"/>
  <c r="B772" i="9"/>
  <c r="B773" i="9"/>
  <c r="B774" i="9"/>
  <c r="B775" i="9"/>
  <c r="B776" i="9"/>
  <c r="B777" i="9"/>
  <c r="B778" i="9"/>
  <c r="B779" i="9"/>
  <c r="B780" i="9"/>
  <c r="B781" i="9"/>
  <c r="B782" i="9"/>
  <c r="B783" i="9"/>
  <c r="B784" i="9"/>
  <c r="B785" i="9"/>
  <c r="B786" i="9"/>
  <c r="B787" i="9"/>
  <c r="B788" i="9"/>
  <c r="B789" i="9"/>
  <c r="B790" i="9"/>
  <c r="B791" i="9"/>
  <c r="B792" i="9"/>
  <c r="B793" i="9"/>
  <c r="B794" i="9"/>
  <c r="B795" i="9"/>
  <c r="B796" i="9"/>
  <c r="B797" i="9"/>
  <c r="B798" i="9"/>
  <c r="B799" i="9"/>
  <c r="B800" i="9"/>
  <c r="B801" i="9"/>
  <c r="B802" i="9"/>
  <c r="B803" i="9"/>
  <c r="B804" i="9"/>
  <c r="B805" i="9"/>
  <c r="B806" i="9"/>
  <c r="B807" i="9"/>
  <c r="B808" i="9"/>
  <c r="B809" i="9"/>
  <c r="B810" i="9"/>
  <c r="B811" i="9"/>
  <c r="B812" i="9"/>
  <c r="B813" i="9"/>
  <c r="B814" i="9"/>
  <c r="B815" i="9"/>
  <c r="B816" i="9"/>
  <c r="B817" i="9"/>
  <c r="B818" i="9"/>
  <c r="B819" i="9"/>
  <c r="B820" i="9"/>
  <c r="B821" i="9"/>
  <c r="B822" i="9"/>
  <c r="B823" i="9"/>
  <c r="B824" i="9"/>
  <c r="B825" i="9"/>
  <c r="B826" i="9"/>
  <c r="B827" i="9"/>
  <c r="B828" i="9"/>
  <c r="B829" i="9"/>
  <c r="B830" i="9"/>
  <c r="B831" i="9"/>
  <c r="B832" i="9"/>
  <c r="B833" i="9"/>
  <c r="B834" i="9"/>
  <c r="B835" i="9"/>
  <c r="B836" i="9"/>
  <c r="B837" i="9"/>
  <c r="B838" i="9"/>
  <c r="B839" i="9"/>
  <c r="B840" i="9"/>
  <c r="B841" i="9"/>
  <c r="B842" i="9"/>
  <c r="B843" i="9"/>
  <c r="B844" i="9"/>
  <c r="B845" i="9"/>
  <c r="B846" i="9"/>
  <c r="B847" i="9"/>
  <c r="B848" i="9"/>
  <c r="B849" i="9"/>
  <c r="B850" i="9"/>
  <c r="B851" i="9"/>
  <c r="B852" i="9"/>
  <c r="B853" i="9"/>
  <c r="B854" i="9"/>
  <c r="B855" i="9"/>
  <c r="B856" i="9"/>
  <c r="B857" i="9"/>
  <c r="B858" i="9"/>
  <c r="B859" i="9"/>
  <c r="B860" i="9"/>
  <c r="B861" i="9"/>
  <c r="B862" i="9"/>
  <c r="B863" i="9"/>
  <c r="B864" i="9"/>
  <c r="B865" i="9"/>
  <c r="B866" i="9"/>
  <c r="B867" i="9"/>
  <c r="B868" i="9"/>
  <c r="B869" i="9"/>
  <c r="B870" i="9"/>
  <c r="B871" i="9"/>
  <c r="B872" i="9"/>
  <c r="B873" i="9"/>
  <c r="B874" i="9"/>
  <c r="B875" i="9"/>
  <c r="B876" i="9"/>
  <c r="B877" i="9"/>
  <c r="B878" i="9"/>
  <c r="B879" i="9"/>
  <c r="B880" i="9"/>
  <c r="B881" i="9"/>
  <c r="B882" i="9"/>
  <c r="B883" i="9"/>
  <c r="B884" i="9"/>
  <c r="B885" i="9"/>
  <c r="B886" i="9"/>
  <c r="B887" i="9"/>
  <c r="B888" i="9"/>
  <c r="B889" i="9"/>
  <c r="B890" i="9"/>
  <c r="B891" i="9"/>
  <c r="B892" i="9"/>
  <c r="B893" i="9"/>
  <c r="B894" i="9"/>
  <c r="B895" i="9"/>
  <c r="B896" i="9"/>
  <c r="B897" i="9"/>
  <c r="B898" i="9"/>
  <c r="B899" i="9"/>
  <c r="B900" i="9"/>
  <c r="B901" i="9"/>
  <c r="B902" i="9"/>
  <c r="B903" i="9"/>
  <c r="B904" i="9"/>
  <c r="B905" i="9"/>
  <c r="B906" i="9"/>
  <c r="B907" i="9"/>
  <c r="B908" i="9"/>
  <c r="B909" i="9"/>
  <c r="B910" i="9"/>
  <c r="B911" i="9"/>
  <c r="B912" i="9"/>
  <c r="B913" i="9"/>
  <c r="B914" i="9"/>
  <c r="B915" i="9"/>
  <c r="B916" i="9"/>
  <c r="B917" i="9"/>
  <c r="B918" i="9"/>
  <c r="B919" i="9"/>
  <c r="B920" i="9"/>
  <c r="B921" i="9"/>
  <c r="B922" i="9"/>
  <c r="B923" i="9"/>
  <c r="B924" i="9"/>
  <c r="B925" i="9"/>
  <c r="B926" i="9"/>
  <c r="B927" i="9"/>
  <c r="B928" i="9"/>
  <c r="B929" i="9"/>
  <c r="B930" i="9"/>
  <c r="B931" i="9"/>
  <c r="B932" i="9"/>
  <c r="B933" i="9"/>
  <c r="B934" i="9"/>
  <c r="B935" i="9"/>
  <c r="B936" i="9"/>
  <c r="B937" i="9"/>
  <c r="B938" i="9"/>
  <c r="B939" i="9"/>
  <c r="B940" i="9"/>
  <c r="B941" i="9"/>
  <c r="B942" i="9"/>
  <c r="B943" i="9"/>
  <c r="B944" i="9"/>
  <c r="B945" i="9"/>
  <c r="B946" i="9"/>
  <c r="B947" i="9"/>
  <c r="B948" i="9"/>
  <c r="B949" i="9"/>
  <c r="B950" i="9"/>
  <c r="B951" i="9"/>
  <c r="B952" i="9"/>
  <c r="B953" i="9"/>
  <c r="B954" i="9"/>
  <c r="B955" i="9"/>
  <c r="B956" i="9"/>
  <c r="B957" i="9"/>
  <c r="B958" i="9"/>
  <c r="B959" i="9"/>
  <c r="B960" i="9"/>
  <c r="B961" i="9"/>
  <c r="B962" i="9"/>
  <c r="B963" i="9"/>
  <c r="B964" i="9"/>
  <c r="B965" i="9"/>
  <c r="B966" i="9"/>
  <c r="B967" i="9"/>
  <c r="B968" i="9"/>
  <c r="B969" i="9"/>
  <c r="B970" i="9"/>
  <c r="B971" i="9"/>
  <c r="B972" i="9"/>
  <c r="B973" i="9"/>
  <c r="B974" i="9"/>
  <c r="B975" i="9"/>
  <c r="B976" i="9"/>
  <c r="B977" i="9"/>
  <c r="B978" i="9"/>
  <c r="B979" i="9"/>
  <c r="B980" i="9"/>
  <c r="B981" i="9"/>
  <c r="B982" i="9"/>
  <c r="B983" i="9"/>
  <c r="B984" i="9"/>
  <c r="B985" i="9"/>
  <c r="B986" i="9"/>
  <c r="B987" i="9"/>
  <c r="B988" i="9"/>
  <c r="B989" i="9"/>
  <c r="B990" i="9"/>
  <c r="B991" i="9"/>
  <c r="B992" i="9"/>
  <c r="B993" i="9"/>
  <c r="B994" i="9"/>
  <c r="B995" i="9"/>
  <c r="B996" i="9"/>
  <c r="B997" i="9"/>
  <c r="B998" i="9"/>
  <c r="B999" i="9"/>
  <c r="B1000" i="9"/>
  <c r="B1001" i="9"/>
  <c r="B1002" i="9"/>
  <c r="H2" i="5"/>
  <c r="H3" i="5"/>
  <c r="H4" i="5"/>
  <c r="H5" i="5"/>
  <c r="H6" i="5"/>
  <c r="H7" i="5"/>
  <c r="H8" i="5"/>
  <c r="H9" i="5"/>
  <c r="H10" i="5"/>
  <c r="H11" i="5"/>
  <c r="H12" i="5"/>
  <c r="H13" i="5"/>
  <c r="H14" i="5"/>
  <c r="H15" i="5"/>
  <c r="H16" i="5"/>
  <c r="H17" i="5"/>
  <c r="H18" i="5"/>
  <c r="H19" i="5"/>
  <c r="H20" i="5"/>
  <c r="H21" i="5"/>
  <c r="H22" i="5"/>
  <c r="H23" i="5"/>
  <c r="H24" i="5"/>
  <c r="H25" i="5"/>
  <c r="H26" i="5"/>
  <c r="H27" i="5"/>
  <c r="H28" i="5"/>
  <c r="H29" i="5"/>
  <c r="H30" i="5"/>
  <c r="H31" i="5"/>
  <c r="H32" i="5"/>
  <c r="H33" i="5"/>
  <c r="H34" i="5"/>
  <c r="H35" i="5"/>
  <c r="H36" i="5"/>
  <c r="H37" i="5"/>
  <c r="H38" i="5"/>
  <c r="H39" i="5"/>
  <c r="H40" i="5"/>
  <c r="H41" i="5"/>
  <c r="H42" i="5"/>
  <c r="H43" i="5"/>
  <c r="H44" i="5"/>
  <c r="H45" i="5"/>
  <c r="H46" i="5"/>
  <c r="H47" i="5"/>
  <c r="H48" i="5"/>
  <c r="H49" i="5"/>
  <c r="H50" i="5"/>
  <c r="H51" i="5"/>
  <c r="H52" i="5"/>
  <c r="H53" i="5"/>
  <c r="H54" i="5"/>
  <c r="H55" i="5"/>
  <c r="H56" i="5"/>
  <c r="H57" i="5"/>
  <c r="H58" i="5"/>
  <c r="H59" i="5"/>
  <c r="H60" i="5"/>
  <c r="H61" i="5"/>
  <c r="H62" i="5"/>
  <c r="H63" i="5"/>
  <c r="H64" i="5"/>
  <c r="H65" i="5"/>
  <c r="H66" i="5"/>
  <c r="H67" i="5"/>
  <c r="H68" i="5"/>
  <c r="H69" i="5"/>
  <c r="H70" i="5"/>
  <c r="H71" i="5"/>
  <c r="H72" i="5"/>
  <c r="H73" i="5"/>
  <c r="H74" i="5"/>
  <c r="H75" i="5"/>
  <c r="H76" i="5"/>
  <c r="H77" i="5"/>
  <c r="H78" i="5"/>
  <c r="H79" i="5"/>
  <c r="H80" i="5"/>
  <c r="H81" i="5"/>
  <c r="H82" i="5"/>
  <c r="H83" i="5"/>
  <c r="H84" i="5"/>
  <c r="H85" i="5"/>
  <c r="H86" i="5"/>
  <c r="H87" i="5"/>
  <c r="H88" i="5"/>
  <c r="H89" i="5"/>
  <c r="H90" i="5"/>
  <c r="H91" i="5"/>
  <c r="H92" i="5"/>
  <c r="H93" i="5"/>
  <c r="H94" i="5"/>
  <c r="H95" i="5"/>
  <c r="H96" i="5"/>
  <c r="H97" i="5"/>
  <c r="H98" i="5"/>
  <c r="H99" i="5"/>
  <c r="H100" i="5"/>
  <c r="H101" i="5"/>
  <c r="H102" i="5"/>
  <c r="H103" i="5"/>
  <c r="H104" i="5"/>
  <c r="H105" i="5"/>
  <c r="H106" i="5"/>
  <c r="H107" i="5"/>
  <c r="H108" i="5"/>
  <c r="H109" i="5"/>
  <c r="H110" i="5"/>
  <c r="H111" i="5"/>
  <c r="H112" i="5"/>
  <c r="H113" i="5"/>
  <c r="H114" i="5"/>
  <c r="H115" i="5"/>
  <c r="H116" i="5"/>
  <c r="H117" i="5"/>
  <c r="H118" i="5"/>
  <c r="H119" i="5"/>
  <c r="H120" i="5"/>
  <c r="H121" i="5"/>
  <c r="H122" i="5"/>
  <c r="H123" i="5"/>
  <c r="H124" i="5"/>
  <c r="H125" i="5"/>
  <c r="H126" i="5"/>
  <c r="H127" i="5"/>
  <c r="H128" i="5"/>
  <c r="H129" i="5"/>
  <c r="H130" i="5"/>
  <c r="H131" i="5"/>
  <c r="H132" i="5"/>
  <c r="H133" i="5"/>
  <c r="H134" i="5"/>
  <c r="H135" i="5"/>
  <c r="H136" i="5"/>
  <c r="H137" i="5"/>
  <c r="H138" i="5"/>
  <c r="H139" i="5"/>
  <c r="H140" i="5"/>
  <c r="H141" i="5"/>
  <c r="H142" i="5"/>
  <c r="H143" i="5"/>
  <c r="H144" i="5"/>
  <c r="H145" i="5"/>
  <c r="H146" i="5"/>
  <c r="H147" i="5"/>
  <c r="H148" i="5"/>
  <c r="H149" i="5"/>
  <c r="H150" i="5"/>
  <c r="H151" i="5"/>
  <c r="H152" i="5"/>
  <c r="H153" i="5"/>
  <c r="H154" i="5"/>
  <c r="H155" i="5"/>
  <c r="H156" i="5"/>
  <c r="H157" i="5"/>
  <c r="H158" i="5"/>
  <c r="H159" i="5"/>
  <c r="H160" i="5"/>
  <c r="H161" i="5"/>
  <c r="H162" i="5"/>
  <c r="H163" i="5"/>
  <c r="H164" i="5"/>
  <c r="H165" i="5"/>
  <c r="H166" i="5"/>
  <c r="H167" i="5"/>
  <c r="H168" i="5"/>
  <c r="H169" i="5"/>
  <c r="H170" i="5"/>
  <c r="H171" i="5"/>
  <c r="H172" i="5"/>
  <c r="H173" i="5"/>
  <c r="H174" i="5"/>
  <c r="H175" i="5"/>
  <c r="H176" i="5"/>
  <c r="H177" i="5"/>
  <c r="H178" i="5"/>
  <c r="H179" i="5"/>
  <c r="H180" i="5"/>
  <c r="H181" i="5"/>
  <c r="H182" i="5"/>
  <c r="H183" i="5"/>
  <c r="H184" i="5"/>
  <c r="H185" i="5"/>
  <c r="H186" i="5"/>
  <c r="H187" i="5"/>
  <c r="H188" i="5"/>
  <c r="H189" i="5"/>
  <c r="H190" i="5"/>
  <c r="H191" i="5"/>
  <c r="H192" i="5"/>
  <c r="H193" i="5"/>
  <c r="H194" i="5"/>
  <c r="H195" i="5"/>
  <c r="H196" i="5"/>
  <c r="H197" i="5"/>
  <c r="H198" i="5"/>
  <c r="H199" i="5"/>
  <c r="H200" i="5"/>
  <c r="H201" i="5"/>
  <c r="H202" i="5"/>
  <c r="H203" i="5"/>
  <c r="H204" i="5"/>
  <c r="H205" i="5"/>
  <c r="H206" i="5"/>
  <c r="H207" i="5"/>
  <c r="H208" i="5"/>
  <c r="H209" i="5"/>
  <c r="H210" i="5"/>
  <c r="H211" i="5"/>
  <c r="H212" i="5"/>
  <c r="H213" i="5"/>
  <c r="H214" i="5"/>
  <c r="H215" i="5"/>
  <c r="H216" i="5"/>
  <c r="H217" i="5"/>
  <c r="H218" i="5"/>
  <c r="H219" i="5"/>
  <c r="H220" i="5"/>
  <c r="H221" i="5"/>
  <c r="H222" i="5"/>
  <c r="H223" i="5"/>
  <c r="H224" i="5"/>
  <c r="H225" i="5"/>
  <c r="H226" i="5"/>
  <c r="H227" i="5"/>
  <c r="H228" i="5"/>
  <c r="H229" i="5"/>
  <c r="H230" i="5"/>
  <c r="H231" i="5"/>
  <c r="H232" i="5"/>
  <c r="H233" i="5"/>
  <c r="H234" i="5"/>
  <c r="H235" i="5"/>
  <c r="H236" i="5"/>
  <c r="H237" i="5"/>
  <c r="H238" i="5"/>
  <c r="H239" i="5"/>
  <c r="H240" i="5"/>
  <c r="H241" i="5"/>
  <c r="H242" i="5"/>
  <c r="H243" i="5"/>
  <c r="H244" i="5"/>
  <c r="H245" i="5"/>
  <c r="H246" i="5"/>
  <c r="H247" i="5"/>
  <c r="H248" i="5"/>
  <c r="H249" i="5"/>
  <c r="H250" i="5"/>
  <c r="H251" i="5"/>
  <c r="H252" i="5"/>
  <c r="H253" i="5"/>
  <c r="H254" i="5"/>
  <c r="H255" i="5"/>
  <c r="H256" i="5"/>
  <c r="H257" i="5"/>
  <c r="H258" i="5"/>
  <c r="H259" i="5"/>
  <c r="H260" i="5"/>
  <c r="H261" i="5"/>
  <c r="H262" i="5"/>
  <c r="H263" i="5"/>
  <c r="H264" i="5"/>
  <c r="H265" i="5"/>
  <c r="H266" i="5"/>
  <c r="H267" i="5"/>
  <c r="H268" i="5"/>
  <c r="H269" i="5"/>
  <c r="H270" i="5"/>
  <c r="H271" i="5"/>
  <c r="H272" i="5"/>
  <c r="H273" i="5"/>
  <c r="H274" i="5"/>
  <c r="H275" i="5"/>
  <c r="H276" i="5"/>
  <c r="H277" i="5"/>
  <c r="H278" i="5"/>
  <c r="H279" i="5"/>
  <c r="H280" i="5"/>
  <c r="H281" i="5"/>
  <c r="H282" i="5"/>
  <c r="H283" i="5"/>
  <c r="H284" i="5"/>
  <c r="H285" i="5"/>
  <c r="H286" i="5"/>
  <c r="H287" i="5"/>
  <c r="H288" i="5"/>
  <c r="H289" i="5"/>
  <c r="H290" i="5"/>
  <c r="H291" i="5"/>
  <c r="H292" i="5"/>
  <c r="H293" i="5"/>
  <c r="H294" i="5"/>
  <c r="H295" i="5"/>
  <c r="H296" i="5"/>
  <c r="H297" i="5"/>
  <c r="H298" i="5"/>
  <c r="H299" i="5"/>
  <c r="H300" i="5"/>
  <c r="H301" i="5"/>
  <c r="H302" i="5"/>
  <c r="H303" i="5"/>
  <c r="H304" i="5"/>
  <c r="H305" i="5"/>
  <c r="H306" i="5"/>
  <c r="H307" i="5"/>
  <c r="H308" i="5"/>
  <c r="H309" i="5"/>
  <c r="H310" i="5"/>
  <c r="H311" i="5"/>
  <c r="H312" i="5"/>
  <c r="H313" i="5"/>
  <c r="H314" i="5"/>
  <c r="H315" i="5"/>
  <c r="H316" i="5"/>
  <c r="H317" i="5"/>
  <c r="H318" i="5"/>
  <c r="H319" i="5"/>
  <c r="H320" i="5"/>
  <c r="H321" i="5"/>
  <c r="H322" i="5"/>
  <c r="H323" i="5"/>
  <c r="H324" i="5"/>
  <c r="H325" i="5"/>
  <c r="H326" i="5"/>
  <c r="H327" i="5"/>
  <c r="H328" i="5"/>
  <c r="H329" i="5"/>
  <c r="H330" i="5"/>
  <c r="H331" i="5"/>
  <c r="H332" i="5"/>
  <c r="H333" i="5"/>
  <c r="H334" i="5"/>
  <c r="H335" i="5"/>
  <c r="H336" i="5"/>
  <c r="H337" i="5"/>
  <c r="H338" i="5"/>
  <c r="H339" i="5"/>
  <c r="H340" i="5"/>
  <c r="H341" i="5"/>
  <c r="H342" i="5"/>
  <c r="H343" i="5"/>
  <c r="H344" i="5"/>
  <c r="H345" i="5"/>
  <c r="H346" i="5"/>
  <c r="H347" i="5"/>
  <c r="H348" i="5"/>
  <c r="H349" i="5"/>
  <c r="H350" i="5"/>
  <c r="H351" i="5"/>
  <c r="H352" i="5"/>
  <c r="H353" i="5"/>
  <c r="H354" i="5"/>
  <c r="H355" i="5"/>
  <c r="H356" i="5"/>
  <c r="H357" i="5"/>
  <c r="H358" i="5"/>
  <c r="H359" i="5"/>
  <c r="H360" i="5"/>
  <c r="H361" i="5"/>
  <c r="H362" i="5"/>
  <c r="H363" i="5"/>
  <c r="H364" i="5"/>
  <c r="H365" i="5"/>
  <c r="H366" i="5"/>
  <c r="H367" i="5"/>
  <c r="H368" i="5"/>
  <c r="H369" i="5"/>
  <c r="H370" i="5"/>
  <c r="H371" i="5"/>
  <c r="H372" i="5"/>
  <c r="H373" i="5"/>
  <c r="H374" i="5"/>
  <c r="H375" i="5"/>
  <c r="H376" i="5"/>
  <c r="H377" i="5"/>
  <c r="H378" i="5"/>
  <c r="H379" i="5"/>
  <c r="H380" i="5"/>
  <c r="H381" i="5"/>
  <c r="H382" i="5"/>
  <c r="H383" i="5"/>
  <c r="H384" i="5"/>
  <c r="H385" i="5"/>
  <c r="H386" i="5"/>
  <c r="H387" i="5"/>
  <c r="H388" i="5"/>
  <c r="H389" i="5"/>
  <c r="H390" i="5"/>
  <c r="H391" i="5"/>
  <c r="H392" i="5"/>
  <c r="H393" i="5"/>
  <c r="H394" i="5"/>
  <c r="H395" i="5"/>
  <c r="H396" i="5"/>
  <c r="H397" i="5"/>
  <c r="H398" i="5"/>
  <c r="H399" i="5"/>
  <c r="H400" i="5"/>
  <c r="H401" i="5"/>
  <c r="H402" i="5"/>
  <c r="H403" i="5"/>
  <c r="H404" i="5"/>
  <c r="H405" i="5"/>
  <c r="H406" i="5"/>
  <c r="H407" i="5"/>
  <c r="H408" i="5"/>
  <c r="H409" i="5"/>
  <c r="H410" i="5"/>
  <c r="H411" i="5"/>
  <c r="H412" i="5"/>
  <c r="H413" i="5"/>
  <c r="H414" i="5"/>
  <c r="H415" i="5"/>
  <c r="H416" i="5"/>
  <c r="H417" i="5"/>
  <c r="H418" i="5"/>
  <c r="H419" i="5"/>
  <c r="H420" i="5"/>
  <c r="H421" i="5"/>
  <c r="H422" i="5"/>
  <c r="H423" i="5"/>
  <c r="H424" i="5"/>
  <c r="H425" i="5"/>
  <c r="H426" i="5"/>
  <c r="H427" i="5"/>
  <c r="H428" i="5"/>
  <c r="H429" i="5"/>
  <c r="H430" i="5"/>
  <c r="H431" i="5"/>
  <c r="H432" i="5"/>
  <c r="H433" i="5"/>
  <c r="H434" i="5"/>
  <c r="H435" i="5"/>
  <c r="H436" i="5"/>
  <c r="H437" i="5"/>
  <c r="H438" i="5"/>
  <c r="H439" i="5"/>
  <c r="H440" i="5"/>
  <c r="H441" i="5"/>
  <c r="H442" i="5"/>
  <c r="H443" i="5"/>
  <c r="H444" i="5"/>
  <c r="H445" i="5"/>
  <c r="H446" i="5"/>
  <c r="H447" i="5"/>
  <c r="H448" i="5"/>
  <c r="H449" i="5"/>
  <c r="H450" i="5"/>
  <c r="H451" i="5"/>
  <c r="H452" i="5"/>
  <c r="H453" i="5"/>
  <c r="H454" i="5"/>
  <c r="H455" i="5"/>
  <c r="H456" i="5"/>
  <c r="H457" i="5"/>
  <c r="H458" i="5"/>
  <c r="H459" i="5"/>
  <c r="H460" i="5"/>
  <c r="H461" i="5"/>
  <c r="H462" i="5"/>
  <c r="H463" i="5"/>
  <c r="H464" i="5"/>
  <c r="H465" i="5"/>
  <c r="H466" i="5"/>
  <c r="H467" i="5"/>
  <c r="H468" i="5"/>
  <c r="H469" i="5"/>
  <c r="H470" i="5"/>
  <c r="H471" i="5"/>
  <c r="H472" i="5"/>
  <c r="H473" i="5"/>
  <c r="H474" i="5"/>
  <c r="H475" i="5"/>
  <c r="H476" i="5"/>
  <c r="H477" i="5"/>
  <c r="H478" i="5"/>
  <c r="H479" i="5"/>
  <c r="H480" i="5"/>
  <c r="H481" i="5"/>
  <c r="H482" i="5"/>
  <c r="H483" i="5"/>
  <c r="H484" i="5"/>
  <c r="H485" i="5"/>
  <c r="H486" i="5"/>
  <c r="H487" i="5"/>
  <c r="H488" i="5"/>
  <c r="H489" i="5"/>
  <c r="H490" i="5"/>
  <c r="H491" i="5"/>
  <c r="H492" i="5"/>
  <c r="H493" i="5"/>
  <c r="H494" i="5"/>
  <c r="H495" i="5"/>
  <c r="H496" i="5"/>
  <c r="H497" i="5"/>
  <c r="H498" i="5"/>
  <c r="H499" i="5"/>
  <c r="H500" i="5"/>
  <c r="H501" i="5"/>
  <c r="H502" i="5"/>
  <c r="H503" i="5"/>
  <c r="H504" i="5"/>
  <c r="H505" i="5"/>
  <c r="H506" i="5"/>
  <c r="H507" i="5"/>
  <c r="H508" i="5"/>
  <c r="H509" i="5"/>
  <c r="H510" i="5"/>
  <c r="H511" i="5"/>
  <c r="H512" i="5"/>
  <c r="H513" i="5"/>
  <c r="H514" i="5"/>
  <c r="H515" i="5"/>
  <c r="H516" i="5"/>
  <c r="H517" i="5"/>
  <c r="H518" i="5"/>
  <c r="H519" i="5"/>
  <c r="H520" i="5"/>
  <c r="H521" i="5"/>
  <c r="H522" i="5"/>
  <c r="H523" i="5"/>
  <c r="H524" i="5"/>
  <c r="H525" i="5"/>
  <c r="H526" i="5"/>
  <c r="H527" i="5"/>
  <c r="H528" i="5"/>
  <c r="H529" i="5"/>
  <c r="H530" i="5"/>
  <c r="H531" i="5"/>
  <c r="H532" i="5"/>
  <c r="H533" i="5"/>
  <c r="H534" i="5"/>
  <c r="H535" i="5"/>
  <c r="H536" i="5"/>
  <c r="H537" i="5"/>
  <c r="H538" i="5"/>
  <c r="H539" i="5"/>
  <c r="H540" i="5"/>
  <c r="H541" i="5"/>
  <c r="H542" i="5"/>
  <c r="H543" i="5"/>
  <c r="H544" i="5"/>
  <c r="H545" i="5"/>
  <c r="H546" i="5"/>
  <c r="H547" i="5"/>
  <c r="H548" i="5"/>
  <c r="H549" i="5"/>
  <c r="H550" i="5"/>
  <c r="H551" i="5"/>
  <c r="H552" i="5"/>
  <c r="H553" i="5"/>
  <c r="H554" i="5"/>
  <c r="H555" i="5"/>
  <c r="H556" i="5"/>
  <c r="H557" i="5"/>
  <c r="H558" i="5"/>
  <c r="H559" i="5"/>
  <c r="H560" i="5"/>
  <c r="H561" i="5"/>
  <c r="H562" i="5"/>
  <c r="H563" i="5"/>
  <c r="H564" i="5"/>
  <c r="H565" i="5"/>
  <c r="H566" i="5"/>
  <c r="H567" i="5"/>
  <c r="H568" i="5"/>
  <c r="H569" i="5"/>
  <c r="H570" i="5"/>
  <c r="H571" i="5"/>
  <c r="H572" i="5"/>
  <c r="H573" i="5"/>
  <c r="H574" i="5"/>
  <c r="H575" i="5"/>
  <c r="H576" i="5"/>
  <c r="H577" i="5"/>
  <c r="H578" i="5"/>
  <c r="H579" i="5"/>
  <c r="H580" i="5"/>
  <c r="H581" i="5"/>
  <c r="H582" i="5"/>
  <c r="H583" i="5"/>
  <c r="H584" i="5"/>
  <c r="H585" i="5"/>
  <c r="H586" i="5"/>
  <c r="H587" i="5"/>
  <c r="H588" i="5"/>
  <c r="H589" i="5"/>
  <c r="H590" i="5"/>
  <c r="H591" i="5"/>
  <c r="H592" i="5"/>
  <c r="H593" i="5"/>
  <c r="H594" i="5"/>
  <c r="H595" i="5"/>
  <c r="H596" i="5"/>
  <c r="H607" i="5"/>
  <c r="H608" i="5"/>
  <c r="H609" i="5"/>
  <c r="H610" i="5"/>
  <c r="H611" i="5"/>
  <c r="H612" i="5"/>
  <c r="H613" i="5"/>
  <c r="H614" i="5"/>
  <c r="H615" i="5"/>
  <c r="H616" i="5"/>
  <c r="H617" i="5"/>
  <c r="H618" i="5"/>
  <c r="H619" i="5"/>
  <c r="H620" i="5"/>
  <c r="H621" i="5"/>
  <c r="H622" i="5"/>
  <c r="H623" i="5"/>
  <c r="H624" i="5"/>
  <c r="H625" i="5"/>
  <c r="H626" i="5"/>
  <c r="H627" i="5"/>
  <c r="H628" i="5"/>
  <c r="H629" i="5"/>
  <c r="H630" i="5"/>
  <c r="H631" i="5"/>
  <c r="H632" i="5"/>
  <c r="H633" i="5"/>
  <c r="H634" i="5"/>
  <c r="H635" i="5"/>
  <c r="H636" i="5"/>
  <c r="H637" i="5"/>
  <c r="H638" i="5"/>
  <c r="H639" i="5"/>
  <c r="H640" i="5"/>
  <c r="H641" i="5"/>
  <c r="H642" i="5"/>
  <c r="H643" i="5"/>
  <c r="H644" i="5"/>
  <c r="H645" i="5"/>
  <c r="H646" i="5"/>
  <c r="H647" i="5"/>
  <c r="H648" i="5"/>
  <c r="H649" i="5"/>
  <c r="H650" i="5"/>
  <c r="H651" i="5"/>
  <c r="H652" i="5"/>
  <c r="H653" i="5"/>
  <c r="H654" i="5"/>
  <c r="H655" i="5"/>
  <c r="H656" i="5"/>
  <c r="H657" i="5"/>
  <c r="H658" i="5"/>
  <c r="H659" i="5"/>
  <c r="H660" i="5"/>
  <c r="H661" i="5"/>
  <c r="H662" i="5"/>
  <c r="H663" i="5"/>
  <c r="H664" i="5"/>
  <c r="H665" i="5"/>
  <c r="H666" i="5"/>
  <c r="H667" i="5"/>
  <c r="H668" i="5"/>
  <c r="H669" i="5"/>
  <c r="H670" i="5"/>
  <c r="H671" i="5"/>
  <c r="H672" i="5"/>
  <c r="H673" i="5"/>
  <c r="H674" i="5"/>
  <c r="H675" i="5"/>
  <c r="H676" i="5"/>
  <c r="H677" i="5"/>
  <c r="H678" i="5"/>
  <c r="H679" i="5"/>
  <c r="H680" i="5"/>
  <c r="H681" i="5"/>
  <c r="H682" i="5"/>
  <c r="H683" i="5"/>
  <c r="H684" i="5"/>
  <c r="H685" i="5"/>
  <c r="H686" i="5"/>
  <c r="H687" i="5"/>
  <c r="H688" i="5"/>
  <c r="H689" i="5"/>
  <c r="H690" i="5"/>
  <c r="H691" i="5"/>
  <c r="H692" i="5"/>
  <c r="H693" i="5"/>
  <c r="H694" i="5"/>
  <c r="H695" i="5"/>
  <c r="H696" i="5"/>
  <c r="H697" i="5"/>
  <c r="H698" i="5"/>
  <c r="H699" i="5"/>
  <c r="H700" i="5"/>
  <c r="H701" i="5"/>
  <c r="H702" i="5"/>
  <c r="H703" i="5"/>
  <c r="H704" i="5"/>
  <c r="H705" i="5"/>
  <c r="H706" i="5"/>
  <c r="H707" i="5"/>
  <c r="H708" i="5"/>
  <c r="H709" i="5"/>
  <c r="H710" i="5"/>
  <c r="H711" i="5"/>
  <c r="H712" i="5"/>
  <c r="H713" i="5"/>
  <c r="H714" i="5"/>
  <c r="H715" i="5"/>
  <c r="H716" i="5"/>
  <c r="H717" i="5"/>
  <c r="H718" i="5"/>
  <c r="H719" i="5"/>
  <c r="H720" i="5"/>
  <c r="H721" i="5"/>
  <c r="H722" i="5"/>
  <c r="H723" i="5"/>
  <c r="H724" i="5"/>
  <c r="H725" i="5"/>
  <c r="H726" i="5"/>
  <c r="H727" i="5"/>
  <c r="H728" i="5"/>
  <c r="H729" i="5"/>
  <c r="H730" i="5"/>
  <c r="H731" i="5"/>
  <c r="H732" i="5"/>
  <c r="H733" i="5"/>
  <c r="H734" i="5"/>
  <c r="H735" i="5"/>
  <c r="H736" i="5"/>
  <c r="H737" i="5"/>
  <c r="H738" i="5"/>
  <c r="H739" i="5"/>
  <c r="H740" i="5"/>
  <c r="H741" i="5"/>
  <c r="H742" i="5"/>
  <c r="H743" i="5"/>
  <c r="H744" i="5"/>
  <c r="H745" i="5"/>
  <c r="H746" i="5"/>
  <c r="H747" i="5"/>
  <c r="H748" i="5"/>
  <c r="H749" i="5"/>
  <c r="H750" i="5"/>
  <c r="H751" i="5"/>
  <c r="H752" i="5"/>
  <c r="H753" i="5"/>
  <c r="H754" i="5"/>
  <c r="H755" i="5"/>
  <c r="H756" i="5"/>
  <c r="H757" i="5"/>
  <c r="H758" i="5"/>
  <c r="H759" i="5"/>
  <c r="H760" i="5"/>
  <c r="H761" i="5"/>
  <c r="H762" i="5"/>
  <c r="H763" i="5"/>
  <c r="H764" i="5"/>
  <c r="H765" i="5"/>
  <c r="H766" i="5"/>
  <c r="H767" i="5"/>
  <c r="H768" i="5"/>
  <c r="H769" i="5"/>
  <c r="H770" i="5"/>
  <c r="H771" i="5"/>
  <c r="H772" i="5"/>
  <c r="H773" i="5"/>
  <c r="H774" i="5"/>
  <c r="H775" i="5"/>
  <c r="H776" i="5"/>
  <c r="H777" i="5"/>
  <c r="H778" i="5"/>
  <c r="H779" i="5"/>
  <c r="H780" i="5"/>
  <c r="H781" i="5"/>
  <c r="H782" i="5"/>
  <c r="H783" i="5"/>
  <c r="H784" i="5"/>
  <c r="H785" i="5"/>
  <c r="H786" i="5"/>
  <c r="H787" i="5"/>
  <c r="H788" i="5"/>
  <c r="H789" i="5"/>
  <c r="H790" i="5"/>
  <c r="H791" i="5"/>
  <c r="H792" i="5"/>
  <c r="H793" i="5"/>
  <c r="H794" i="5"/>
  <c r="H795" i="5"/>
  <c r="H796" i="5"/>
  <c r="H797" i="5"/>
  <c r="H798" i="5"/>
  <c r="H799" i="5"/>
  <c r="H800" i="5"/>
  <c r="H801" i="5"/>
  <c r="H802" i="5"/>
  <c r="H803" i="5"/>
  <c r="H804" i="5"/>
  <c r="H805" i="5"/>
  <c r="H806" i="5"/>
  <c r="H807" i="5"/>
  <c r="H808" i="5"/>
  <c r="H810" i="5"/>
  <c r="H811" i="5"/>
  <c r="H812" i="5"/>
  <c r="H813" i="5"/>
  <c r="H814" i="5"/>
  <c r="H815" i="5"/>
  <c r="H816" i="5"/>
  <c r="H817" i="5"/>
  <c r="H818" i="5"/>
  <c r="H819" i="5"/>
  <c r="H820" i="5"/>
  <c r="H821" i="5"/>
  <c r="H822" i="5"/>
  <c r="H823" i="5"/>
  <c r="H824" i="5"/>
  <c r="H825" i="5"/>
  <c r="H826" i="5"/>
  <c r="H827" i="5"/>
  <c r="H828" i="5"/>
  <c r="H829" i="5"/>
  <c r="H830" i="5"/>
  <c r="H831" i="5"/>
  <c r="H832" i="5"/>
  <c r="H833" i="5"/>
  <c r="H834" i="5"/>
  <c r="H835" i="5"/>
  <c r="H836" i="5"/>
  <c r="H837" i="5"/>
  <c r="H838" i="5"/>
  <c r="H839" i="5"/>
  <c r="H840" i="5"/>
  <c r="H841" i="5"/>
  <c r="H842" i="5"/>
  <c r="H843" i="5"/>
  <c r="H844" i="5"/>
  <c r="H845" i="5"/>
  <c r="H846" i="5"/>
  <c r="H847" i="5"/>
  <c r="H848" i="5"/>
  <c r="H849" i="5"/>
  <c r="H850" i="5"/>
  <c r="H851" i="5"/>
  <c r="H852" i="5"/>
  <c r="H853" i="5"/>
  <c r="H854" i="5"/>
  <c r="H855" i="5"/>
  <c r="H856" i="5"/>
  <c r="H857" i="5"/>
  <c r="H858" i="5"/>
  <c r="H859" i="5"/>
  <c r="H860" i="5"/>
  <c r="H861" i="5"/>
  <c r="H862" i="5"/>
  <c r="H863" i="5"/>
  <c r="H864" i="5"/>
  <c r="H865" i="5"/>
  <c r="H866" i="5"/>
  <c r="H867" i="5"/>
  <c r="H868" i="5"/>
  <c r="H869" i="5"/>
  <c r="H870" i="5"/>
  <c r="H871" i="5"/>
  <c r="H872" i="5"/>
  <c r="H873" i="5"/>
  <c r="H874" i="5"/>
  <c r="H875" i="5"/>
  <c r="H876" i="5"/>
  <c r="H877" i="5"/>
  <c r="H878" i="5"/>
  <c r="H879" i="5"/>
  <c r="H880" i="5"/>
  <c r="H881" i="5"/>
  <c r="H882" i="5"/>
  <c r="H883" i="5"/>
  <c r="H884" i="5"/>
  <c r="H885" i="5"/>
  <c r="H886" i="5"/>
  <c r="H887" i="5"/>
  <c r="H888" i="5"/>
  <c r="H889" i="5"/>
  <c r="H890" i="5"/>
  <c r="H891" i="5"/>
  <c r="H892" i="5"/>
  <c r="H893" i="5"/>
  <c r="H894" i="5"/>
  <c r="H895" i="5"/>
  <c r="H896" i="5"/>
  <c r="H897" i="5"/>
  <c r="H898" i="5"/>
  <c r="H899" i="5"/>
  <c r="H900" i="5"/>
  <c r="H901" i="5"/>
  <c r="H902" i="5"/>
  <c r="H903" i="5"/>
  <c r="H904" i="5"/>
  <c r="H905" i="5"/>
  <c r="H906" i="5"/>
  <c r="H907" i="5"/>
  <c r="H908" i="5"/>
  <c r="H909" i="5"/>
  <c r="H910" i="5"/>
  <c r="H911" i="5"/>
  <c r="H912" i="5"/>
  <c r="H913" i="5"/>
  <c r="H914" i="5"/>
  <c r="H915" i="5"/>
  <c r="H916" i="5"/>
  <c r="H917" i="5"/>
  <c r="H918" i="5"/>
  <c r="H919" i="5"/>
  <c r="H920" i="5"/>
  <c r="H921" i="5"/>
  <c r="H922" i="5"/>
  <c r="H923" i="5"/>
  <c r="H924" i="5"/>
  <c r="H925" i="5"/>
  <c r="H926" i="5"/>
  <c r="H927" i="5"/>
  <c r="H928" i="5"/>
  <c r="H929" i="5"/>
  <c r="H930" i="5"/>
  <c r="H931" i="5"/>
  <c r="H932" i="5"/>
  <c r="H933" i="5"/>
  <c r="H934" i="5"/>
  <c r="H935" i="5"/>
  <c r="H936" i="5"/>
  <c r="H937" i="5"/>
  <c r="H938" i="5"/>
  <c r="H939" i="5"/>
  <c r="H940" i="5"/>
  <c r="H941" i="5"/>
  <c r="H942" i="5"/>
  <c r="H943" i="5"/>
  <c r="H944" i="5"/>
  <c r="H945" i="5"/>
  <c r="H946" i="5"/>
  <c r="H947" i="5"/>
  <c r="H948" i="5"/>
  <c r="H949" i="5"/>
  <c r="H950" i="5"/>
  <c r="H951" i="5"/>
  <c r="H952" i="5"/>
  <c r="H953" i="5"/>
  <c r="H954" i="5"/>
  <c r="H955" i="5"/>
  <c r="H956" i="5"/>
  <c r="H957" i="5"/>
  <c r="H958" i="5"/>
  <c r="H959" i="5"/>
  <c r="H960" i="5"/>
  <c r="H961" i="5"/>
  <c r="H962" i="5"/>
  <c r="H963" i="5"/>
  <c r="H964" i="5"/>
  <c r="H965" i="5"/>
  <c r="H966" i="5"/>
  <c r="H967" i="5"/>
  <c r="H968" i="5"/>
  <c r="H969" i="5"/>
  <c r="H970" i="5"/>
  <c r="H971" i="5"/>
  <c r="H972" i="5"/>
  <c r="H973" i="5"/>
  <c r="H974" i="5"/>
  <c r="H975" i="5"/>
  <c r="H976" i="5"/>
  <c r="H977" i="5"/>
  <c r="H978" i="5"/>
  <c r="H979" i="5"/>
  <c r="H980" i="5"/>
  <c r="H981" i="5"/>
  <c r="H982" i="5"/>
  <c r="H983" i="5"/>
  <c r="H984" i="5"/>
  <c r="H985" i="5"/>
  <c r="H986" i="5"/>
  <c r="H987" i="5"/>
  <c r="H988" i="5"/>
  <c r="H989" i="5"/>
  <c r="H990" i="5"/>
  <c r="H991" i="5"/>
  <c r="H992" i="5"/>
  <c r="H993" i="5"/>
  <c r="H994" i="5"/>
  <c r="H995" i="5"/>
  <c r="H996" i="5"/>
  <c r="H997" i="5"/>
  <c r="H998" i="5"/>
  <c r="H999" i="5"/>
  <c r="H1000" i="5"/>
  <c r="H1001" i="5"/>
  <c r="H1002" i="5"/>
  <c r="H1003" i="5"/>
  <c r="H1004" i="5"/>
  <c r="H1005" i="5"/>
  <c r="H1006" i="5"/>
  <c r="H1007" i="5"/>
  <c r="H1008" i="5"/>
  <c r="H1009" i="5"/>
  <c r="H1010" i="5"/>
  <c r="H1011" i="5"/>
  <c r="H1012" i="5"/>
  <c r="H1013" i="5"/>
  <c r="H1014" i="5"/>
  <c r="H1015" i="5"/>
  <c r="H1016" i="5"/>
  <c r="H1017" i="5"/>
  <c r="H1018" i="5"/>
  <c r="H1019" i="5"/>
  <c r="H1020" i="5"/>
  <c r="H1021" i="5"/>
  <c r="H1022" i="5"/>
  <c r="H1023" i="5"/>
  <c r="H1024" i="5"/>
  <c r="H1025" i="5"/>
  <c r="H1026" i="5"/>
  <c r="H1027" i="5"/>
  <c r="H1028" i="5"/>
  <c r="H1029" i="5"/>
  <c r="H1030" i="5"/>
  <c r="H1031" i="5"/>
  <c r="H1032" i="5"/>
  <c r="H1033" i="5"/>
  <c r="H1034" i="5"/>
  <c r="H1035" i="5"/>
  <c r="H1036" i="5"/>
  <c r="H1037" i="5"/>
  <c r="H1038" i="5"/>
  <c r="H1039" i="5"/>
  <c r="H1040" i="5"/>
  <c r="H1041" i="5"/>
  <c r="H1042" i="5"/>
  <c r="H1043" i="5"/>
  <c r="H1044" i="5"/>
  <c r="H1045" i="5"/>
  <c r="H1046" i="5"/>
  <c r="H1047" i="5"/>
  <c r="H1048" i="5"/>
  <c r="H1049" i="5"/>
  <c r="H1050" i="5"/>
  <c r="H1051" i="5"/>
  <c r="H1052" i="5"/>
  <c r="H1053" i="5"/>
  <c r="H1054" i="5"/>
  <c r="H1055" i="5"/>
  <c r="H1056" i="5"/>
  <c r="H1057" i="5"/>
  <c r="H1058" i="5"/>
  <c r="H1059" i="5"/>
  <c r="H1060" i="5"/>
  <c r="H1061" i="5"/>
  <c r="H1062" i="5"/>
  <c r="H1063" i="5"/>
  <c r="H1064" i="5"/>
  <c r="H1065" i="5"/>
  <c r="H1066" i="5"/>
  <c r="H1067" i="5"/>
  <c r="H1068" i="5"/>
  <c r="H1069" i="5"/>
  <c r="H1070" i="5"/>
  <c r="H1071" i="5"/>
  <c r="H1072" i="5"/>
  <c r="H1073" i="5"/>
  <c r="H1074" i="5"/>
  <c r="H1075" i="5"/>
  <c r="H1076" i="5"/>
  <c r="H1077" i="5"/>
  <c r="H1078" i="5"/>
  <c r="H1079" i="5"/>
  <c r="H1080" i="5"/>
  <c r="H1081" i="5"/>
  <c r="H1082" i="5"/>
  <c r="H1083" i="5"/>
  <c r="H1084" i="5"/>
  <c r="H1085" i="5"/>
  <c r="H1086" i="5"/>
  <c r="H1087" i="5"/>
  <c r="H1088" i="5"/>
  <c r="H1089" i="5"/>
  <c r="H1090" i="5"/>
  <c r="H1091" i="5"/>
  <c r="H1092" i="5"/>
  <c r="H1093" i="5"/>
  <c r="H1094" i="5"/>
  <c r="H1095" i="5"/>
  <c r="H1096" i="5"/>
  <c r="H1097" i="5"/>
  <c r="H1098" i="5"/>
  <c r="H1099" i="5"/>
  <c r="H1100" i="5"/>
  <c r="H1101" i="5"/>
  <c r="H1102" i="5"/>
  <c r="H1103" i="5"/>
  <c r="H1104" i="5"/>
  <c r="H1105" i="5"/>
  <c r="H1106" i="5"/>
  <c r="H1107" i="5"/>
  <c r="H1108" i="5"/>
  <c r="H1109" i="5"/>
  <c r="H1110" i="5"/>
  <c r="H1111" i="5"/>
  <c r="H1112" i="5"/>
  <c r="H1113" i="5"/>
  <c r="H1114" i="5"/>
  <c r="H1115" i="5"/>
  <c r="H1116" i="5"/>
  <c r="H1117" i="5"/>
  <c r="H1118" i="5"/>
  <c r="H1119" i="5"/>
  <c r="H1120" i="5"/>
  <c r="H1121" i="5"/>
  <c r="H1122" i="5"/>
  <c r="H1123" i="5"/>
  <c r="H1124" i="5"/>
  <c r="H1125" i="5"/>
  <c r="H1126" i="5"/>
  <c r="H1127" i="5"/>
  <c r="H1128" i="5"/>
  <c r="H1129" i="5"/>
  <c r="H1130" i="5"/>
  <c r="H1131" i="5"/>
  <c r="H1132" i="5"/>
  <c r="H1133" i="5"/>
  <c r="H1134" i="5"/>
  <c r="H1135" i="5"/>
  <c r="H1136" i="5"/>
  <c r="H1137" i="5"/>
  <c r="H1138" i="5"/>
  <c r="H1139" i="5"/>
  <c r="H1140" i="5"/>
  <c r="H1141" i="5"/>
  <c r="H1142" i="5"/>
  <c r="H1143" i="5"/>
  <c r="H1144" i="5"/>
  <c r="H1145" i="5"/>
  <c r="H1146" i="5"/>
  <c r="H1147" i="5"/>
  <c r="H1148" i="5"/>
  <c r="H1149" i="5"/>
  <c r="H1150" i="5"/>
  <c r="H1151" i="5"/>
  <c r="H1152" i="5"/>
  <c r="H1153" i="5"/>
  <c r="H1154" i="5"/>
  <c r="H1155" i="5"/>
  <c r="H1156" i="5"/>
  <c r="H1157" i="5"/>
  <c r="H1158" i="5"/>
  <c r="H1159" i="5"/>
  <c r="H1160" i="5"/>
  <c r="H1161" i="5"/>
  <c r="H1162" i="5"/>
  <c r="H1163" i="5"/>
  <c r="H1164" i="5"/>
  <c r="H1165" i="5"/>
  <c r="H1166" i="5"/>
  <c r="H1167" i="5"/>
  <c r="H1168" i="5"/>
  <c r="H1169" i="5"/>
  <c r="H1170" i="5"/>
  <c r="H1171" i="5"/>
  <c r="H1172" i="5"/>
  <c r="H1173" i="5"/>
  <c r="H1174" i="5"/>
  <c r="H1175" i="5"/>
  <c r="H1176" i="5"/>
  <c r="H1177" i="5"/>
  <c r="H1178" i="5"/>
  <c r="H1179" i="5"/>
  <c r="H1180" i="5"/>
  <c r="H1181" i="5"/>
  <c r="H1183" i="5"/>
  <c r="H1184" i="5"/>
  <c r="H1185" i="5"/>
  <c r="H1186" i="5"/>
  <c r="H1187" i="5"/>
  <c r="H1188" i="5"/>
  <c r="H1189" i="5"/>
  <c r="H1190" i="5"/>
  <c r="H1191" i="5"/>
  <c r="H1192" i="5"/>
  <c r="H1193" i="5"/>
  <c r="H1194" i="5"/>
  <c r="H1195" i="5"/>
  <c r="H1196" i="5"/>
  <c r="H1197" i="5"/>
  <c r="H1198" i="5"/>
  <c r="H1199" i="5"/>
  <c r="H1200" i="5"/>
  <c r="H1201" i="5"/>
  <c r="H1202" i="5"/>
  <c r="H1203" i="5"/>
  <c r="H1204" i="5"/>
  <c r="H1205" i="5"/>
  <c r="H1206" i="5"/>
  <c r="H1207" i="5"/>
  <c r="H1208" i="5"/>
  <c r="H1209" i="5"/>
  <c r="H1210" i="5"/>
  <c r="H1211" i="5"/>
  <c r="H1212" i="5"/>
  <c r="H1213" i="5"/>
  <c r="H1214" i="5"/>
  <c r="H1215" i="5"/>
  <c r="H1216" i="5"/>
  <c r="H1217" i="5"/>
  <c r="H1218" i="5"/>
  <c r="H1219" i="5"/>
  <c r="H1220" i="5"/>
  <c r="H1221" i="5"/>
  <c r="H1222" i="5"/>
  <c r="H1223" i="5"/>
  <c r="H1224" i="5"/>
  <c r="H1225" i="5"/>
  <c r="H1226" i="5"/>
  <c r="H1227" i="5"/>
  <c r="H1228" i="5"/>
  <c r="H1229" i="5"/>
  <c r="H1230" i="5"/>
  <c r="H1231" i="5"/>
  <c r="H1232" i="5"/>
  <c r="H1233" i="5"/>
  <c r="H1234" i="5"/>
  <c r="H1235" i="5"/>
  <c r="H1236" i="5"/>
  <c r="H1237" i="5"/>
  <c r="H1238" i="5"/>
  <c r="H1239" i="5"/>
  <c r="H1240" i="5"/>
  <c r="H1241" i="5"/>
  <c r="H1242" i="5"/>
  <c r="H1243" i="5"/>
  <c r="H1244" i="5"/>
  <c r="H1245" i="5"/>
  <c r="H1246" i="5"/>
  <c r="H1247" i="5"/>
  <c r="H1248" i="5"/>
  <c r="H1249" i="5"/>
  <c r="H1250" i="5"/>
  <c r="H1251" i="5"/>
  <c r="H1252" i="5"/>
  <c r="H1253" i="5"/>
  <c r="H1254" i="5"/>
  <c r="H1255" i="5"/>
  <c r="H1256" i="5"/>
  <c r="H1257" i="5"/>
  <c r="H1258" i="5"/>
  <c r="H1259" i="5"/>
  <c r="H1260" i="5"/>
  <c r="H1261" i="5"/>
  <c r="H1262" i="5"/>
  <c r="H1263" i="5"/>
  <c r="H1264" i="5"/>
  <c r="H1265" i="5"/>
  <c r="H1266" i="5"/>
  <c r="H1267" i="5"/>
  <c r="H1268" i="5"/>
  <c r="H1269" i="5"/>
  <c r="H1270" i="5"/>
  <c r="H1271" i="5"/>
  <c r="H1272" i="5"/>
  <c r="H1273" i="5"/>
  <c r="H1274" i="5"/>
  <c r="H1275" i="5"/>
  <c r="H1276" i="5"/>
  <c r="H1277" i="5"/>
  <c r="H1278" i="5"/>
  <c r="H1279" i="5"/>
  <c r="H1280" i="5"/>
  <c r="H1281" i="5"/>
  <c r="H1282" i="5"/>
  <c r="H1283" i="5"/>
  <c r="H1284" i="5"/>
  <c r="H1285" i="5"/>
  <c r="H1286" i="5"/>
  <c r="H1287" i="5"/>
  <c r="H1288" i="5"/>
  <c r="H1289" i="5"/>
  <c r="H1290" i="5"/>
  <c r="H1291" i="5"/>
  <c r="H1292" i="5"/>
  <c r="H1293" i="5"/>
  <c r="H1294" i="5"/>
  <c r="H1295" i="5"/>
  <c r="H1296" i="5"/>
  <c r="H1297" i="5"/>
  <c r="H1298" i="5"/>
  <c r="H1299" i="5"/>
  <c r="H1300" i="5"/>
  <c r="H1301" i="5"/>
  <c r="H1303" i="5"/>
  <c r="H1304" i="5"/>
  <c r="H1305" i="5"/>
  <c r="H1306" i="5"/>
  <c r="H1307" i="5"/>
  <c r="H1308" i="5"/>
  <c r="H1309" i="5"/>
  <c r="H1310" i="5"/>
  <c r="H1311" i="5"/>
  <c r="H1312" i="5"/>
  <c r="H1313" i="5"/>
  <c r="H1314" i="5"/>
  <c r="H1315" i="5"/>
  <c r="H1316" i="5"/>
  <c r="H1317" i="5"/>
  <c r="H1318" i="5"/>
  <c r="H1319" i="5"/>
  <c r="H1320" i="5"/>
  <c r="H1321" i="5"/>
  <c r="H1322" i="5"/>
  <c r="H1323" i="5"/>
  <c r="H1324" i="5"/>
  <c r="H1325" i="5"/>
  <c r="H1326" i="5"/>
  <c r="H1327" i="5"/>
  <c r="H1328" i="5"/>
  <c r="H1329" i="5"/>
  <c r="H1330" i="5"/>
  <c r="H1331" i="5"/>
  <c r="H1332" i="5"/>
  <c r="H1333" i="5"/>
  <c r="H1334" i="5"/>
  <c r="H1335" i="5"/>
  <c r="H1336" i="5"/>
  <c r="H1337" i="5"/>
  <c r="H1338" i="5"/>
  <c r="H1339" i="5"/>
  <c r="H1340" i="5"/>
  <c r="H1341" i="5"/>
  <c r="H1342" i="5"/>
  <c r="H1343" i="5"/>
  <c r="H1344" i="5"/>
  <c r="H1345" i="5"/>
  <c r="H1346" i="5"/>
  <c r="H1347" i="5"/>
  <c r="H1348" i="5"/>
  <c r="H1349" i="5"/>
  <c r="H1350" i="5"/>
  <c r="H1351" i="5"/>
  <c r="H1352" i="5"/>
  <c r="H1353" i="5"/>
  <c r="H1354" i="5"/>
  <c r="H1355" i="5"/>
  <c r="H1356" i="5"/>
  <c r="H1357" i="5"/>
  <c r="H1358" i="5"/>
  <c r="H1359" i="5"/>
  <c r="H1360" i="5"/>
  <c r="H1361" i="5"/>
  <c r="H1362" i="5"/>
  <c r="H1363" i="5"/>
  <c r="H1364" i="5"/>
  <c r="H1365" i="5"/>
  <c r="H1366" i="5"/>
  <c r="H1367" i="5"/>
  <c r="H1368" i="5"/>
  <c r="H1369" i="5"/>
  <c r="H1370" i="5"/>
  <c r="H1371" i="5"/>
  <c r="H1372" i="5"/>
  <c r="H1373" i="5"/>
  <c r="H1374" i="5"/>
  <c r="H1375" i="5"/>
  <c r="H1376" i="5"/>
  <c r="H1377" i="5"/>
  <c r="H1378" i="5"/>
  <c r="H1379" i="5"/>
  <c r="H1380" i="5"/>
  <c r="H1381" i="5"/>
  <c r="H1382" i="5"/>
  <c r="H1383" i="5"/>
  <c r="H1384" i="5"/>
  <c r="H1385" i="5"/>
  <c r="H1386" i="5"/>
  <c r="H1387" i="5"/>
  <c r="H1388" i="5"/>
  <c r="H1389" i="5"/>
  <c r="H1390" i="5"/>
  <c r="H1391" i="5"/>
  <c r="H1392" i="5"/>
  <c r="H1393" i="5"/>
  <c r="H1394" i="5"/>
  <c r="H1395" i="5"/>
  <c r="H1396" i="5"/>
  <c r="H1397" i="5"/>
  <c r="H1398" i="5"/>
  <c r="H1399" i="5"/>
  <c r="H1400" i="5"/>
  <c r="H1401" i="5"/>
  <c r="H1402" i="5"/>
  <c r="H1403" i="5"/>
  <c r="H1404" i="5"/>
  <c r="H1405" i="5"/>
  <c r="H1406" i="5"/>
  <c r="H1407" i="5"/>
  <c r="H1408" i="5"/>
  <c r="H1409" i="5"/>
  <c r="H1410" i="5"/>
  <c r="H1411" i="5"/>
  <c r="H1412" i="5"/>
  <c r="H1413" i="5"/>
  <c r="H1414" i="5"/>
  <c r="H1415" i="5"/>
  <c r="H1416" i="5"/>
  <c r="H1417" i="5"/>
  <c r="H1418" i="5"/>
  <c r="H1419" i="5"/>
  <c r="H1420" i="5"/>
  <c r="H1421" i="5"/>
  <c r="H1422" i="5"/>
  <c r="H1423" i="5"/>
  <c r="H1424" i="5"/>
  <c r="H1425" i="5"/>
  <c r="H1426" i="5"/>
  <c r="H1427" i="5"/>
  <c r="H1428" i="5"/>
  <c r="H1429" i="5"/>
  <c r="H1430" i="5"/>
  <c r="H1431" i="5"/>
  <c r="H1432" i="5"/>
  <c r="H1433" i="5"/>
  <c r="H1434" i="5"/>
  <c r="H1435" i="5"/>
  <c r="H1436" i="5"/>
  <c r="H1437" i="5"/>
  <c r="H1438" i="5"/>
  <c r="H1439" i="5"/>
  <c r="H1440" i="5"/>
  <c r="H1441" i="5"/>
  <c r="H1442" i="5"/>
  <c r="H1443" i="5"/>
  <c r="H1444" i="5"/>
  <c r="H1445" i="5"/>
  <c r="H1446" i="5"/>
  <c r="H1447" i="5"/>
  <c r="H1448" i="5"/>
  <c r="H1449" i="5"/>
  <c r="H1450" i="5"/>
  <c r="H1451" i="5"/>
  <c r="H1452" i="5"/>
  <c r="H1453" i="5"/>
  <c r="H1454" i="5"/>
  <c r="H1455" i="5"/>
  <c r="H1456" i="5"/>
  <c r="H1457" i="5"/>
  <c r="H1458" i="5"/>
  <c r="H1459" i="5"/>
  <c r="H1460" i="5"/>
  <c r="H1461" i="5"/>
  <c r="H1462" i="5"/>
  <c r="H1463" i="5"/>
  <c r="H1464" i="5"/>
  <c r="H1465" i="5"/>
  <c r="H1466" i="5"/>
  <c r="H1467" i="5"/>
  <c r="H1468" i="5"/>
  <c r="H1469" i="5"/>
  <c r="H1470" i="5"/>
  <c r="H1471" i="5"/>
  <c r="H1472" i="5"/>
  <c r="H1473" i="5"/>
  <c r="H1474" i="5"/>
  <c r="H1475" i="5"/>
  <c r="H1476" i="5"/>
  <c r="H1477" i="5"/>
  <c r="H1478" i="5"/>
  <c r="H1479" i="5"/>
  <c r="H1480" i="5"/>
  <c r="H1481" i="5"/>
  <c r="H1482" i="5"/>
  <c r="H1483" i="5"/>
  <c r="H1484" i="5"/>
  <c r="H1485" i="5"/>
  <c r="H1486" i="5"/>
  <c r="H1487" i="5"/>
  <c r="H1488" i="5"/>
  <c r="H1489" i="5"/>
  <c r="H1490" i="5"/>
  <c r="H1491" i="5"/>
  <c r="H1492" i="5"/>
  <c r="H1493" i="5"/>
  <c r="H1494" i="5"/>
  <c r="H1495" i="5"/>
  <c r="H1496" i="5"/>
  <c r="H1497" i="5"/>
  <c r="H1498" i="5"/>
  <c r="H1499" i="5"/>
  <c r="H1500" i="5"/>
  <c r="H1501" i="5"/>
  <c r="H1502" i="5"/>
  <c r="H1503" i="5"/>
  <c r="H1504" i="5"/>
  <c r="H1505" i="5"/>
  <c r="H1506" i="5"/>
  <c r="H1507" i="5"/>
  <c r="H1508" i="5"/>
  <c r="H1509" i="5"/>
  <c r="H1510" i="5"/>
  <c r="H1511" i="5"/>
  <c r="H1512" i="5"/>
  <c r="H1513" i="5"/>
  <c r="H1514" i="5"/>
  <c r="H1515" i="5"/>
  <c r="H1516" i="5"/>
  <c r="H1517" i="5"/>
  <c r="H1518" i="5"/>
  <c r="H1519" i="5"/>
  <c r="H1520" i="5"/>
  <c r="H1521" i="5"/>
  <c r="H1522" i="5"/>
  <c r="H1523" i="5"/>
  <c r="H1524" i="5"/>
  <c r="H1525" i="5"/>
  <c r="H1526" i="5"/>
  <c r="H1527" i="5"/>
  <c r="H1528" i="5"/>
  <c r="H1529" i="5"/>
  <c r="H1530" i="5"/>
  <c r="H1531" i="5"/>
  <c r="H1532" i="5"/>
  <c r="H1533" i="5"/>
  <c r="H1534" i="5"/>
  <c r="H1535" i="5"/>
  <c r="H1536" i="5"/>
  <c r="H1537" i="5"/>
  <c r="H1538" i="5"/>
  <c r="H1539" i="5"/>
  <c r="H1540" i="5"/>
  <c r="H1541" i="5"/>
  <c r="H1542" i="5"/>
  <c r="H1543" i="5"/>
  <c r="H1544" i="5"/>
  <c r="H1545" i="5"/>
  <c r="H1546" i="5"/>
  <c r="H1547" i="5"/>
  <c r="H1548" i="5"/>
  <c r="H1549" i="5"/>
  <c r="H1550" i="5"/>
  <c r="H1551" i="5"/>
  <c r="H1552" i="5"/>
  <c r="H1553" i="5"/>
  <c r="H1554" i="5"/>
  <c r="H1555" i="5"/>
  <c r="H1556" i="5"/>
  <c r="H1557" i="5"/>
  <c r="H1558" i="5"/>
  <c r="H1559" i="5"/>
  <c r="H1560" i="5"/>
  <c r="H1561" i="5"/>
  <c r="H1562" i="5"/>
  <c r="H1563" i="5"/>
  <c r="H1564" i="5"/>
  <c r="H1565" i="5"/>
  <c r="H1566" i="5"/>
  <c r="H1567" i="5"/>
  <c r="H1568" i="5"/>
  <c r="H1569" i="5"/>
  <c r="H1570" i="5"/>
  <c r="H1571" i="5"/>
  <c r="H1572" i="5"/>
  <c r="H1573" i="5"/>
  <c r="H1574" i="5"/>
  <c r="H1575" i="5"/>
  <c r="H1576" i="5"/>
  <c r="H1577" i="5"/>
  <c r="H1578" i="5"/>
  <c r="H1579" i="5"/>
  <c r="H1580" i="5"/>
  <c r="H1581" i="5"/>
  <c r="H1582" i="5"/>
  <c r="H1583" i="5"/>
  <c r="H1584" i="5"/>
  <c r="H1585" i="5"/>
  <c r="H1586" i="5"/>
  <c r="H1587" i="5"/>
  <c r="H1588" i="5"/>
  <c r="H1589" i="5"/>
  <c r="H1590" i="5"/>
  <c r="H1591" i="5"/>
  <c r="H1592" i="5"/>
  <c r="H1593" i="5"/>
  <c r="H1594" i="5"/>
  <c r="H1595" i="5"/>
  <c r="H1596" i="5"/>
  <c r="H1597" i="5"/>
  <c r="H1598" i="5"/>
  <c r="H1599" i="5"/>
  <c r="H1600" i="5"/>
  <c r="H1601" i="5"/>
  <c r="H1602" i="5"/>
  <c r="H1603" i="5"/>
  <c r="H1604" i="5"/>
  <c r="H1605" i="5"/>
  <c r="H1606" i="5"/>
  <c r="H1607" i="5"/>
  <c r="H1608" i="5"/>
  <c r="H1609" i="5"/>
  <c r="H1610" i="5"/>
  <c r="H1611" i="5"/>
  <c r="H1612" i="5"/>
  <c r="H1613" i="5"/>
  <c r="H1614" i="5"/>
  <c r="H1615" i="5"/>
  <c r="H1616" i="5"/>
  <c r="H1617" i="5"/>
  <c r="H1618" i="5"/>
  <c r="H1619" i="5"/>
  <c r="H1620" i="5"/>
  <c r="H1621" i="5"/>
  <c r="H1622" i="5"/>
  <c r="H1623" i="5"/>
  <c r="H1624" i="5"/>
  <c r="H1625" i="5"/>
  <c r="H1626" i="5"/>
  <c r="H1627" i="5"/>
  <c r="H1628" i="5"/>
  <c r="H1629" i="5"/>
  <c r="H1630" i="5"/>
  <c r="H1631" i="5"/>
  <c r="H1632" i="5"/>
  <c r="H1633" i="5"/>
  <c r="H1634" i="5"/>
  <c r="H1635" i="5"/>
  <c r="H1636" i="5"/>
  <c r="H1637" i="5"/>
  <c r="H1638" i="5"/>
  <c r="H1639" i="5"/>
  <c r="H1640" i="5"/>
  <c r="H1641" i="5"/>
  <c r="H1642" i="5"/>
  <c r="H1643" i="5"/>
  <c r="H1644" i="5"/>
  <c r="H1645" i="5"/>
  <c r="H1646" i="5"/>
  <c r="H1647" i="5"/>
  <c r="H1648" i="5"/>
  <c r="H1650" i="5"/>
  <c r="H1651" i="5"/>
  <c r="H1652" i="5"/>
  <c r="H1653" i="5"/>
  <c r="H1654" i="5"/>
  <c r="H1655" i="5"/>
  <c r="H1656" i="5"/>
  <c r="H1657" i="5"/>
  <c r="H1658" i="5"/>
  <c r="H1659" i="5"/>
  <c r="H1660" i="5"/>
  <c r="H1661" i="5"/>
  <c r="H1662" i="5"/>
  <c r="H1663" i="5"/>
  <c r="H1664" i="5"/>
  <c r="H1665" i="5"/>
  <c r="H1666" i="5"/>
  <c r="H1667" i="5"/>
  <c r="H1668" i="5"/>
  <c r="H1669" i="5"/>
  <c r="H1670" i="5"/>
  <c r="H1671" i="5"/>
  <c r="H1672" i="5"/>
  <c r="H1673" i="5"/>
  <c r="H1674" i="5"/>
  <c r="H1675" i="5"/>
  <c r="H1676" i="5"/>
  <c r="H1677" i="5"/>
  <c r="H1678" i="5"/>
  <c r="H1679" i="5"/>
  <c r="H1680" i="5"/>
  <c r="H1681" i="5"/>
  <c r="H1682" i="5"/>
  <c r="H1683" i="5"/>
  <c r="H1684" i="5"/>
  <c r="H1685" i="5"/>
  <c r="H1686" i="5"/>
  <c r="H1687" i="5"/>
  <c r="H1688" i="5"/>
  <c r="H1689" i="5"/>
  <c r="H1690" i="5"/>
  <c r="H1691" i="5"/>
  <c r="H1692" i="5"/>
  <c r="H1693" i="5"/>
  <c r="H1694" i="5"/>
  <c r="H1695" i="5"/>
  <c r="H1696" i="5"/>
  <c r="H1697" i="5"/>
  <c r="H1698" i="5"/>
  <c r="H1699" i="5"/>
  <c r="H1700" i="5"/>
  <c r="H1701" i="5"/>
  <c r="H1702" i="5"/>
  <c r="H1703" i="5"/>
  <c r="H1704" i="5"/>
  <c r="H1705" i="5"/>
  <c r="H1706" i="5"/>
  <c r="H1707" i="5"/>
  <c r="H1708" i="5"/>
  <c r="H1709" i="5"/>
  <c r="H1710" i="5"/>
  <c r="H1711" i="5"/>
  <c r="H1712" i="5"/>
  <c r="H1713" i="5"/>
  <c r="H1714" i="5"/>
  <c r="H1715" i="5"/>
  <c r="H1716" i="5"/>
  <c r="H1717" i="5"/>
  <c r="H1718" i="5"/>
  <c r="H1719" i="5"/>
  <c r="H1720" i="5"/>
  <c r="H1721" i="5"/>
  <c r="H1722" i="5"/>
  <c r="H1723" i="5"/>
  <c r="H1724" i="5"/>
  <c r="H1725" i="5"/>
  <c r="H1726" i="5"/>
  <c r="H1727" i="5"/>
  <c r="H1728" i="5"/>
  <c r="H1729" i="5"/>
  <c r="H1730" i="5"/>
  <c r="H1731" i="5"/>
  <c r="H1732" i="5"/>
  <c r="H1733" i="5"/>
  <c r="H1734" i="5"/>
  <c r="H1735" i="5"/>
  <c r="H1736" i="5"/>
  <c r="H1737" i="5"/>
  <c r="H1738" i="5"/>
  <c r="H1739" i="5"/>
  <c r="H1740" i="5"/>
  <c r="H1741" i="5"/>
  <c r="H1742" i="5"/>
  <c r="H1743" i="5"/>
  <c r="H1744" i="5"/>
  <c r="H1745" i="5"/>
  <c r="H1746" i="5"/>
  <c r="H1747" i="5"/>
  <c r="H1748" i="5"/>
  <c r="H1749" i="5"/>
  <c r="H1750" i="5"/>
  <c r="H1751" i="5"/>
  <c r="H1752" i="5"/>
  <c r="H1753" i="5"/>
  <c r="H1754" i="5"/>
  <c r="H1755" i="5"/>
  <c r="H1756" i="5"/>
  <c r="H1757" i="5"/>
  <c r="H1758" i="5"/>
  <c r="H1759" i="5"/>
  <c r="H1760" i="5"/>
  <c r="H1761" i="5"/>
  <c r="H1762" i="5"/>
  <c r="H1763" i="5"/>
  <c r="H1764" i="5"/>
  <c r="H1765" i="5"/>
  <c r="H1766" i="5"/>
  <c r="H1767" i="5"/>
  <c r="H1768" i="5"/>
  <c r="H1769" i="5"/>
  <c r="H1770" i="5"/>
  <c r="H1771" i="5"/>
  <c r="H1772" i="5"/>
  <c r="H1773" i="5"/>
  <c r="H1774" i="5"/>
  <c r="H1775" i="5"/>
  <c r="H1776" i="5"/>
  <c r="H1777" i="5"/>
  <c r="H1778" i="5"/>
  <c r="H1779" i="5"/>
  <c r="H1780" i="5"/>
  <c r="H1781" i="5"/>
  <c r="H1782" i="5"/>
  <c r="H1783" i="5"/>
  <c r="H1784" i="5"/>
  <c r="H1785" i="5"/>
  <c r="H1786" i="5"/>
  <c r="H1787" i="5"/>
  <c r="H1788" i="5"/>
  <c r="H1789" i="5"/>
  <c r="H1790" i="5"/>
  <c r="H1791" i="5"/>
  <c r="H1792" i="5"/>
  <c r="H1793" i="5"/>
  <c r="H1794" i="5"/>
  <c r="H1795" i="5"/>
  <c r="H1796" i="5"/>
  <c r="H1797" i="5"/>
  <c r="H1798" i="5"/>
  <c r="H1799" i="5"/>
  <c r="H1800" i="5"/>
  <c r="H1801" i="5"/>
  <c r="H1802" i="5"/>
  <c r="H1803" i="5"/>
  <c r="H1804" i="5"/>
  <c r="H1805" i="5"/>
  <c r="H1806" i="5"/>
  <c r="H1807" i="5"/>
  <c r="H1808" i="5"/>
  <c r="H1809" i="5"/>
  <c r="H1810" i="5"/>
  <c r="H1811" i="5"/>
  <c r="H1812" i="5"/>
  <c r="H1813" i="5"/>
  <c r="H1814" i="5"/>
  <c r="H1815" i="5"/>
  <c r="H1816" i="5"/>
  <c r="H1817" i="5"/>
  <c r="H1818" i="5"/>
  <c r="H1819" i="5"/>
  <c r="H1820" i="5"/>
  <c r="H1821" i="5"/>
  <c r="H1822" i="5"/>
  <c r="H1823" i="5"/>
  <c r="H1824" i="5"/>
  <c r="H1825" i="5"/>
  <c r="H1826" i="5"/>
  <c r="H1827" i="5"/>
  <c r="H1828" i="5"/>
  <c r="H1829" i="5"/>
  <c r="H1830" i="5"/>
  <c r="H1831" i="5"/>
  <c r="H1832" i="5"/>
  <c r="H1833" i="5"/>
  <c r="H1834" i="5"/>
  <c r="H1835" i="5"/>
  <c r="H1836" i="5"/>
  <c r="H1837" i="5"/>
  <c r="H1838" i="5"/>
  <c r="H1839" i="5"/>
  <c r="H1840" i="5"/>
  <c r="H1841" i="5"/>
  <c r="H1842" i="5"/>
  <c r="H1843" i="5"/>
  <c r="H1844" i="5"/>
  <c r="H1845" i="5"/>
  <c r="H1846" i="5"/>
  <c r="H1847" i="5"/>
  <c r="H1848" i="5"/>
  <c r="H1849" i="5"/>
  <c r="H1850" i="5"/>
  <c r="H1851" i="5"/>
  <c r="H1852" i="5"/>
  <c r="H1853" i="5"/>
  <c r="H1854" i="5"/>
  <c r="H1855" i="5"/>
  <c r="H1856" i="5"/>
  <c r="H1857" i="5"/>
  <c r="H1858" i="5"/>
  <c r="H1859" i="5"/>
  <c r="H1860" i="5"/>
  <c r="H1861" i="5"/>
  <c r="H1862" i="5"/>
  <c r="H1863" i="5"/>
  <c r="H1864" i="5"/>
  <c r="H1865" i="5"/>
  <c r="H1866" i="5"/>
  <c r="H1867" i="5"/>
  <c r="H1868" i="5"/>
  <c r="H1869" i="5"/>
  <c r="H1870" i="5"/>
  <c r="H1871" i="5"/>
  <c r="H1872" i="5"/>
  <c r="H1873" i="5"/>
  <c r="H1874" i="5"/>
  <c r="H1875" i="5"/>
  <c r="H1876" i="5"/>
  <c r="H1877" i="5"/>
  <c r="H1878" i="5"/>
  <c r="H1879" i="5"/>
  <c r="H1880" i="5"/>
  <c r="H1881" i="5"/>
  <c r="H1882" i="5"/>
  <c r="H1883" i="5"/>
  <c r="H1884" i="5"/>
  <c r="H1885" i="5"/>
  <c r="H1886" i="5"/>
  <c r="H1887" i="5"/>
  <c r="H1888" i="5"/>
  <c r="H1889" i="5"/>
  <c r="H1890" i="5"/>
  <c r="H1891" i="5"/>
  <c r="H1892" i="5"/>
  <c r="H1893" i="5"/>
  <c r="H1894" i="5"/>
  <c r="H1895" i="5"/>
  <c r="H1896" i="5"/>
  <c r="H1897" i="5"/>
  <c r="H1898" i="5"/>
  <c r="H1899" i="5"/>
  <c r="H1900" i="5"/>
  <c r="H1901" i="5"/>
  <c r="H1902" i="5"/>
  <c r="H1903" i="5"/>
  <c r="H1904" i="5"/>
  <c r="H1905" i="5"/>
  <c r="H1906" i="5"/>
  <c r="H1907" i="5"/>
  <c r="H1908" i="5"/>
  <c r="H1909" i="5"/>
  <c r="H1910" i="5"/>
  <c r="H1911" i="5"/>
  <c r="H1912" i="5"/>
  <c r="H1913" i="5"/>
  <c r="H1914" i="5"/>
  <c r="H1915" i="5"/>
  <c r="H1916" i="5"/>
  <c r="H1917" i="5"/>
  <c r="H1918" i="5"/>
  <c r="H1919" i="5"/>
  <c r="H1920" i="5"/>
  <c r="H1921" i="5"/>
  <c r="H1922" i="5"/>
  <c r="H1923" i="5"/>
  <c r="H1924" i="5"/>
  <c r="H1925" i="5"/>
  <c r="H1926" i="5"/>
  <c r="H1927" i="5"/>
  <c r="H1928" i="5"/>
  <c r="H1929" i="5"/>
  <c r="H1930" i="5"/>
  <c r="H1931" i="5"/>
  <c r="H1932" i="5"/>
  <c r="H1933" i="5"/>
  <c r="H1934" i="5"/>
  <c r="H1935" i="5"/>
  <c r="H1936" i="5"/>
  <c r="H1937" i="5"/>
  <c r="H1938" i="5"/>
  <c r="H1939" i="5"/>
  <c r="H1940" i="5"/>
  <c r="H1941" i="5"/>
  <c r="H1942" i="5"/>
  <c r="H1943" i="5"/>
  <c r="H1944" i="5"/>
  <c r="H1945" i="5"/>
  <c r="H1946" i="5"/>
  <c r="H1947" i="5"/>
  <c r="H1948" i="5"/>
  <c r="H1949" i="5"/>
  <c r="H1950" i="5"/>
  <c r="H1951" i="5"/>
  <c r="H1952" i="5"/>
  <c r="H1953" i="5"/>
  <c r="H1954" i="5"/>
  <c r="H1955" i="5"/>
  <c r="H1956" i="5"/>
  <c r="H1957" i="5"/>
  <c r="H1958" i="5"/>
  <c r="H1959" i="5"/>
  <c r="H1960" i="5"/>
  <c r="H1961" i="5"/>
  <c r="H1962" i="5"/>
  <c r="H1963" i="5"/>
  <c r="H1964" i="5"/>
  <c r="H1965" i="5"/>
  <c r="H1966" i="5"/>
  <c r="H1967" i="5"/>
  <c r="H1968" i="5"/>
  <c r="H1969" i="5"/>
  <c r="H1970" i="5"/>
  <c r="H1971" i="5"/>
  <c r="H1972" i="5"/>
  <c r="H1973" i="5"/>
  <c r="H1974" i="5"/>
  <c r="H1975" i="5"/>
  <c r="H1976" i="5"/>
  <c r="H1977" i="5"/>
  <c r="H1978" i="5"/>
  <c r="H1979" i="5"/>
  <c r="H1980" i="5"/>
  <c r="H1981" i="5"/>
  <c r="H1982" i="5"/>
  <c r="H1983" i="5"/>
  <c r="H1984" i="5"/>
  <c r="H1985" i="5"/>
  <c r="H1986" i="5"/>
  <c r="H1987" i="5"/>
  <c r="H1988" i="5"/>
  <c r="H1989" i="5"/>
  <c r="H1990" i="5"/>
  <c r="H1991" i="5"/>
  <c r="H1992" i="5"/>
  <c r="H1993" i="5"/>
  <c r="H1994" i="5"/>
  <c r="H1995" i="5"/>
  <c r="H1996" i="5"/>
  <c r="H1997" i="5"/>
  <c r="H1998" i="5"/>
  <c r="H1999" i="5"/>
  <c r="H2000" i="5"/>
  <c r="B2" i="9"/>
  <c r="G2" i="5"/>
  <c r="E2" i="5" s="1"/>
  <c r="G36" i="5"/>
  <c r="E36" i="5" s="1"/>
  <c r="G37" i="5"/>
  <c r="E37" i="5" s="1"/>
  <c r="G38" i="5"/>
  <c r="E38" i="5" s="1"/>
  <c r="G39" i="5"/>
  <c r="E39" i="5" s="1"/>
  <c r="G40" i="5"/>
  <c r="E40" i="5" s="1"/>
  <c r="G41" i="5"/>
  <c r="E41" i="5" s="1"/>
  <c r="G42" i="5"/>
  <c r="E42" i="5" s="1"/>
  <c r="G43" i="5"/>
  <c r="E43" i="5" s="1"/>
  <c r="G44" i="5"/>
  <c r="E44" i="5" s="1"/>
  <c r="G45" i="5"/>
  <c r="E45" i="5" s="1"/>
  <c r="G46" i="5"/>
  <c r="E46" i="5" s="1"/>
  <c r="G47" i="5"/>
  <c r="E47" i="5" s="1"/>
  <c r="G48" i="5"/>
  <c r="E48" i="5" s="1"/>
  <c r="G49" i="5"/>
  <c r="E49" i="5" s="1"/>
  <c r="G50" i="5"/>
  <c r="E50" i="5" s="1"/>
  <c r="G51" i="5"/>
  <c r="E51" i="5" s="1"/>
  <c r="G52" i="5"/>
  <c r="E52" i="5" s="1"/>
  <c r="G53" i="5"/>
  <c r="E53" i="5" s="1"/>
  <c r="G54" i="5"/>
  <c r="E54" i="5" s="1"/>
  <c r="G55" i="5"/>
  <c r="E55" i="5" s="1"/>
  <c r="G56" i="5"/>
  <c r="E56" i="5" s="1"/>
  <c r="G57" i="5"/>
  <c r="E57" i="5" s="1"/>
  <c r="G58" i="5"/>
  <c r="E58" i="5" s="1"/>
  <c r="G59" i="5"/>
  <c r="E59" i="5" s="1"/>
  <c r="G60" i="5"/>
  <c r="E60" i="5" s="1"/>
  <c r="G61" i="5"/>
  <c r="E61" i="5" s="1"/>
  <c r="G62" i="5"/>
  <c r="E62" i="5" s="1"/>
  <c r="G63" i="5"/>
  <c r="E63" i="5" s="1"/>
  <c r="G64" i="5"/>
  <c r="E64" i="5" s="1"/>
  <c r="G65" i="5"/>
  <c r="E65" i="5" s="1"/>
  <c r="G66" i="5"/>
  <c r="E66" i="5" s="1"/>
  <c r="G67" i="5"/>
  <c r="E67" i="5" s="1"/>
  <c r="G68" i="5"/>
  <c r="E68" i="5" s="1"/>
  <c r="G69" i="5"/>
  <c r="E69" i="5" s="1"/>
  <c r="G70" i="5"/>
  <c r="E70" i="5" s="1"/>
  <c r="G71" i="5"/>
  <c r="E71" i="5" s="1"/>
  <c r="G72" i="5"/>
  <c r="E72" i="5" s="1"/>
  <c r="G73" i="5"/>
  <c r="E73" i="5" s="1"/>
  <c r="G74" i="5"/>
  <c r="E74" i="5" s="1"/>
  <c r="G75" i="5"/>
  <c r="E75" i="5" s="1"/>
  <c r="G76" i="5"/>
  <c r="E76" i="5" s="1"/>
  <c r="G77" i="5"/>
  <c r="E77" i="5" s="1"/>
  <c r="G78" i="5"/>
  <c r="E78" i="5" s="1"/>
  <c r="G79" i="5"/>
  <c r="E79" i="5" s="1"/>
  <c r="G80" i="5"/>
  <c r="E80" i="5" s="1"/>
  <c r="G81" i="5"/>
  <c r="E81" i="5" s="1"/>
  <c r="G82" i="5"/>
  <c r="E82" i="5" s="1"/>
  <c r="G83" i="5"/>
  <c r="E83" i="5" s="1"/>
  <c r="G84" i="5"/>
  <c r="E84" i="5" s="1"/>
  <c r="G85" i="5"/>
  <c r="E85" i="5" s="1"/>
  <c r="G86" i="5"/>
  <c r="E86" i="5" s="1"/>
  <c r="G87" i="5"/>
  <c r="E87" i="5" s="1"/>
  <c r="G88" i="5"/>
  <c r="E88" i="5" s="1"/>
  <c r="G89" i="5"/>
  <c r="E89" i="5" s="1"/>
  <c r="G90" i="5"/>
  <c r="E90" i="5" s="1"/>
  <c r="G91" i="5"/>
  <c r="E91" i="5" s="1"/>
  <c r="G92" i="5"/>
  <c r="E92" i="5" s="1"/>
  <c r="G93" i="5"/>
  <c r="E93" i="5" s="1"/>
  <c r="G94" i="5"/>
  <c r="E94" i="5" s="1"/>
  <c r="G95" i="5"/>
  <c r="E95" i="5" s="1"/>
  <c r="G96" i="5"/>
  <c r="E96" i="5" s="1"/>
  <c r="G97" i="5"/>
  <c r="E97" i="5" s="1"/>
  <c r="G98" i="5"/>
  <c r="E98" i="5" s="1"/>
  <c r="G99" i="5"/>
  <c r="E99" i="5" s="1"/>
  <c r="G100" i="5"/>
  <c r="E100" i="5" s="1"/>
  <c r="G101" i="5"/>
  <c r="E101" i="5" s="1"/>
  <c r="G102" i="5"/>
  <c r="E102" i="5" s="1"/>
  <c r="G103" i="5"/>
  <c r="E103" i="5" s="1"/>
  <c r="G104" i="5"/>
  <c r="E104" i="5" s="1"/>
  <c r="G105" i="5"/>
  <c r="E105" i="5" s="1"/>
  <c r="G106" i="5"/>
  <c r="E106" i="5" s="1"/>
  <c r="G107" i="5"/>
  <c r="E107" i="5" s="1"/>
  <c r="G108" i="5"/>
  <c r="E108" i="5" s="1"/>
  <c r="G109" i="5"/>
  <c r="E109" i="5" s="1"/>
  <c r="G110" i="5"/>
  <c r="E110" i="5" s="1"/>
  <c r="G111" i="5"/>
  <c r="E111" i="5" s="1"/>
  <c r="G112" i="5"/>
  <c r="E112" i="5" s="1"/>
  <c r="G113" i="5"/>
  <c r="E113" i="5" s="1"/>
  <c r="G114" i="5"/>
  <c r="E114" i="5" s="1"/>
  <c r="G115" i="5"/>
  <c r="E115" i="5" s="1"/>
  <c r="G116" i="5"/>
  <c r="E116" i="5" s="1"/>
  <c r="G117" i="5"/>
  <c r="E117" i="5" s="1"/>
  <c r="G118" i="5"/>
  <c r="E118" i="5" s="1"/>
  <c r="G119" i="5"/>
  <c r="E119" i="5" s="1"/>
  <c r="G120" i="5"/>
  <c r="E120" i="5" s="1"/>
  <c r="G121" i="5"/>
  <c r="E121" i="5" s="1"/>
  <c r="G122" i="5"/>
  <c r="E122" i="5" s="1"/>
  <c r="G123" i="5"/>
  <c r="E123" i="5" s="1"/>
  <c r="G124" i="5"/>
  <c r="E124" i="5" s="1"/>
  <c r="G125" i="5"/>
  <c r="E125" i="5" s="1"/>
  <c r="G126" i="5"/>
  <c r="E126" i="5" s="1"/>
  <c r="G127" i="5"/>
  <c r="E127" i="5" s="1"/>
  <c r="G128" i="5"/>
  <c r="E128" i="5" s="1"/>
  <c r="G129" i="5"/>
  <c r="E129" i="5" s="1"/>
  <c r="G130" i="5"/>
  <c r="E130" i="5" s="1"/>
  <c r="G131" i="5"/>
  <c r="E131" i="5" s="1"/>
  <c r="G132" i="5"/>
  <c r="E132" i="5" s="1"/>
  <c r="G133" i="5"/>
  <c r="E133" i="5" s="1"/>
  <c r="G134" i="5"/>
  <c r="E134" i="5" s="1"/>
  <c r="G135" i="5"/>
  <c r="E135" i="5" s="1"/>
  <c r="G136" i="5"/>
  <c r="E136" i="5" s="1"/>
  <c r="G137" i="5"/>
  <c r="E137" i="5" s="1"/>
  <c r="G138" i="5"/>
  <c r="E138" i="5" s="1"/>
  <c r="G139" i="5"/>
  <c r="E139" i="5" s="1"/>
  <c r="G140" i="5"/>
  <c r="E140" i="5" s="1"/>
  <c r="G141" i="5"/>
  <c r="E141" i="5" s="1"/>
  <c r="G142" i="5"/>
  <c r="E142" i="5" s="1"/>
  <c r="G143" i="5"/>
  <c r="E143" i="5" s="1"/>
  <c r="G144" i="5"/>
  <c r="E144" i="5" s="1"/>
  <c r="G145" i="5"/>
  <c r="E145" i="5" s="1"/>
  <c r="G146" i="5"/>
  <c r="E146" i="5" s="1"/>
  <c r="G147" i="5"/>
  <c r="E147" i="5" s="1"/>
  <c r="G148" i="5"/>
  <c r="E148" i="5" s="1"/>
  <c r="G149" i="5"/>
  <c r="E149" i="5" s="1"/>
  <c r="G150" i="5"/>
  <c r="E150" i="5" s="1"/>
  <c r="G151" i="5"/>
  <c r="E151" i="5" s="1"/>
  <c r="G152" i="5"/>
  <c r="E152" i="5" s="1"/>
  <c r="G153" i="5"/>
  <c r="E153" i="5" s="1"/>
  <c r="G154" i="5"/>
  <c r="E154" i="5" s="1"/>
  <c r="G155" i="5"/>
  <c r="E155" i="5" s="1"/>
  <c r="G156" i="5"/>
  <c r="E156" i="5" s="1"/>
  <c r="G157" i="5"/>
  <c r="E157" i="5" s="1"/>
  <c r="G158" i="5"/>
  <c r="E158" i="5" s="1"/>
  <c r="G159" i="5"/>
  <c r="E159" i="5" s="1"/>
  <c r="G160" i="5"/>
  <c r="E160" i="5" s="1"/>
  <c r="G161" i="5"/>
  <c r="E161" i="5" s="1"/>
  <c r="G162" i="5"/>
  <c r="E162" i="5" s="1"/>
  <c r="G163" i="5"/>
  <c r="E163" i="5" s="1"/>
  <c r="G164" i="5"/>
  <c r="E164" i="5" s="1"/>
  <c r="G165" i="5"/>
  <c r="E165" i="5" s="1"/>
  <c r="G166" i="5"/>
  <c r="E166" i="5" s="1"/>
  <c r="G167" i="5"/>
  <c r="E167" i="5" s="1"/>
  <c r="G168" i="5"/>
  <c r="E168" i="5" s="1"/>
  <c r="G169" i="5"/>
  <c r="E169" i="5" s="1"/>
  <c r="G170" i="5"/>
  <c r="E170" i="5" s="1"/>
  <c r="G171" i="5"/>
  <c r="E171" i="5" s="1"/>
  <c r="G172" i="5"/>
  <c r="E172" i="5" s="1"/>
  <c r="G173" i="5"/>
  <c r="E173" i="5" s="1"/>
  <c r="G174" i="5"/>
  <c r="E174" i="5" s="1"/>
  <c r="G175" i="5"/>
  <c r="E175" i="5" s="1"/>
  <c r="G176" i="5"/>
  <c r="E176" i="5" s="1"/>
  <c r="G177" i="5"/>
  <c r="E177" i="5" s="1"/>
  <c r="G178" i="5"/>
  <c r="E178" i="5" s="1"/>
  <c r="G179" i="5"/>
  <c r="E179" i="5" s="1"/>
  <c r="G180" i="5"/>
  <c r="E180" i="5" s="1"/>
  <c r="G181" i="5"/>
  <c r="E181" i="5" s="1"/>
  <c r="G182" i="5"/>
  <c r="E182" i="5" s="1"/>
  <c r="G183" i="5"/>
  <c r="E183" i="5" s="1"/>
  <c r="G184" i="5"/>
  <c r="E184" i="5" s="1"/>
  <c r="G185" i="5"/>
  <c r="E185" i="5" s="1"/>
  <c r="G186" i="5"/>
  <c r="E186" i="5" s="1"/>
  <c r="G187" i="5"/>
  <c r="E187" i="5" s="1"/>
  <c r="G188" i="5"/>
  <c r="E188" i="5" s="1"/>
  <c r="G189" i="5"/>
  <c r="E189" i="5" s="1"/>
  <c r="G190" i="5"/>
  <c r="E190" i="5" s="1"/>
  <c r="G191" i="5"/>
  <c r="E191" i="5" s="1"/>
  <c r="G192" i="5"/>
  <c r="E192" i="5" s="1"/>
  <c r="G193" i="5"/>
  <c r="E193" i="5" s="1"/>
  <c r="G194" i="5"/>
  <c r="E194" i="5" s="1"/>
  <c r="G195" i="5"/>
  <c r="E195" i="5" s="1"/>
  <c r="G196" i="5"/>
  <c r="E196" i="5" s="1"/>
  <c r="G197" i="5"/>
  <c r="E197" i="5" s="1"/>
  <c r="G198" i="5"/>
  <c r="E198" i="5" s="1"/>
  <c r="G199" i="5"/>
  <c r="E199" i="5" s="1"/>
  <c r="G200" i="5"/>
  <c r="E200" i="5" s="1"/>
  <c r="G201" i="5"/>
  <c r="E201" i="5" s="1"/>
  <c r="G202" i="5"/>
  <c r="E202" i="5" s="1"/>
  <c r="G203" i="5"/>
  <c r="E203" i="5" s="1"/>
  <c r="G204" i="5"/>
  <c r="E204" i="5" s="1"/>
  <c r="G205" i="5"/>
  <c r="E205" i="5" s="1"/>
  <c r="G206" i="5"/>
  <c r="E206" i="5" s="1"/>
  <c r="G207" i="5"/>
  <c r="E207" i="5" s="1"/>
  <c r="G208" i="5"/>
  <c r="E208" i="5" s="1"/>
  <c r="G209" i="5"/>
  <c r="E209" i="5" s="1"/>
  <c r="G210" i="5"/>
  <c r="E210" i="5" s="1"/>
  <c r="G211" i="5"/>
  <c r="E211" i="5" s="1"/>
  <c r="G212" i="5"/>
  <c r="E212" i="5" s="1"/>
  <c r="G213" i="5"/>
  <c r="G214" i="5"/>
  <c r="G215" i="5"/>
  <c r="E215" i="5" s="1"/>
  <c r="G216" i="5"/>
  <c r="E216" i="5" s="1"/>
  <c r="G217" i="5"/>
  <c r="E217" i="5" s="1"/>
  <c r="G218" i="5"/>
  <c r="E218" i="5" s="1"/>
  <c r="G219" i="5"/>
  <c r="E219" i="5" s="1"/>
  <c r="G220" i="5"/>
  <c r="E220" i="5" s="1"/>
  <c r="G221" i="5"/>
  <c r="G222" i="5"/>
  <c r="E222" i="5" s="1"/>
  <c r="G223" i="5"/>
  <c r="E223" i="5" s="1"/>
  <c r="G224" i="5"/>
  <c r="E224" i="5" s="1"/>
  <c r="G225" i="5"/>
  <c r="E225" i="5" s="1"/>
  <c r="G226" i="5"/>
  <c r="E226" i="5" s="1"/>
  <c r="G227" i="5"/>
  <c r="E227" i="5" s="1"/>
  <c r="G228" i="5"/>
  <c r="E228" i="5" s="1"/>
  <c r="G229" i="5"/>
  <c r="E229" i="5" s="1"/>
  <c r="G230" i="5"/>
  <c r="E230" i="5" s="1"/>
  <c r="G231" i="5"/>
  <c r="E231" i="5" s="1"/>
  <c r="G232" i="5"/>
  <c r="E232" i="5" s="1"/>
  <c r="G233" i="5"/>
  <c r="E233" i="5" s="1"/>
  <c r="G234" i="5"/>
  <c r="E234" i="5" s="1"/>
  <c r="G235" i="5"/>
  <c r="E235" i="5" s="1"/>
  <c r="G236" i="5"/>
  <c r="E236" i="5" s="1"/>
  <c r="G237" i="5"/>
  <c r="E237" i="5" s="1"/>
  <c r="G238" i="5"/>
  <c r="E238" i="5" s="1"/>
  <c r="G239" i="5"/>
  <c r="E239" i="5" s="1"/>
  <c r="G240" i="5"/>
  <c r="E240" i="5" s="1"/>
  <c r="G241" i="5"/>
  <c r="E241" i="5" s="1"/>
  <c r="G242" i="5"/>
  <c r="E242" i="5" s="1"/>
  <c r="G243" i="5"/>
  <c r="E243" i="5" s="1"/>
  <c r="G244" i="5"/>
  <c r="E244" i="5" s="1"/>
  <c r="G245" i="5"/>
  <c r="E245" i="5" s="1"/>
  <c r="G246" i="5"/>
  <c r="E246" i="5" s="1"/>
  <c r="G247" i="5"/>
  <c r="E247" i="5" s="1"/>
  <c r="G248" i="5"/>
  <c r="E248" i="5" s="1"/>
  <c r="G249" i="5"/>
  <c r="E249" i="5" s="1"/>
  <c r="G250" i="5"/>
  <c r="E250" i="5" s="1"/>
  <c r="G251" i="5"/>
  <c r="E251" i="5" s="1"/>
  <c r="G252" i="5"/>
  <c r="E252" i="5" s="1"/>
  <c r="G253" i="5"/>
  <c r="E253" i="5" s="1"/>
  <c r="G254" i="5"/>
  <c r="E254" i="5" s="1"/>
  <c r="G255" i="5"/>
  <c r="E255" i="5" s="1"/>
  <c r="G256" i="5"/>
  <c r="E256" i="5" s="1"/>
  <c r="G257" i="5"/>
  <c r="E257" i="5" s="1"/>
  <c r="G258" i="5"/>
  <c r="E258" i="5" s="1"/>
  <c r="G259" i="5"/>
  <c r="E259" i="5" s="1"/>
  <c r="G260" i="5"/>
  <c r="E260" i="5" s="1"/>
  <c r="G261" i="5"/>
  <c r="E261" i="5" s="1"/>
  <c r="G262" i="5"/>
  <c r="E262" i="5" s="1"/>
  <c r="G263" i="5"/>
  <c r="E263" i="5" s="1"/>
  <c r="G264" i="5"/>
  <c r="E264" i="5" s="1"/>
  <c r="G265" i="5"/>
  <c r="E265" i="5" s="1"/>
  <c r="G266" i="5"/>
  <c r="E266" i="5" s="1"/>
  <c r="G267" i="5"/>
  <c r="E267" i="5" s="1"/>
  <c r="G268" i="5"/>
  <c r="E268" i="5" s="1"/>
  <c r="G269" i="5"/>
  <c r="E269" i="5" s="1"/>
  <c r="G270" i="5"/>
  <c r="E270" i="5" s="1"/>
  <c r="G271" i="5"/>
  <c r="E271" i="5" s="1"/>
  <c r="G272" i="5"/>
  <c r="E272" i="5" s="1"/>
  <c r="G273" i="5"/>
  <c r="E273" i="5" s="1"/>
  <c r="G274" i="5"/>
  <c r="E274" i="5" s="1"/>
  <c r="G275" i="5"/>
  <c r="E275" i="5" s="1"/>
  <c r="G276" i="5"/>
  <c r="E276" i="5" s="1"/>
  <c r="G277" i="5"/>
  <c r="E277" i="5" s="1"/>
  <c r="G278" i="5"/>
  <c r="E278" i="5" s="1"/>
  <c r="G279" i="5"/>
  <c r="E279" i="5" s="1"/>
  <c r="G280" i="5"/>
  <c r="E280" i="5" s="1"/>
  <c r="G281" i="5"/>
  <c r="E281" i="5" s="1"/>
  <c r="G282" i="5"/>
  <c r="E282" i="5" s="1"/>
  <c r="G283" i="5"/>
  <c r="E283" i="5" s="1"/>
  <c r="G284" i="5"/>
  <c r="E284" i="5" s="1"/>
  <c r="G285" i="5"/>
  <c r="E285" i="5" s="1"/>
  <c r="G286" i="5"/>
  <c r="E286" i="5" s="1"/>
  <c r="G287" i="5"/>
  <c r="E287" i="5" s="1"/>
  <c r="G288" i="5"/>
  <c r="E288" i="5" s="1"/>
  <c r="G289" i="5"/>
  <c r="E289" i="5" s="1"/>
  <c r="G290" i="5"/>
  <c r="E290" i="5" s="1"/>
  <c r="G291" i="5"/>
  <c r="E291" i="5" s="1"/>
  <c r="G292" i="5"/>
  <c r="E292" i="5" s="1"/>
  <c r="G293" i="5"/>
  <c r="E293" i="5" s="1"/>
  <c r="G294" i="5"/>
  <c r="E294" i="5" s="1"/>
  <c r="G295" i="5"/>
  <c r="E295" i="5" s="1"/>
  <c r="G296" i="5"/>
  <c r="E296" i="5" s="1"/>
  <c r="G297" i="5"/>
  <c r="E297" i="5" s="1"/>
  <c r="G298" i="5"/>
  <c r="E298" i="5" s="1"/>
  <c r="G299" i="5"/>
  <c r="E299" i="5" s="1"/>
  <c r="G300" i="5"/>
  <c r="E300" i="5" s="1"/>
  <c r="G301" i="5"/>
  <c r="E301" i="5" s="1"/>
  <c r="G302" i="5"/>
  <c r="E302" i="5" s="1"/>
  <c r="G303" i="5"/>
  <c r="E303" i="5" s="1"/>
  <c r="G304" i="5"/>
  <c r="E304" i="5" s="1"/>
  <c r="G305" i="5"/>
  <c r="E305" i="5" s="1"/>
  <c r="G306" i="5"/>
  <c r="E306" i="5" s="1"/>
  <c r="G307" i="5"/>
  <c r="E307" i="5" s="1"/>
  <c r="G308" i="5"/>
  <c r="G309" i="5"/>
  <c r="E309" i="5" s="1"/>
  <c r="G310" i="5"/>
  <c r="E310" i="5" s="1"/>
  <c r="G311" i="5"/>
  <c r="E311" i="5" s="1"/>
  <c r="G312" i="5"/>
  <c r="E312" i="5" s="1"/>
  <c r="G313" i="5"/>
  <c r="E313" i="5" s="1"/>
  <c r="G314" i="5"/>
  <c r="E314" i="5" s="1"/>
  <c r="G315" i="5"/>
  <c r="E315" i="5" s="1"/>
  <c r="G316" i="5"/>
  <c r="E316" i="5" s="1"/>
  <c r="G317" i="5"/>
  <c r="E317" i="5" s="1"/>
  <c r="G318" i="5"/>
  <c r="E318" i="5" s="1"/>
  <c r="G319" i="5"/>
  <c r="E319" i="5" s="1"/>
  <c r="G320" i="5"/>
  <c r="E320" i="5" s="1"/>
  <c r="G321" i="5"/>
  <c r="E321" i="5" s="1"/>
  <c r="G322" i="5"/>
  <c r="E322" i="5" s="1"/>
  <c r="G323" i="5"/>
  <c r="E323" i="5" s="1"/>
  <c r="G324" i="5"/>
  <c r="E324" i="5" s="1"/>
  <c r="G325" i="5"/>
  <c r="E325" i="5" s="1"/>
  <c r="G326" i="5"/>
  <c r="E326" i="5" s="1"/>
  <c r="G327" i="5"/>
  <c r="E327" i="5" s="1"/>
  <c r="G328" i="5"/>
  <c r="E328" i="5" s="1"/>
  <c r="G329" i="5"/>
  <c r="E329" i="5" s="1"/>
  <c r="G330" i="5"/>
  <c r="E330" i="5" s="1"/>
  <c r="G331" i="5"/>
  <c r="E331" i="5" s="1"/>
  <c r="G332" i="5"/>
  <c r="E332" i="5" s="1"/>
  <c r="G333" i="5"/>
  <c r="E333" i="5" s="1"/>
  <c r="G334" i="5"/>
  <c r="E334" i="5" s="1"/>
  <c r="G335" i="5"/>
  <c r="E335" i="5" s="1"/>
  <c r="G336" i="5"/>
  <c r="E336" i="5" s="1"/>
  <c r="G337" i="5"/>
  <c r="E337" i="5" s="1"/>
  <c r="G338" i="5"/>
  <c r="E338" i="5" s="1"/>
  <c r="G339" i="5"/>
  <c r="E339" i="5" s="1"/>
  <c r="G340" i="5"/>
  <c r="E340" i="5" s="1"/>
  <c r="G341" i="5"/>
  <c r="E341" i="5" s="1"/>
  <c r="G342" i="5"/>
  <c r="E342" i="5" s="1"/>
  <c r="G343" i="5"/>
  <c r="E343" i="5" s="1"/>
  <c r="G344" i="5"/>
  <c r="E344" i="5" s="1"/>
  <c r="G345" i="5"/>
  <c r="E345" i="5" s="1"/>
  <c r="G346" i="5"/>
  <c r="E346" i="5" s="1"/>
  <c r="G347" i="5"/>
  <c r="E347" i="5" s="1"/>
  <c r="G348" i="5"/>
  <c r="E348" i="5" s="1"/>
  <c r="G349" i="5"/>
  <c r="E349" i="5" s="1"/>
  <c r="G350" i="5"/>
  <c r="E350" i="5" s="1"/>
  <c r="G351" i="5"/>
  <c r="E351" i="5" s="1"/>
  <c r="G352" i="5"/>
  <c r="E352" i="5" s="1"/>
  <c r="G353" i="5"/>
  <c r="E353" i="5" s="1"/>
  <c r="G354" i="5"/>
  <c r="E354" i="5" s="1"/>
  <c r="G355" i="5"/>
  <c r="E355" i="5" s="1"/>
  <c r="G356" i="5"/>
  <c r="E356" i="5" s="1"/>
  <c r="G357" i="5"/>
  <c r="E357" i="5" s="1"/>
  <c r="G358" i="5"/>
  <c r="E358" i="5" s="1"/>
  <c r="G359" i="5"/>
  <c r="E359" i="5" s="1"/>
  <c r="G360" i="5"/>
  <c r="E360" i="5" s="1"/>
  <c r="G361" i="5"/>
  <c r="E361" i="5" s="1"/>
  <c r="G362" i="5"/>
  <c r="E362" i="5" s="1"/>
  <c r="G363" i="5"/>
  <c r="E363" i="5" s="1"/>
  <c r="G364" i="5"/>
  <c r="E364" i="5" s="1"/>
  <c r="G365" i="5"/>
  <c r="E365" i="5" s="1"/>
  <c r="G366" i="5"/>
  <c r="E366" i="5" s="1"/>
  <c r="G367" i="5"/>
  <c r="E367" i="5" s="1"/>
  <c r="G368" i="5"/>
  <c r="E368" i="5" s="1"/>
  <c r="G369" i="5"/>
  <c r="E369" i="5" s="1"/>
  <c r="G370" i="5"/>
  <c r="E370" i="5" s="1"/>
  <c r="G371" i="5"/>
  <c r="E371" i="5" s="1"/>
  <c r="G372" i="5"/>
  <c r="E372" i="5" s="1"/>
  <c r="G373" i="5"/>
  <c r="E373" i="5" s="1"/>
  <c r="G374" i="5"/>
  <c r="E374" i="5" s="1"/>
  <c r="G375" i="5"/>
  <c r="E375" i="5" s="1"/>
  <c r="G376" i="5"/>
  <c r="E376" i="5" s="1"/>
  <c r="G377" i="5"/>
  <c r="E377" i="5" s="1"/>
  <c r="G378" i="5"/>
  <c r="G379" i="5"/>
  <c r="E379" i="5" s="1"/>
  <c r="G380" i="5"/>
  <c r="E380" i="5" s="1"/>
  <c r="G381" i="5"/>
  <c r="E381" i="5" s="1"/>
  <c r="G382" i="5"/>
  <c r="E382" i="5" s="1"/>
  <c r="G383" i="5"/>
  <c r="E383" i="5" s="1"/>
  <c r="G384" i="5"/>
  <c r="E384" i="5" s="1"/>
  <c r="G385" i="5"/>
  <c r="E385" i="5" s="1"/>
  <c r="G386" i="5"/>
  <c r="E386" i="5" s="1"/>
  <c r="G387" i="5"/>
  <c r="E387" i="5" s="1"/>
  <c r="G388" i="5"/>
  <c r="E388" i="5" s="1"/>
  <c r="G389" i="5"/>
  <c r="E389" i="5" s="1"/>
  <c r="G390" i="5"/>
  <c r="E390" i="5" s="1"/>
  <c r="G391" i="5"/>
  <c r="E391" i="5" s="1"/>
  <c r="G392" i="5"/>
  <c r="E392" i="5" s="1"/>
  <c r="G393" i="5"/>
  <c r="E393" i="5" s="1"/>
  <c r="G394" i="5"/>
  <c r="E394" i="5" s="1"/>
  <c r="G395" i="5"/>
  <c r="E395" i="5" s="1"/>
  <c r="G396" i="5"/>
  <c r="E396" i="5" s="1"/>
  <c r="G397" i="5"/>
  <c r="E397" i="5" s="1"/>
  <c r="G398" i="5"/>
  <c r="E398" i="5" s="1"/>
  <c r="G399" i="5"/>
  <c r="E399" i="5" s="1"/>
  <c r="G400" i="5"/>
  <c r="E400" i="5" s="1"/>
  <c r="G401" i="5"/>
  <c r="E401" i="5" s="1"/>
  <c r="G402" i="5"/>
  <c r="E402" i="5" s="1"/>
  <c r="G403" i="5"/>
  <c r="E403" i="5" s="1"/>
  <c r="G404" i="5"/>
  <c r="E404" i="5" s="1"/>
  <c r="G405" i="5"/>
  <c r="E405" i="5" s="1"/>
  <c r="G406" i="5"/>
  <c r="E406" i="5" s="1"/>
  <c r="G407" i="5"/>
  <c r="E407" i="5" s="1"/>
  <c r="G408" i="5"/>
  <c r="E408" i="5" s="1"/>
  <c r="G409" i="5"/>
  <c r="E409" i="5" s="1"/>
  <c r="G410" i="5"/>
  <c r="E410" i="5" s="1"/>
  <c r="G411" i="5"/>
  <c r="E411" i="5" s="1"/>
  <c r="G412" i="5"/>
  <c r="E412" i="5" s="1"/>
  <c r="G413" i="5"/>
  <c r="E413" i="5" s="1"/>
  <c r="G414" i="5"/>
  <c r="E414" i="5" s="1"/>
  <c r="G415" i="5"/>
  <c r="E415" i="5" s="1"/>
  <c r="G416" i="5"/>
  <c r="E416" i="5" s="1"/>
  <c r="G417" i="5"/>
  <c r="E417" i="5" s="1"/>
  <c r="G418" i="5"/>
  <c r="E418" i="5" s="1"/>
  <c r="G419" i="5"/>
  <c r="E419" i="5" s="1"/>
  <c r="G420" i="5"/>
  <c r="E420" i="5" s="1"/>
  <c r="G421" i="5"/>
  <c r="E421" i="5" s="1"/>
  <c r="G422" i="5"/>
  <c r="E422" i="5" s="1"/>
  <c r="G423" i="5"/>
  <c r="E423" i="5" s="1"/>
  <c r="G424" i="5"/>
  <c r="E424" i="5" s="1"/>
  <c r="G425" i="5"/>
  <c r="E425" i="5" s="1"/>
  <c r="G426" i="5"/>
  <c r="E426" i="5" s="1"/>
  <c r="G427" i="5"/>
  <c r="E427" i="5" s="1"/>
  <c r="G428" i="5"/>
  <c r="E428" i="5" s="1"/>
  <c r="G429" i="5"/>
  <c r="E429" i="5" s="1"/>
  <c r="G430" i="5"/>
  <c r="E430" i="5" s="1"/>
  <c r="G431" i="5"/>
  <c r="E431" i="5" s="1"/>
  <c r="G432" i="5"/>
  <c r="E432" i="5" s="1"/>
  <c r="G433" i="5"/>
  <c r="E433" i="5" s="1"/>
  <c r="G434" i="5"/>
  <c r="E434" i="5" s="1"/>
  <c r="G435" i="5"/>
  <c r="E435" i="5" s="1"/>
  <c r="G436" i="5"/>
  <c r="E436" i="5" s="1"/>
  <c r="G437" i="5"/>
  <c r="E437" i="5" s="1"/>
  <c r="G438" i="5"/>
  <c r="E438" i="5" s="1"/>
  <c r="G439" i="5"/>
  <c r="E439" i="5" s="1"/>
  <c r="G440" i="5"/>
  <c r="E440" i="5" s="1"/>
  <c r="G441" i="5"/>
  <c r="E441" i="5" s="1"/>
  <c r="G442" i="5"/>
  <c r="E442" i="5" s="1"/>
  <c r="G443" i="5"/>
  <c r="E443" i="5" s="1"/>
  <c r="G444" i="5"/>
  <c r="E444" i="5" s="1"/>
  <c r="G445" i="5"/>
  <c r="E445" i="5" s="1"/>
  <c r="G446" i="5"/>
  <c r="E446" i="5" s="1"/>
  <c r="G447" i="5"/>
  <c r="E447" i="5" s="1"/>
  <c r="G448" i="5"/>
  <c r="E448" i="5" s="1"/>
  <c r="G449" i="5"/>
  <c r="E449" i="5" s="1"/>
  <c r="G450" i="5"/>
  <c r="E450" i="5" s="1"/>
  <c r="G451" i="5"/>
  <c r="E451" i="5" s="1"/>
  <c r="G452" i="5"/>
  <c r="E452" i="5" s="1"/>
  <c r="G453" i="5"/>
  <c r="E453" i="5" s="1"/>
  <c r="G454" i="5"/>
  <c r="E454" i="5" s="1"/>
  <c r="G455" i="5"/>
  <c r="E455" i="5" s="1"/>
  <c r="G456" i="5"/>
  <c r="E456" i="5" s="1"/>
  <c r="G457" i="5"/>
  <c r="E457" i="5" s="1"/>
  <c r="G458" i="5"/>
  <c r="E458" i="5" s="1"/>
  <c r="G459" i="5"/>
  <c r="E459" i="5" s="1"/>
  <c r="G460" i="5"/>
  <c r="E460" i="5" s="1"/>
  <c r="G461" i="5"/>
  <c r="E461" i="5" s="1"/>
  <c r="G462" i="5"/>
  <c r="E462" i="5" s="1"/>
  <c r="G463" i="5"/>
  <c r="E463" i="5" s="1"/>
  <c r="G464" i="5"/>
  <c r="E464" i="5" s="1"/>
  <c r="G465" i="5"/>
  <c r="E465" i="5" s="1"/>
  <c r="G466" i="5"/>
  <c r="E466" i="5" s="1"/>
  <c r="G467" i="5"/>
  <c r="E467" i="5" s="1"/>
  <c r="G468" i="5"/>
  <c r="E468" i="5" s="1"/>
  <c r="G469" i="5"/>
  <c r="E469" i="5" s="1"/>
  <c r="G470" i="5"/>
  <c r="E470" i="5" s="1"/>
  <c r="G471" i="5"/>
  <c r="E471" i="5" s="1"/>
  <c r="G472" i="5"/>
  <c r="E472" i="5" s="1"/>
  <c r="G473" i="5"/>
  <c r="E473" i="5" s="1"/>
  <c r="G474" i="5"/>
  <c r="E474" i="5" s="1"/>
  <c r="G475" i="5"/>
  <c r="E475" i="5" s="1"/>
  <c r="G476" i="5"/>
  <c r="E476" i="5" s="1"/>
  <c r="G477" i="5"/>
  <c r="E477" i="5" s="1"/>
  <c r="G478" i="5"/>
  <c r="E478" i="5" s="1"/>
  <c r="G479" i="5"/>
  <c r="E479" i="5" s="1"/>
  <c r="G480" i="5"/>
  <c r="E480" i="5" s="1"/>
  <c r="G481" i="5"/>
  <c r="E481" i="5" s="1"/>
  <c r="G482" i="5"/>
  <c r="E482" i="5" s="1"/>
  <c r="G483" i="5"/>
  <c r="E483" i="5" s="1"/>
  <c r="G484" i="5"/>
  <c r="E484" i="5" s="1"/>
  <c r="G485" i="5"/>
  <c r="E485" i="5" s="1"/>
  <c r="G486" i="5"/>
  <c r="E486" i="5" s="1"/>
  <c r="G487" i="5"/>
  <c r="E487" i="5" s="1"/>
  <c r="G488" i="5"/>
  <c r="E488" i="5" s="1"/>
  <c r="G489" i="5"/>
  <c r="E489" i="5" s="1"/>
  <c r="G490" i="5"/>
  <c r="E490" i="5" s="1"/>
  <c r="G491" i="5"/>
  <c r="E491" i="5" s="1"/>
  <c r="G492" i="5"/>
  <c r="E492" i="5" s="1"/>
  <c r="G493" i="5"/>
  <c r="E493" i="5" s="1"/>
  <c r="G494" i="5"/>
  <c r="E494" i="5" s="1"/>
  <c r="G495" i="5"/>
  <c r="E495" i="5" s="1"/>
  <c r="G496" i="5"/>
  <c r="E496" i="5" s="1"/>
  <c r="G497" i="5"/>
  <c r="E497" i="5" s="1"/>
  <c r="G498" i="5"/>
  <c r="E498" i="5" s="1"/>
  <c r="G499" i="5"/>
  <c r="E499" i="5" s="1"/>
  <c r="G500" i="5"/>
  <c r="E500" i="5" s="1"/>
  <c r="G501" i="5"/>
  <c r="E501" i="5" s="1"/>
  <c r="G502" i="5"/>
  <c r="E502" i="5" s="1"/>
  <c r="G503" i="5"/>
  <c r="E503" i="5" s="1"/>
  <c r="G504" i="5"/>
  <c r="E504" i="5" s="1"/>
  <c r="G505" i="5"/>
  <c r="E505" i="5" s="1"/>
  <c r="G506" i="5"/>
  <c r="E506" i="5" s="1"/>
  <c r="G507" i="5"/>
  <c r="E507" i="5" s="1"/>
  <c r="G508" i="5"/>
  <c r="E508" i="5" s="1"/>
  <c r="G509" i="5"/>
  <c r="E509" i="5" s="1"/>
  <c r="G510" i="5"/>
  <c r="E510" i="5" s="1"/>
  <c r="G511" i="5"/>
  <c r="E511" i="5" s="1"/>
  <c r="G512" i="5"/>
  <c r="E512" i="5" s="1"/>
  <c r="G513" i="5"/>
  <c r="E513" i="5" s="1"/>
  <c r="G514" i="5"/>
  <c r="E514" i="5" s="1"/>
  <c r="G515" i="5"/>
  <c r="E515" i="5" s="1"/>
  <c r="G516" i="5"/>
  <c r="E516" i="5" s="1"/>
  <c r="G517" i="5"/>
  <c r="E517" i="5" s="1"/>
  <c r="G518" i="5"/>
  <c r="E518" i="5" s="1"/>
  <c r="G519" i="5"/>
  <c r="E519" i="5" s="1"/>
  <c r="G520" i="5"/>
  <c r="E520" i="5" s="1"/>
  <c r="G521" i="5"/>
  <c r="E521" i="5" s="1"/>
  <c r="G522" i="5"/>
  <c r="E522" i="5" s="1"/>
  <c r="G523" i="5"/>
  <c r="E523" i="5" s="1"/>
  <c r="G524" i="5"/>
  <c r="E524" i="5" s="1"/>
  <c r="G525" i="5"/>
  <c r="E525" i="5" s="1"/>
  <c r="G526" i="5"/>
  <c r="E526" i="5" s="1"/>
  <c r="G527" i="5"/>
  <c r="E527" i="5" s="1"/>
  <c r="G528" i="5"/>
  <c r="E528" i="5" s="1"/>
  <c r="G529" i="5"/>
  <c r="E529" i="5" s="1"/>
  <c r="G530" i="5"/>
  <c r="E530" i="5" s="1"/>
  <c r="G531" i="5"/>
  <c r="E531" i="5" s="1"/>
  <c r="G532" i="5"/>
  <c r="E532" i="5" s="1"/>
  <c r="G533" i="5"/>
  <c r="E533" i="5" s="1"/>
  <c r="G534" i="5"/>
  <c r="E534" i="5" s="1"/>
  <c r="G535" i="5"/>
  <c r="E535" i="5" s="1"/>
  <c r="G536" i="5"/>
  <c r="E536" i="5" s="1"/>
  <c r="G537" i="5"/>
  <c r="E537" i="5" s="1"/>
  <c r="G538" i="5"/>
  <c r="E538" i="5" s="1"/>
  <c r="G539" i="5"/>
  <c r="E539" i="5" s="1"/>
  <c r="G540" i="5"/>
  <c r="E540" i="5" s="1"/>
  <c r="G541" i="5"/>
  <c r="E541" i="5" s="1"/>
  <c r="G542" i="5"/>
  <c r="E542" i="5" s="1"/>
  <c r="G543" i="5"/>
  <c r="E543" i="5" s="1"/>
  <c r="G544" i="5"/>
  <c r="E544" i="5" s="1"/>
  <c r="G545" i="5"/>
  <c r="E545" i="5" s="1"/>
  <c r="G546" i="5"/>
  <c r="E546" i="5" s="1"/>
  <c r="G547" i="5"/>
  <c r="E547" i="5" s="1"/>
  <c r="G548" i="5"/>
  <c r="E548" i="5" s="1"/>
  <c r="G549" i="5"/>
  <c r="E549" i="5" s="1"/>
  <c r="G550" i="5"/>
  <c r="E550" i="5" s="1"/>
  <c r="G551" i="5"/>
  <c r="E551" i="5" s="1"/>
  <c r="G552" i="5"/>
  <c r="E552" i="5" s="1"/>
  <c r="G553" i="5"/>
  <c r="E553" i="5" s="1"/>
  <c r="G554" i="5"/>
  <c r="E554" i="5" s="1"/>
  <c r="G555" i="5"/>
  <c r="E555" i="5" s="1"/>
  <c r="G556" i="5"/>
  <c r="E556" i="5" s="1"/>
  <c r="G557" i="5"/>
  <c r="E557" i="5" s="1"/>
  <c r="G558" i="5"/>
  <c r="E558" i="5" s="1"/>
  <c r="G559" i="5"/>
  <c r="E559" i="5" s="1"/>
  <c r="G560" i="5"/>
  <c r="E560" i="5" s="1"/>
  <c r="G561" i="5"/>
  <c r="E561" i="5" s="1"/>
  <c r="G562" i="5"/>
  <c r="E562" i="5" s="1"/>
  <c r="G563" i="5"/>
  <c r="E563" i="5" s="1"/>
  <c r="G564" i="5"/>
  <c r="E564" i="5" s="1"/>
  <c r="G565" i="5"/>
  <c r="E565" i="5" s="1"/>
  <c r="G566" i="5"/>
  <c r="E566" i="5" s="1"/>
  <c r="G567" i="5"/>
  <c r="E567" i="5" s="1"/>
  <c r="G568" i="5"/>
  <c r="E568" i="5" s="1"/>
  <c r="G569" i="5"/>
  <c r="E569" i="5" s="1"/>
  <c r="G570" i="5"/>
  <c r="E570" i="5" s="1"/>
  <c r="G571" i="5"/>
  <c r="E571" i="5" s="1"/>
  <c r="G572" i="5"/>
  <c r="E572" i="5" s="1"/>
  <c r="G573" i="5"/>
  <c r="E573" i="5" s="1"/>
  <c r="G574" i="5"/>
  <c r="E574" i="5" s="1"/>
  <c r="G575" i="5"/>
  <c r="E575" i="5" s="1"/>
  <c r="G576" i="5"/>
  <c r="E576" i="5" s="1"/>
  <c r="G577" i="5"/>
  <c r="E577" i="5" s="1"/>
  <c r="G578" i="5"/>
  <c r="E578" i="5" s="1"/>
  <c r="G579" i="5"/>
  <c r="E579" i="5" s="1"/>
  <c r="G580" i="5"/>
  <c r="E580" i="5" s="1"/>
  <c r="G581" i="5"/>
  <c r="E581" i="5" s="1"/>
  <c r="G582" i="5"/>
  <c r="E582" i="5" s="1"/>
  <c r="G583" i="5"/>
  <c r="E583" i="5" s="1"/>
  <c r="G584" i="5"/>
  <c r="E584" i="5" s="1"/>
  <c r="G585" i="5"/>
  <c r="E585" i="5" s="1"/>
  <c r="G586" i="5"/>
  <c r="E586" i="5" s="1"/>
  <c r="G587" i="5"/>
  <c r="E587" i="5" s="1"/>
  <c r="G588" i="5"/>
  <c r="E588" i="5" s="1"/>
  <c r="G589" i="5"/>
  <c r="E589" i="5" s="1"/>
  <c r="G590" i="5"/>
  <c r="E590" i="5" s="1"/>
  <c r="G591" i="5"/>
  <c r="E591" i="5" s="1"/>
  <c r="G592" i="5"/>
  <c r="E592" i="5" s="1"/>
  <c r="G593" i="5"/>
  <c r="E593" i="5" s="1"/>
  <c r="G594" i="5"/>
  <c r="E594" i="5" s="1"/>
  <c r="G595" i="5"/>
  <c r="E595" i="5" s="1"/>
  <c r="G596" i="5"/>
  <c r="E596" i="5" s="1"/>
  <c r="G597" i="5"/>
  <c r="E597" i="5" s="1"/>
  <c r="G598" i="5"/>
  <c r="E598" i="5" s="1"/>
  <c r="G599" i="5"/>
  <c r="E599" i="5" s="1"/>
  <c r="G600" i="5"/>
  <c r="E600" i="5" s="1"/>
  <c r="G601" i="5"/>
  <c r="E601" i="5" s="1"/>
  <c r="G602" i="5"/>
  <c r="E602" i="5" s="1"/>
  <c r="G603" i="5"/>
  <c r="E603" i="5" s="1"/>
  <c r="G604" i="5"/>
  <c r="E604" i="5" s="1"/>
  <c r="G605" i="5"/>
  <c r="E605" i="5" s="1"/>
  <c r="G606" i="5"/>
  <c r="E606" i="5" s="1"/>
  <c r="G607" i="5"/>
  <c r="E607" i="5" s="1"/>
  <c r="G608" i="5"/>
  <c r="E608" i="5" s="1"/>
  <c r="G609" i="5"/>
  <c r="E609" i="5" s="1"/>
  <c r="G610" i="5"/>
  <c r="E610" i="5" s="1"/>
  <c r="G611" i="5"/>
  <c r="E611" i="5" s="1"/>
  <c r="G612" i="5"/>
  <c r="E612" i="5" s="1"/>
  <c r="G613" i="5"/>
  <c r="E613" i="5" s="1"/>
  <c r="G614" i="5"/>
  <c r="E614" i="5" s="1"/>
  <c r="G615" i="5"/>
  <c r="E615" i="5" s="1"/>
  <c r="G616" i="5"/>
  <c r="E616" i="5" s="1"/>
  <c r="G617" i="5"/>
  <c r="E617" i="5" s="1"/>
  <c r="G618" i="5"/>
  <c r="E618" i="5" s="1"/>
  <c r="G619" i="5"/>
  <c r="E619" i="5" s="1"/>
  <c r="G620" i="5"/>
  <c r="E620" i="5" s="1"/>
  <c r="G621" i="5"/>
  <c r="E621" i="5" s="1"/>
  <c r="G622" i="5"/>
  <c r="E622" i="5" s="1"/>
  <c r="G623" i="5"/>
  <c r="E623" i="5" s="1"/>
  <c r="G624" i="5"/>
  <c r="E624" i="5" s="1"/>
  <c r="G625" i="5"/>
  <c r="E625" i="5" s="1"/>
  <c r="G626" i="5"/>
  <c r="E626" i="5" s="1"/>
  <c r="G627" i="5"/>
  <c r="E627" i="5" s="1"/>
  <c r="G628" i="5"/>
  <c r="E628" i="5" s="1"/>
  <c r="G629" i="5"/>
  <c r="E629" i="5" s="1"/>
  <c r="G630" i="5"/>
  <c r="E630" i="5" s="1"/>
  <c r="G631" i="5"/>
  <c r="E631" i="5" s="1"/>
  <c r="G632" i="5"/>
  <c r="E632" i="5" s="1"/>
  <c r="G633" i="5"/>
  <c r="E633" i="5" s="1"/>
  <c r="G634" i="5"/>
  <c r="E634" i="5" s="1"/>
  <c r="G635" i="5"/>
  <c r="E635" i="5" s="1"/>
  <c r="G636" i="5"/>
  <c r="E636" i="5" s="1"/>
  <c r="G637" i="5"/>
  <c r="E637" i="5" s="1"/>
  <c r="G638" i="5"/>
  <c r="E638" i="5" s="1"/>
  <c r="G639" i="5"/>
  <c r="E639" i="5" s="1"/>
  <c r="G640" i="5"/>
  <c r="E640" i="5" s="1"/>
  <c r="G641" i="5"/>
  <c r="E641" i="5" s="1"/>
  <c r="G642" i="5"/>
  <c r="E642" i="5" s="1"/>
  <c r="G643" i="5"/>
  <c r="E643" i="5" s="1"/>
  <c r="G644" i="5"/>
  <c r="E644" i="5" s="1"/>
  <c r="G645" i="5"/>
  <c r="E645" i="5" s="1"/>
  <c r="G646" i="5"/>
  <c r="E646" i="5" s="1"/>
  <c r="G647" i="5"/>
  <c r="E647" i="5" s="1"/>
  <c r="G648" i="5"/>
  <c r="E648" i="5" s="1"/>
  <c r="G649" i="5"/>
  <c r="E649" i="5" s="1"/>
  <c r="G650" i="5"/>
  <c r="E650" i="5" s="1"/>
  <c r="G651" i="5"/>
  <c r="E651" i="5" s="1"/>
  <c r="G652" i="5"/>
  <c r="E652" i="5" s="1"/>
  <c r="G653" i="5"/>
  <c r="E653" i="5" s="1"/>
  <c r="G654" i="5"/>
  <c r="E654" i="5" s="1"/>
  <c r="G655" i="5"/>
  <c r="E655" i="5" s="1"/>
  <c r="G656" i="5"/>
  <c r="E656" i="5" s="1"/>
  <c r="G657" i="5"/>
  <c r="E657" i="5" s="1"/>
  <c r="G658" i="5"/>
  <c r="E658" i="5" s="1"/>
  <c r="G659" i="5"/>
  <c r="E659" i="5" s="1"/>
  <c r="G660" i="5"/>
  <c r="E660" i="5" s="1"/>
  <c r="G661" i="5"/>
  <c r="E661" i="5" s="1"/>
  <c r="G662" i="5"/>
  <c r="E662" i="5" s="1"/>
  <c r="G663" i="5"/>
  <c r="E663" i="5" s="1"/>
  <c r="G664" i="5"/>
  <c r="E664" i="5" s="1"/>
  <c r="G665" i="5"/>
  <c r="E665" i="5" s="1"/>
  <c r="G666" i="5"/>
  <c r="E666" i="5" s="1"/>
  <c r="G667" i="5"/>
  <c r="E667" i="5" s="1"/>
  <c r="G668" i="5"/>
  <c r="E668" i="5" s="1"/>
  <c r="G669" i="5"/>
  <c r="E669" i="5" s="1"/>
  <c r="G670" i="5"/>
  <c r="E670" i="5" s="1"/>
  <c r="G671" i="5"/>
  <c r="E671" i="5" s="1"/>
  <c r="G672" i="5"/>
  <c r="E672" i="5" s="1"/>
  <c r="G673" i="5"/>
  <c r="E673" i="5" s="1"/>
  <c r="G674" i="5"/>
  <c r="E674" i="5" s="1"/>
  <c r="G675" i="5"/>
  <c r="E675" i="5" s="1"/>
  <c r="G676" i="5"/>
  <c r="E676" i="5" s="1"/>
  <c r="G677" i="5"/>
  <c r="E677" i="5" s="1"/>
  <c r="G678" i="5"/>
  <c r="E678" i="5" s="1"/>
  <c r="G679" i="5"/>
  <c r="E679" i="5" s="1"/>
  <c r="G680" i="5"/>
  <c r="E680" i="5" s="1"/>
  <c r="G681" i="5"/>
  <c r="E681" i="5" s="1"/>
  <c r="G682" i="5"/>
  <c r="E682" i="5" s="1"/>
  <c r="G683" i="5"/>
  <c r="E683" i="5" s="1"/>
  <c r="G684" i="5"/>
  <c r="E684" i="5" s="1"/>
  <c r="G685" i="5"/>
  <c r="E685" i="5" s="1"/>
  <c r="G686" i="5"/>
  <c r="E686" i="5" s="1"/>
  <c r="G687" i="5"/>
  <c r="E687" i="5" s="1"/>
  <c r="G688" i="5"/>
  <c r="E688" i="5" s="1"/>
  <c r="G689" i="5"/>
  <c r="E689" i="5" s="1"/>
  <c r="G690" i="5"/>
  <c r="E690" i="5" s="1"/>
  <c r="G691" i="5"/>
  <c r="E691" i="5" s="1"/>
  <c r="G692" i="5"/>
  <c r="E692" i="5" s="1"/>
  <c r="G693" i="5"/>
  <c r="E693" i="5" s="1"/>
  <c r="G694" i="5"/>
  <c r="E694" i="5" s="1"/>
  <c r="G695" i="5"/>
  <c r="E695" i="5" s="1"/>
  <c r="G696" i="5"/>
  <c r="E696" i="5" s="1"/>
  <c r="G697" i="5"/>
  <c r="E697" i="5" s="1"/>
  <c r="G698" i="5"/>
  <c r="E698" i="5" s="1"/>
  <c r="G699" i="5"/>
  <c r="E699" i="5" s="1"/>
  <c r="G700" i="5"/>
  <c r="E700" i="5" s="1"/>
  <c r="G701" i="5"/>
  <c r="E701" i="5" s="1"/>
  <c r="G702" i="5"/>
  <c r="E702" i="5" s="1"/>
  <c r="G703" i="5"/>
  <c r="E703" i="5" s="1"/>
  <c r="G704" i="5"/>
  <c r="E704" i="5" s="1"/>
  <c r="G705" i="5"/>
  <c r="E705" i="5" s="1"/>
  <c r="G706" i="5"/>
  <c r="E706" i="5" s="1"/>
  <c r="G707" i="5"/>
  <c r="E707" i="5" s="1"/>
  <c r="G708" i="5"/>
  <c r="E708" i="5" s="1"/>
  <c r="G709" i="5"/>
  <c r="E709" i="5" s="1"/>
  <c r="G710" i="5"/>
  <c r="E710" i="5" s="1"/>
  <c r="G711" i="5"/>
  <c r="E711" i="5" s="1"/>
  <c r="G712" i="5"/>
  <c r="E712" i="5" s="1"/>
  <c r="G713" i="5"/>
  <c r="E713" i="5" s="1"/>
  <c r="G714" i="5"/>
  <c r="E714" i="5" s="1"/>
  <c r="G715" i="5"/>
  <c r="E715" i="5" s="1"/>
  <c r="G716" i="5"/>
  <c r="E716" i="5" s="1"/>
  <c r="G717" i="5"/>
  <c r="E717" i="5" s="1"/>
  <c r="G718" i="5"/>
  <c r="E718" i="5" s="1"/>
  <c r="G719" i="5"/>
  <c r="E719" i="5" s="1"/>
  <c r="G720" i="5"/>
  <c r="E720" i="5" s="1"/>
  <c r="G721" i="5"/>
  <c r="E721" i="5" s="1"/>
  <c r="G722" i="5"/>
  <c r="E722" i="5" s="1"/>
  <c r="G723" i="5"/>
  <c r="E723" i="5" s="1"/>
  <c r="G724" i="5"/>
  <c r="E724" i="5" s="1"/>
  <c r="G725" i="5"/>
  <c r="E725" i="5" s="1"/>
  <c r="G726" i="5"/>
  <c r="E726" i="5" s="1"/>
  <c r="G727" i="5"/>
  <c r="E727" i="5" s="1"/>
  <c r="G728" i="5"/>
  <c r="E728" i="5" s="1"/>
  <c r="G729" i="5"/>
  <c r="E729" i="5" s="1"/>
  <c r="G730" i="5"/>
  <c r="E730" i="5" s="1"/>
  <c r="G731" i="5"/>
  <c r="E731" i="5" s="1"/>
  <c r="G732" i="5"/>
  <c r="E732" i="5" s="1"/>
  <c r="G733" i="5"/>
  <c r="E733" i="5" s="1"/>
  <c r="G734" i="5"/>
  <c r="E734" i="5" s="1"/>
  <c r="G735" i="5"/>
  <c r="E735" i="5" s="1"/>
  <c r="G736" i="5"/>
  <c r="E736" i="5" s="1"/>
  <c r="G737" i="5"/>
  <c r="E737" i="5" s="1"/>
  <c r="G738" i="5"/>
  <c r="E738" i="5" s="1"/>
  <c r="G739" i="5"/>
  <c r="E739" i="5" s="1"/>
  <c r="G740" i="5"/>
  <c r="E740" i="5" s="1"/>
  <c r="G741" i="5"/>
  <c r="E741" i="5" s="1"/>
  <c r="G742" i="5"/>
  <c r="E742" i="5" s="1"/>
  <c r="G743" i="5"/>
  <c r="E743" i="5" s="1"/>
  <c r="G744" i="5"/>
  <c r="E744" i="5" s="1"/>
  <c r="G745" i="5"/>
  <c r="E745" i="5" s="1"/>
  <c r="G746" i="5"/>
  <c r="E746" i="5" s="1"/>
  <c r="G747" i="5"/>
  <c r="E747" i="5" s="1"/>
  <c r="G748" i="5"/>
  <c r="E748" i="5" s="1"/>
  <c r="G749" i="5"/>
  <c r="E749" i="5" s="1"/>
  <c r="G750" i="5"/>
  <c r="E750" i="5" s="1"/>
  <c r="G751" i="5"/>
  <c r="E751" i="5" s="1"/>
  <c r="G752" i="5"/>
  <c r="E752" i="5" s="1"/>
  <c r="G753" i="5"/>
  <c r="E753" i="5" s="1"/>
  <c r="G754" i="5"/>
  <c r="E754" i="5" s="1"/>
  <c r="G755" i="5"/>
  <c r="E755" i="5" s="1"/>
  <c r="G756" i="5"/>
  <c r="E756" i="5" s="1"/>
  <c r="G757" i="5"/>
  <c r="E757" i="5" s="1"/>
  <c r="G758" i="5"/>
  <c r="E758" i="5" s="1"/>
  <c r="G759" i="5"/>
  <c r="E759" i="5" s="1"/>
  <c r="G760" i="5"/>
  <c r="E760" i="5" s="1"/>
  <c r="G761" i="5"/>
  <c r="E761" i="5" s="1"/>
  <c r="G762" i="5"/>
  <c r="E762" i="5" s="1"/>
  <c r="G763" i="5"/>
  <c r="E763" i="5" s="1"/>
  <c r="G764" i="5"/>
  <c r="E764" i="5" s="1"/>
  <c r="G765" i="5"/>
  <c r="E765" i="5" s="1"/>
  <c r="G766" i="5"/>
  <c r="E766" i="5" s="1"/>
  <c r="G767" i="5"/>
  <c r="E767" i="5" s="1"/>
  <c r="G768" i="5"/>
  <c r="E768" i="5" s="1"/>
  <c r="G769" i="5"/>
  <c r="E769" i="5" s="1"/>
  <c r="G770" i="5"/>
  <c r="E770" i="5" s="1"/>
  <c r="G771" i="5"/>
  <c r="E771" i="5" s="1"/>
  <c r="G772" i="5"/>
  <c r="E772" i="5" s="1"/>
  <c r="G773" i="5"/>
  <c r="E773" i="5" s="1"/>
  <c r="G774" i="5"/>
  <c r="E774" i="5" s="1"/>
  <c r="G775" i="5"/>
  <c r="E775" i="5" s="1"/>
  <c r="G776" i="5"/>
  <c r="E776" i="5" s="1"/>
  <c r="G777" i="5"/>
  <c r="E777" i="5" s="1"/>
  <c r="G778" i="5"/>
  <c r="E778" i="5" s="1"/>
  <c r="G779" i="5"/>
  <c r="E779" i="5" s="1"/>
  <c r="G780" i="5"/>
  <c r="E780" i="5" s="1"/>
  <c r="G781" i="5"/>
  <c r="E781" i="5" s="1"/>
  <c r="G782" i="5"/>
  <c r="E782" i="5" s="1"/>
  <c r="G783" i="5"/>
  <c r="E783" i="5" s="1"/>
  <c r="G784" i="5"/>
  <c r="E784" i="5" s="1"/>
  <c r="G785" i="5"/>
  <c r="E785" i="5" s="1"/>
  <c r="G786" i="5"/>
  <c r="E786" i="5" s="1"/>
  <c r="G787" i="5"/>
  <c r="E787" i="5" s="1"/>
  <c r="G788" i="5"/>
  <c r="E788" i="5" s="1"/>
  <c r="G789" i="5"/>
  <c r="E789" i="5" s="1"/>
  <c r="G790" i="5"/>
  <c r="E790" i="5" s="1"/>
  <c r="G791" i="5"/>
  <c r="E791" i="5" s="1"/>
  <c r="G792" i="5"/>
  <c r="E792" i="5" s="1"/>
  <c r="G793" i="5"/>
  <c r="E793" i="5" s="1"/>
  <c r="G794" i="5"/>
  <c r="E794" i="5" s="1"/>
  <c r="G795" i="5"/>
  <c r="E795" i="5" s="1"/>
  <c r="G796" i="5"/>
  <c r="E796" i="5" s="1"/>
  <c r="G797" i="5"/>
  <c r="E797" i="5" s="1"/>
  <c r="G798" i="5"/>
  <c r="E798" i="5" s="1"/>
  <c r="G799" i="5"/>
  <c r="E799" i="5" s="1"/>
  <c r="G800" i="5"/>
  <c r="E800" i="5" s="1"/>
  <c r="G801" i="5"/>
  <c r="E801" i="5" s="1"/>
  <c r="G802" i="5"/>
  <c r="E802" i="5" s="1"/>
  <c r="G803" i="5"/>
  <c r="E803" i="5" s="1"/>
  <c r="G804" i="5"/>
  <c r="E804" i="5" s="1"/>
  <c r="G805" i="5"/>
  <c r="E805" i="5" s="1"/>
  <c r="G806" i="5"/>
  <c r="E806" i="5" s="1"/>
  <c r="G807" i="5"/>
  <c r="E807" i="5" s="1"/>
  <c r="G808" i="5"/>
  <c r="E808" i="5" s="1"/>
  <c r="G809" i="5"/>
  <c r="E809" i="5" s="1"/>
  <c r="G810" i="5"/>
  <c r="E810" i="5" s="1"/>
  <c r="G811" i="5"/>
  <c r="E811" i="5" s="1"/>
  <c r="G812" i="5"/>
  <c r="E812" i="5" s="1"/>
  <c r="G813" i="5"/>
  <c r="E813" i="5" s="1"/>
  <c r="G814" i="5"/>
  <c r="E814" i="5" s="1"/>
  <c r="G815" i="5"/>
  <c r="E815" i="5" s="1"/>
  <c r="G816" i="5"/>
  <c r="E816" i="5" s="1"/>
  <c r="G817" i="5"/>
  <c r="E817" i="5" s="1"/>
  <c r="G818" i="5"/>
  <c r="E818" i="5" s="1"/>
  <c r="G819" i="5"/>
  <c r="E819" i="5" s="1"/>
  <c r="G820" i="5"/>
  <c r="E820" i="5" s="1"/>
  <c r="G821" i="5"/>
  <c r="E821" i="5" s="1"/>
  <c r="G822" i="5"/>
  <c r="E822" i="5" s="1"/>
  <c r="G823" i="5"/>
  <c r="E823" i="5" s="1"/>
  <c r="G824" i="5"/>
  <c r="E824" i="5" s="1"/>
  <c r="G825" i="5"/>
  <c r="E825" i="5" s="1"/>
  <c r="G826" i="5"/>
  <c r="E826" i="5" s="1"/>
  <c r="G827" i="5"/>
  <c r="E827" i="5" s="1"/>
  <c r="G828" i="5"/>
  <c r="E828" i="5" s="1"/>
  <c r="G829" i="5"/>
  <c r="E829" i="5" s="1"/>
  <c r="G830" i="5"/>
  <c r="E830" i="5" s="1"/>
  <c r="G831" i="5"/>
  <c r="E831" i="5" s="1"/>
  <c r="G832" i="5"/>
  <c r="E832" i="5" s="1"/>
  <c r="G833" i="5"/>
  <c r="E833" i="5" s="1"/>
  <c r="G834" i="5"/>
  <c r="E834" i="5" s="1"/>
  <c r="G835" i="5"/>
  <c r="E835" i="5" s="1"/>
  <c r="G836" i="5"/>
  <c r="E836" i="5" s="1"/>
  <c r="G837" i="5"/>
  <c r="E837" i="5" s="1"/>
  <c r="G838" i="5"/>
  <c r="E838" i="5" s="1"/>
  <c r="G839" i="5"/>
  <c r="E839" i="5" s="1"/>
  <c r="G840" i="5"/>
  <c r="E840" i="5" s="1"/>
  <c r="G841" i="5"/>
  <c r="E841" i="5" s="1"/>
  <c r="G842" i="5"/>
  <c r="E842" i="5" s="1"/>
  <c r="G843" i="5"/>
  <c r="E843" i="5" s="1"/>
  <c r="G844" i="5"/>
  <c r="E844" i="5" s="1"/>
  <c r="G845" i="5"/>
  <c r="E845" i="5" s="1"/>
  <c r="G846" i="5"/>
  <c r="E846" i="5" s="1"/>
  <c r="G847" i="5"/>
  <c r="E847" i="5" s="1"/>
  <c r="G848" i="5"/>
  <c r="E848" i="5" s="1"/>
  <c r="G849" i="5"/>
  <c r="E849" i="5" s="1"/>
  <c r="G850" i="5"/>
  <c r="E850" i="5" s="1"/>
  <c r="G851" i="5"/>
  <c r="E851" i="5" s="1"/>
  <c r="G852" i="5"/>
  <c r="E852" i="5" s="1"/>
  <c r="G853" i="5"/>
  <c r="E853" i="5" s="1"/>
  <c r="G854" i="5"/>
  <c r="E854" i="5" s="1"/>
  <c r="G855" i="5"/>
  <c r="E855" i="5" s="1"/>
  <c r="G856" i="5"/>
  <c r="E856" i="5" s="1"/>
  <c r="G857" i="5"/>
  <c r="E857" i="5" s="1"/>
  <c r="G858" i="5"/>
  <c r="E858" i="5" s="1"/>
  <c r="G859" i="5"/>
  <c r="E859" i="5" s="1"/>
  <c r="G860" i="5"/>
  <c r="E860" i="5" s="1"/>
  <c r="G861" i="5"/>
  <c r="E861" i="5" s="1"/>
  <c r="G862" i="5"/>
  <c r="E862" i="5" s="1"/>
  <c r="G863" i="5"/>
  <c r="E863" i="5" s="1"/>
  <c r="G864" i="5"/>
  <c r="E864" i="5" s="1"/>
  <c r="G865" i="5"/>
  <c r="E865" i="5" s="1"/>
  <c r="G866" i="5"/>
  <c r="E866" i="5" s="1"/>
  <c r="G867" i="5"/>
  <c r="E867" i="5" s="1"/>
  <c r="G868" i="5"/>
  <c r="E868" i="5" s="1"/>
  <c r="G869" i="5"/>
  <c r="E869" i="5" s="1"/>
  <c r="G870" i="5"/>
  <c r="E870" i="5" s="1"/>
  <c r="G871" i="5"/>
  <c r="E871" i="5" s="1"/>
  <c r="G872" i="5"/>
  <c r="E872" i="5" s="1"/>
  <c r="G873" i="5"/>
  <c r="E873" i="5" s="1"/>
  <c r="G874" i="5"/>
  <c r="E874" i="5" s="1"/>
  <c r="G875" i="5"/>
  <c r="E875" i="5" s="1"/>
  <c r="G876" i="5"/>
  <c r="E876" i="5" s="1"/>
  <c r="G877" i="5"/>
  <c r="E877" i="5" s="1"/>
  <c r="G878" i="5"/>
  <c r="E878" i="5" s="1"/>
  <c r="G879" i="5"/>
  <c r="E879" i="5" s="1"/>
  <c r="G880" i="5"/>
  <c r="E880" i="5" s="1"/>
  <c r="G881" i="5"/>
  <c r="E881" i="5" s="1"/>
  <c r="G882" i="5"/>
  <c r="E882" i="5" s="1"/>
  <c r="G883" i="5"/>
  <c r="E883" i="5" s="1"/>
  <c r="G884" i="5"/>
  <c r="E884" i="5" s="1"/>
  <c r="G885" i="5"/>
  <c r="E885" i="5" s="1"/>
  <c r="G886" i="5"/>
  <c r="E886" i="5" s="1"/>
  <c r="G887" i="5"/>
  <c r="E887" i="5" s="1"/>
  <c r="G888" i="5"/>
  <c r="E888" i="5" s="1"/>
  <c r="G889" i="5"/>
  <c r="E889" i="5" s="1"/>
  <c r="G890" i="5"/>
  <c r="E890" i="5" s="1"/>
  <c r="G891" i="5"/>
  <c r="E891" i="5" s="1"/>
  <c r="G892" i="5"/>
  <c r="E892" i="5" s="1"/>
  <c r="G893" i="5"/>
  <c r="E893" i="5" s="1"/>
  <c r="G894" i="5"/>
  <c r="E894" i="5" s="1"/>
  <c r="G895" i="5"/>
  <c r="E895" i="5" s="1"/>
  <c r="G896" i="5"/>
  <c r="E896" i="5" s="1"/>
  <c r="G897" i="5"/>
  <c r="E897" i="5" s="1"/>
  <c r="G898" i="5"/>
  <c r="E898" i="5" s="1"/>
  <c r="G899" i="5"/>
  <c r="E899" i="5" s="1"/>
  <c r="G900" i="5"/>
  <c r="E900" i="5" s="1"/>
  <c r="G901" i="5"/>
  <c r="E901" i="5" s="1"/>
  <c r="G902" i="5"/>
  <c r="E902" i="5" s="1"/>
  <c r="G903" i="5"/>
  <c r="E903" i="5" s="1"/>
  <c r="G904" i="5"/>
  <c r="E904" i="5" s="1"/>
  <c r="G905" i="5"/>
  <c r="E905" i="5" s="1"/>
  <c r="G906" i="5"/>
  <c r="E906" i="5" s="1"/>
  <c r="G907" i="5"/>
  <c r="E907" i="5" s="1"/>
  <c r="G908" i="5"/>
  <c r="E908" i="5" s="1"/>
  <c r="G909" i="5"/>
  <c r="E909" i="5" s="1"/>
  <c r="G910" i="5"/>
  <c r="E910" i="5" s="1"/>
  <c r="G911" i="5"/>
  <c r="E911" i="5" s="1"/>
  <c r="G912" i="5"/>
  <c r="E912" i="5" s="1"/>
  <c r="G913" i="5"/>
  <c r="E913" i="5" s="1"/>
  <c r="G914" i="5"/>
  <c r="E914" i="5" s="1"/>
  <c r="G915" i="5"/>
  <c r="E915" i="5" s="1"/>
  <c r="G916" i="5"/>
  <c r="E916" i="5" s="1"/>
  <c r="G917" i="5"/>
  <c r="E917" i="5" s="1"/>
  <c r="G918" i="5"/>
  <c r="E918" i="5" s="1"/>
  <c r="G919" i="5"/>
  <c r="E919" i="5" s="1"/>
  <c r="G920" i="5"/>
  <c r="E920" i="5" s="1"/>
  <c r="G921" i="5"/>
  <c r="E921" i="5" s="1"/>
  <c r="G922" i="5"/>
  <c r="E922" i="5" s="1"/>
  <c r="G923" i="5"/>
  <c r="E923" i="5" s="1"/>
  <c r="G924" i="5"/>
  <c r="E924" i="5" s="1"/>
  <c r="G925" i="5"/>
  <c r="E925" i="5" s="1"/>
  <c r="G926" i="5"/>
  <c r="E926" i="5" s="1"/>
  <c r="G927" i="5"/>
  <c r="E927" i="5" s="1"/>
  <c r="G928" i="5"/>
  <c r="E928" i="5" s="1"/>
  <c r="G929" i="5"/>
  <c r="E929" i="5" s="1"/>
  <c r="G930" i="5"/>
  <c r="E930" i="5" s="1"/>
  <c r="G931" i="5"/>
  <c r="E931" i="5" s="1"/>
  <c r="G932" i="5"/>
  <c r="E932" i="5" s="1"/>
  <c r="G933" i="5"/>
  <c r="E933" i="5" s="1"/>
  <c r="G934" i="5"/>
  <c r="E934" i="5" s="1"/>
  <c r="G935" i="5"/>
  <c r="E935" i="5" s="1"/>
  <c r="G936" i="5"/>
  <c r="E936" i="5" s="1"/>
  <c r="G937" i="5"/>
  <c r="E937" i="5" s="1"/>
  <c r="G938" i="5"/>
  <c r="E938" i="5" s="1"/>
  <c r="G939" i="5"/>
  <c r="E939" i="5" s="1"/>
  <c r="G940" i="5"/>
  <c r="E940" i="5" s="1"/>
  <c r="G941" i="5"/>
  <c r="E941" i="5" s="1"/>
  <c r="G942" i="5"/>
  <c r="E942" i="5" s="1"/>
  <c r="G943" i="5"/>
  <c r="E943" i="5" s="1"/>
  <c r="G944" i="5"/>
  <c r="E944" i="5" s="1"/>
  <c r="G945" i="5"/>
  <c r="E945" i="5" s="1"/>
  <c r="G946" i="5"/>
  <c r="E946" i="5" s="1"/>
  <c r="G947" i="5"/>
  <c r="E947" i="5" s="1"/>
  <c r="G948" i="5"/>
  <c r="E948" i="5" s="1"/>
  <c r="G949" i="5"/>
  <c r="E949" i="5" s="1"/>
  <c r="G950" i="5"/>
  <c r="E950" i="5" s="1"/>
  <c r="G951" i="5"/>
  <c r="E951" i="5" s="1"/>
  <c r="G952" i="5"/>
  <c r="E952" i="5" s="1"/>
  <c r="G953" i="5"/>
  <c r="E953" i="5" s="1"/>
  <c r="G954" i="5"/>
  <c r="E954" i="5" s="1"/>
  <c r="G955" i="5"/>
  <c r="E955" i="5" s="1"/>
  <c r="G956" i="5"/>
  <c r="E956" i="5" s="1"/>
  <c r="G957" i="5"/>
  <c r="E957" i="5" s="1"/>
  <c r="G958" i="5"/>
  <c r="E958" i="5" s="1"/>
  <c r="G959" i="5"/>
  <c r="E959" i="5" s="1"/>
  <c r="G960" i="5"/>
  <c r="E960" i="5" s="1"/>
  <c r="G961" i="5"/>
  <c r="E961" i="5" s="1"/>
  <c r="G962" i="5"/>
  <c r="E962" i="5" s="1"/>
  <c r="G963" i="5"/>
  <c r="E963" i="5" s="1"/>
  <c r="G964" i="5"/>
  <c r="E964" i="5" s="1"/>
  <c r="G965" i="5"/>
  <c r="E965" i="5" s="1"/>
  <c r="G966" i="5"/>
  <c r="E966" i="5" s="1"/>
  <c r="G967" i="5"/>
  <c r="E967" i="5" s="1"/>
  <c r="G968" i="5"/>
  <c r="E968" i="5" s="1"/>
  <c r="G969" i="5"/>
  <c r="E969" i="5" s="1"/>
  <c r="G970" i="5"/>
  <c r="E970" i="5" s="1"/>
  <c r="G971" i="5"/>
  <c r="E971" i="5" s="1"/>
  <c r="G972" i="5"/>
  <c r="E972" i="5" s="1"/>
  <c r="G973" i="5"/>
  <c r="E973" i="5" s="1"/>
  <c r="G974" i="5"/>
  <c r="E974" i="5" s="1"/>
  <c r="G975" i="5"/>
  <c r="E975" i="5" s="1"/>
  <c r="G976" i="5"/>
  <c r="E976" i="5" s="1"/>
  <c r="G977" i="5"/>
  <c r="E977" i="5" s="1"/>
  <c r="G978" i="5"/>
  <c r="E978" i="5" s="1"/>
  <c r="G979" i="5"/>
  <c r="E979" i="5" s="1"/>
  <c r="G980" i="5"/>
  <c r="E980" i="5" s="1"/>
  <c r="G981" i="5"/>
  <c r="E981" i="5" s="1"/>
  <c r="G982" i="5"/>
  <c r="E982" i="5" s="1"/>
  <c r="G983" i="5"/>
  <c r="E983" i="5" s="1"/>
  <c r="G984" i="5"/>
  <c r="E984" i="5" s="1"/>
  <c r="G985" i="5"/>
  <c r="E985" i="5" s="1"/>
  <c r="G986" i="5"/>
  <c r="E986" i="5" s="1"/>
  <c r="G987" i="5"/>
  <c r="E987" i="5" s="1"/>
  <c r="G988" i="5"/>
  <c r="E988" i="5" s="1"/>
  <c r="G989" i="5"/>
  <c r="E989" i="5" s="1"/>
  <c r="G990" i="5"/>
  <c r="E990" i="5" s="1"/>
  <c r="G991" i="5"/>
  <c r="E991" i="5" s="1"/>
  <c r="G992" i="5"/>
  <c r="E992" i="5" s="1"/>
  <c r="G993" i="5"/>
  <c r="E993" i="5" s="1"/>
  <c r="G994" i="5"/>
  <c r="E994" i="5" s="1"/>
  <c r="G995" i="5"/>
  <c r="E995" i="5" s="1"/>
  <c r="G996" i="5"/>
  <c r="E996" i="5" s="1"/>
  <c r="G997" i="5"/>
  <c r="E997" i="5" s="1"/>
  <c r="G998" i="5"/>
  <c r="E998" i="5" s="1"/>
  <c r="G999" i="5"/>
  <c r="E999" i="5" s="1"/>
  <c r="G1000" i="5"/>
  <c r="E1000" i="5" s="1"/>
  <c r="G1001" i="5"/>
  <c r="E1001" i="5" s="1"/>
  <c r="G1002" i="5"/>
  <c r="E1002" i="5" s="1"/>
  <c r="G1003" i="5"/>
  <c r="E1003" i="5" s="1"/>
  <c r="G1004" i="5"/>
  <c r="E1004" i="5" s="1"/>
  <c r="G1005" i="5"/>
  <c r="E1005" i="5" s="1"/>
  <c r="G1006" i="5"/>
  <c r="E1006" i="5" s="1"/>
  <c r="G1007" i="5"/>
  <c r="E1007" i="5" s="1"/>
  <c r="G1008" i="5"/>
  <c r="E1008" i="5" s="1"/>
  <c r="G1009" i="5"/>
  <c r="E1009" i="5" s="1"/>
  <c r="G1010" i="5"/>
  <c r="E1010" i="5" s="1"/>
  <c r="G1011" i="5"/>
  <c r="E1011" i="5" s="1"/>
  <c r="G1012" i="5"/>
  <c r="E1012" i="5" s="1"/>
  <c r="G1013" i="5"/>
  <c r="E1013" i="5" s="1"/>
  <c r="G1014" i="5"/>
  <c r="E1014" i="5" s="1"/>
  <c r="G1015" i="5"/>
  <c r="E1015" i="5" s="1"/>
  <c r="G1016" i="5"/>
  <c r="E1016" i="5" s="1"/>
  <c r="G1017" i="5"/>
  <c r="E1017" i="5" s="1"/>
  <c r="G1018" i="5"/>
  <c r="E1018" i="5" s="1"/>
  <c r="G1019" i="5"/>
  <c r="E1019" i="5" s="1"/>
  <c r="G1020" i="5"/>
  <c r="E1020" i="5" s="1"/>
  <c r="G1021" i="5"/>
  <c r="E1021" i="5" s="1"/>
  <c r="G1022" i="5"/>
  <c r="E1022" i="5" s="1"/>
  <c r="G1023" i="5"/>
  <c r="E1023" i="5" s="1"/>
  <c r="G1024" i="5"/>
  <c r="E1024" i="5" s="1"/>
  <c r="G1025" i="5"/>
  <c r="E1025" i="5" s="1"/>
  <c r="G1026" i="5"/>
  <c r="E1026" i="5" s="1"/>
  <c r="G1027" i="5"/>
  <c r="E1027" i="5" s="1"/>
  <c r="G1028" i="5"/>
  <c r="E1028" i="5" s="1"/>
  <c r="G1029" i="5"/>
  <c r="E1029" i="5" s="1"/>
  <c r="G1030" i="5"/>
  <c r="E1030" i="5" s="1"/>
  <c r="G1031" i="5"/>
  <c r="E1031" i="5" s="1"/>
  <c r="G1032" i="5"/>
  <c r="E1032" i="5" s="1"/>
  <c r="G1033" i="5"/>
  <c r="E1033" i="5" s="1"/>
  <c r="G1034" i="5"/>
  <c r="E1034" i="5" s="1"/>
  <c r="G1035" i="5"/>
  <c r="E1035" i="5" s="1"/>
  <c r="G1036" i="5"/>
  <c r="E1036" i="5" s="1"/>
  <c r="G1037" i="5"/>
  <c r="E1037" i="5" s="1"/>
  <c r="G1038" i="5"/>
  <c r="E1038" i="5" s="1"/>
  <c r="G1039" i="5"/>
  <c r="E1039" i="5" s="1"/>
  <c r="G1040" i="5"/>
  <c r="E1040" i="5" s="1"/>
  <c r="G1041" i="5"/>
  <c r="E1041" i="5" s="1"/>
  <c r="G1042" i="5"/>
  <c r="E1042" i="5" s="1"/>
  <c r="G1043" i="5"/>
  <c r="E1043" i="5" s="1"/>
  <c r="G1044" i="5"/>
  <c r="E1044" i="5" s="1"/>
  <c r="G1045" i="5"/>
  <c r="E1045" i="5" s="1"/>
  <c r="G1046" i="5"/>
  <c r="E1046" i="5" s="1"/>
  <c r="G1047" i="5"/>
  <c r="E1047" i="5" s="1"/>
  <c r="G1048" i="5"/>
  <c r="E1048" i="5" s="1"/>
  <c r="G1049" i="5"/>
  <c r="E1049" i="5" s="1"/>
  <c r="G1050" i="5"/>
  <c r="E1050" i="5" s="1"/>
  <c r="G1051" i="5"/>
  <c r="E1051" i="5" s="1"/>
  <c r="G1052" i="5"/>
  <c r="E1052" i="5" s="1"/>
  <c r="G1053" i="5"/>
  <c r="E1053" i="5" s="1"/>
  <c r="G1054" i="5"/>
  <c r="E1054" i="5" s="1"/>
  <c r="G1055" i="5"/>
  <c r="E1055" i="5" s="1"/>
  <c r="G1056" i="5"/>
  <c r="E1056" i="5" s="1"/>
  <c r="G1057" i="5"/>
  <c r="E1057" i="5" s="1"/>
  <c r="G1058" i="5"/>
  <c r="E1058" i="5" s="1"/>
  <c r="G1059" i="5"/>
  <c r="E1059" i="5" s="1"/>
  <c r="G1060" i="5"/>
  <c r="E1060" i="5" s="1"/>
  <c r="G1061" i="5"/>
  <c r="E1061" i="5" s="1"/>
  <c r="G1062" i="5"/>
  <c r="E1062" i="5" s="1"/>
  <c r="G1063" i="5"/>
  <c r="E1063" i="5" s="1"/>
  <c r="G1064" i="5"/>
  <c r="E1064" i="5" s="1"/>
  <c r="G1065" i="5"/>
  <c r="E1065" i="5" s="1"/>
  <c r="G1066" i="5"/>
  <c r="E1066" i="5" s="1"/>
  <c r="G1067" i="5"/>
  <c r="E1067" i="5" s="1"/>
  <c r="G1068" i="5"/>
  <c r="E1068" i="5" s="1"/>
  <c r="G1069" i="5"/>
  <c r="E1069" i="5" s="1"/>
  <c r="G1070" i="5"/>
  <c r="E1070" i="5" s="1"/>
  <c r="G1071" i="5"/>
  <c r="E1071" i="5" s="1"/>
  <c r="G1072" i="5"/>
  <c r="E1072" i="5" s="1"/>
  <c r="G1073" i="5"/>
  <c r="E1073" i="5" s="1"/>
  <c r="G1074" i="5"/>
  <c r="E1074" i="5" s="1"/>
  <c r="G1075" i="5"/>
  <c r="E1075" i="5" s="1"/>
  <c r="G1076" i="5"/>
  <c r="E1076" i="5" s="1"/>
  <c r="G1077" i="5"/>
  <c r="E1077" i="5" s="1"/>
  <c r="G1078" i="5"/>
  <c r="E1078" i="5" s="1"/>
  <c r="G1079" i="5"/>
  <c r="E1079" i="5" s="1"/>
  <c r="G1080" i="5"/>
  <c r="E1080" i="5" s="1"/>
  <c r="G1081" i="5"/>
  <c r="E1081" i="5" s="1"/>
  <c r="G1082" i="5"/>
  <c r="E1082" i="5" s="1"/>
  <c r="G1083" i="5"/>
  <c r="E1083" i="5" s="1"/>
  <c r="G1084" i="5"/>
  <c r="E1084" i="5" s="1"/>
  <c r="G1085" i="5"/>
  <c r="E1085" i="5" s="1"/>
  <c r="G1086" i="5"/>
  <c r="E1086" i="5" s="1"/>
  <c r="G1087" i="5"/>
  <c r="E1087" i="5" s="1"/>
  <c r="G1088" i="5"/>
  <c r="E1088" i="5" s="1"/>
  <c r="G1089" i="5"/>
  <c r="E1089" i="5" s="1"/>
  <c r="G1090" i="5"/>
  <c r="E1090" i="5" s="1"/>
  <c r="G1091" i="5"/>
  <c r="E1091" i="5" s="1"/>
  <c r="G1092" i="5"/>
  <c r="E1092" i="5" s="1"/>
  <c r="G1093" i="5"/>
  <c r="E1093" i="5" s="1"/>
  <c r="G1094" i="5"/>
  <c r="E1094" i="5" s="1"/>
  <c r="G1095" i="5"/>
  <c r="E1095" i="5" s="1"/>
  <c r="G1096" i="5"/>
  <c r="E1096" i="5" s="1"/>
  <c r="G1097" i="5"/>
  <c r="E1097" i="5" s="1"/>
  <c r="G1098" i="5"/>
  <c r="E1098" i="5" s="1"/>
  <c r="G1099" i="5"/>
  <c r="E1099" i="5" s="1"/>
  <c r="G1100" i="5"/>
  <c r="E1100" i="5" s="1"/>
  <c r="G1101" i="5"/>
  <c r="E1101" i="5" s="1"/>
  <c r="G1102" i="5"/>
  <c r="E1102" i="5" s="1"/>
  <c r="G1103" i="5"/>
  <c r="E1103" i="5" s="1"/>
  <c r="G1104" i="5"/>
  <c r="E1104" i="5" s="1"/>
  <c r="G1105" i="5"/>
  <c r="E1105" i="5" s="1"/>
  <c r="G1106" i="5"/>
  <c r="E1106" i="5" s="1"/>
  <c r="G1107" i="5"/>
  <c r="E1107" i="5" s="1"/>
  <c r="G1108" i="5"/>
  <c r="E1108" i="5" s="1"/>
  <c r="G1109" i="5"/>
  <c r="E1109" i="5" s="1"/>
  <c r="G1110" i="5"/>
  <c r="E1110" i="5" s="1"/>
  <c r="G1111" i="5"/>
  <c r="E1111" i="5" s="1"/>
  <c r="G1112" i="5"/>
  <c r="E1112" i="5" s="1"/>
  <c r="G1113" i="5"/>
  <c r="E1113" i="5" s="1"/>
  <c r="G1114" i="5"/>
  <c r="E1114" i="5" s="1"/>
  <c r="G1115" i="5"/>
  <c r="E1115" i="5" s="1"/>
  <c r="G1116" i="5"/>
  <c r="E1116" i="5" s="1"/>
  <c r="G1117" i="5"/>
  <c r="E1117" i="5" s="1"/>
  <c r="G1118" i="5"/>
  <c r="E1118" i="5" s="1"/>
  <c r="G1119" i="5"/>
  <c r="E1119" i="5" s="1"/>
  <c r="G1120" i="5"/>
  <c r="E1120" i="5" s="1"/>
  <c r="G1121" i="5"/>
  <c r="E1121" i="5" s="1"/>
  <c r="G1122" i="5"/>
  <c r="E1122" i="5" s="1"/>
  <c r="G1123" i="5"/>
  <c r="E1123" i="5" s="1"/>
  <c r="G1124" i="5"/>
  <c r="E1124" i="5" s="1"/>
  <c r="G1125" i="5"/>
  <c r="E1125" i="5" s="1"/>
  <c r="G1126" i="5"/>
  <c r="E1126" i="5" s="1"/>
  <c r="G1127" i="5"/>
  <c r="E1127" i="5" s="1"/>
  <c r="G1128" i="5"/>
  <c r="E1128" i="5" s="1"/>
  <c r="G1129" i="5"/>
  <c r="E1129" i="5" s="1"/>
  <c r="G1130" i="5"/>
  <c r="E1130" i="5" s="1"/>
  <c r="G1131" i="5"/>
  <c r="E1131" i="5" s="1"/>
  <c r="G1132" i="5"/>
  <c r="E1132" i="5" s="1"/>
  <c r="G1133" i="5"/>
  <c r="E1133" i="5" s="1"/>
  <c r="G1134" i="5"/>
  <c r="E1134" i="5" s="1"/>
  <c r="G1135" i="5"/>
  <c r="E1135" i="5" s="1"/>
  <c r="G1136" i="5"/>
  <c r="E1136" i="5" s="1"/>
  <c r="G1137" i="5"/>
  <c r="E1137" i="5" s="1"/>
  <c r="G1138" i="5"/>
  <c r="E1138" i="5" s="1"/>
  <c r="G1139" i="5"/>
  <c r="E1139" i="5" s="1"/>
  <c r="G1140" i="5"/>
  <c r="E1140" i="5" s="1"/>
  <c r="G1141" i="5"/>
  <c r="E1141" i="5" s="1"/>
  <c r="G1142" i="5"/>
  <c r="E1142" i="5" s="1"/>
  <c r="G1143" i="5"/>
  <c r="E1143" i="5" s="1"/>
  <c r="G1144" i="5"/>
  <c r="E1144" i="5" s="1"/>
  <c r="G1145" i="5"/>
  <c r="E1145" i="5" s="1"/>
  <c r="G1146" i="5"/>
  <c r="E1146" i="5" s="1"/>
  <c r="G1147" i="5"/>
  <c r="E1147" i="5" s="1"/>
  <c r="G1148" i="5"/>
  <c r="E1148" i="5" s="1"/>
  <c r="G1149" i="5"/>
  <c r="E1149" i="5" s="1"/>
  <c r="G1150" i="5"/>
  <c r="E1150" i="5" s="1"/>
  <c r="G1151" i="5"/>
  <c r="E1151" i="5" s="1"/>
  <c r="G1152" i="5"/>
  <c r="E1152" i="5" s="1"/>
  <c r="G1153" i="5"/>
  <c r="E1153" i="5" s="1"/>
  <c r="G1154" i="5"/>
  <c r="E1154" i="5" s="1"/>
  <c r="G1155" i="5"/>
  <c r="E1155" i="5" s="1"/>
  <c r="G1156" i="5"/>
  <c r="E1156" i="5" s="1"/>
  <c r="G1157" i="5"/>
  <c r="E1157" i="5" s="1"/>
  <c r="G1158" i="5"/>
  <c r="E1158" i="5" s="1"/>
  <c r="G1159" i="5"/>
  <c r="E1159" i="5" s="1"/>
  <c r="G1160" i="5"/>
  <c r="E1160" i="5" s="1"/>
  <c r="G1161" i="5"/>
  <c r="E1161" i="5" s="1"/>
  <c r="G1162" i="5"/>
  <c r="E1162" i="5" s="1"/>
  <c r="G1163" i="5"/>
  <c r="E1163" i="5" s="1"/>
  <c r="G1164" i="5"/>
  <c r="E1164" i="5" s="1"/>
  <c r="G1165" i="5"/>
  <c r="E1165" i="5" s="1"/>
  <c r="G1166" i="5"/>
  <c r="E1166" i="5" s="1"/>
  <c r="G1167" i="5"/>
  <c r="E1167" i="5" s="1"/>
  <c r="G1168" i="5"/>
  <c r="E1168" i="5" s="1"/>
  <c r="G1169" i="5"/>
  <c r="E1169" i="5" s="1"/>
  <c r="G1170" i="5"/>
  <c r="E1170" i="5" s="1"/>
  <c r="G1171" i="5"/>
  <c r="E1171" i="5" s="1"/>
  <c r="G1172" i="5"/>
  <c r="E1172" i="5" s="1"/>
  <c r="G1173" i="5"/>
  <c r="E1173" i="5" s="1"/>
  <c r="G1174" i="5"/>
  <c r="E1174" i="5" s="1"/>
  <c r="G1175" i="5"/>
  <c r="E1175" i="5" s="1"/>
  <c r="G1176" i="5"/>
  <c r="E1176" i="5" s="1"/>
  <c r="G1177" i="5"/>
  <c r="E1177" i="5" s="1"/>
  <c r="G1178" i="5"/>
  <c r="E1178" i="5" s="1"/>
  <c r="G1179" i="5"/>
  <c r="E1179" i="5" s="1"/>
  <c r="G1180" i="5"/>
  <c r="E1180" i="5" s="1"/>
  <c r="G1181" i="5"/>
  <c r="E1181" i="5" s="1"/>
  <c r="G1182" i="5"/>
  <c r="E1182" i="5" s="1"/>
  <c r="G1183" i="5"/>
  <c r="E1183" i="5" s="1"/>
  <c r="G1184" i="5"/>
  <c r="E1184" i="5" s="1"/>
  <c r="G1185" i="5"/>
  <c r="E1185" i="5" s="1"/>
  <c r="G1186" i="5"/>
  <c r="E1186" i="5" s="1"/>
  <c r="G1187" i="5"/>
  <c r="E1187" i="5" s="1"/>
  <c r="G1188" i="5"/>
  <c r="E1188" i="5" s="1"/>
  <c r="G1189" i="5"/>
  <c r="E1189" i="5" s="1"/>
  <c r="G1190" i="5"/>
  <c r="E1190" i="5" s="1"/>
  <c r="G1191" i="5"/>
  <c r="E1191" i="5" s="1"/>
  <c r="G1192" i="5"/>
  <c r="E1192" i="5" s="1"/>
  <c r="G1193" i="5"/>
  <c r="E1193" i="5" s="1"/>
  <c r="G1194" i="5"/>
  <c r="E1194" i="5" s="1"/>
  <c r="G1195" i="5"/>
  <c r="E1195" i="5" s="1"/>
  <c r="G1196" i="5"/>
  <c r="E1196" i="5" s="1"/>
  <c r="G1197" i="5"/>
  <c r="E1197" i="5" s="1"/>
  <c r="G1198" i="5"/>
  <c r="E1198" i="5" s="1"/>
  <c r="G1199" i="5"/>
  <c r="E1199" i="5" s="1"/>
  <c r="G1200" i="5"/>
  <c r="E1200" i="5" s="1"/>
  <c r="G1201" i="5"/>
  <c r="E1201" i="5" s="1"/>
  <c r="G1202" i="5"/>
  <c r="E1202" i="5" s="1"/>
  <c r="G1203" i="5"/>
  <c r="E1203" i="5" s="1"/>
  <c r="G1204" i="5"/>
  <c r="E1204" i="5" s="1"/>
  <c r="G1205" i="5"/>
  <c r="E1205" i="5" s="1"/>
  <c r="G1206" i="5"/>
  <c r="E1206" i="5" s="1"/>
  <c r="G1207" i="5"/>
  <c r="E1207" i="5" s="1"/>
  <c r="G1208" i="5"/>
  <c r="E1208" i="5" s="1"/>
  <c r="G1209" i="5"/>
  <c r="E1209" i="5" s="1"/>
  <c r="G1210" i="5"/>
  <c r="E1210" i="5" s="1"/>
  <c r="G1211" i="5"/>
  <c r="E1211" i="5" s="1"/>
  <c r="G1212" i="5"/>
  <c r="E1212" i="5" s="1"/>
  <c r="G1213" i="5"/>
  <c r="E1213" i="5" s="1"/>
  <c r="G1214" i="5"/>
  <c r="E1214" i="5" s="1"/>
  <c r="G1215" i="5"/>
  <c r="E1215" i="5" s="1"/>
  <c r="G1216" i="5"/>
  <c r="E1216" i="5" s="1"/>
  <c r="G1217" i="5"/>
  <c r="E1217" i="5" s="1"/>
  <c r="G1218" i="5"/>
  <c r="E1218" i="5" s="1"/>
  <c r="G1219" i="5"/>
  <c r="E1219" i="5" s="1"/>
  <c r="G1220" i="5"/>
  <c r="E1220" i="5" s="1"/>
  <c r="G1221" i="5"/>
  <c r="E1221" i="5" s="1"/>
  <c r="G1222" i="5"/>
  <c r="E1222" i="5" s="1"/>
  <c r="G1223" i="5"/>
  <c r="E1223" i="5" s="1"/>
  <c r="G1224" i="5"/>
  <c r="E1224" i="5" s="1"/>
  <c r="G1225" i="5"/>
  <c r="E1225" i="5" s="1"/>
  <c r="G1226" i="5"/>
  <c r="E1226" i="5" s="1"/>
  <c r="G1227" i="5"/>
  <c r="E1227" i="5" s="1"/>
  <c r="G1228" i="5"/>
  <c r="E1228" i="5" s="1"/>
  <c r="G1229" i="5"/>
  <c r="E1229" i="5" s="1"/>
  <c r="G1230" i="5"/>
  <c r="E1230" i="5" s="1"/>
  <c r="G1231" i="5"/>
  <c r="E1231" i="5" s="1"/>
  <c r="G1232" i="5"/>
  <c r="E1232" i="5" s="1"/>
  <c r="G1233" i="5"/>
  <c r="E1233" i="5" s="1"/>
  <c r="G1234" i="5"/>
  <c r="E1234" i="5" s="1"/>
  <c r="G1235" i="5"/>
  <c r="E1235" i="5" s="1"/>
  <c r="G1236" i="5"/>
  <c r="E1236" i="5" s="1"/>
  <c r="G1237" i="5"/>
  <c r="E1237" i="5" s="1"/>
  <c r="G1238" i="5"/>
  <c r="E1238" i="5" s="1"/>
  <c r="G1239" i="5"/>
  <c r="E1239" i="5" s="1"/>
  <c r="G1240" i="5"/>
  <c r="E1240" i="5" s="1"/>
  <c r="G1241" i="5"/>
  <c r="E1241" i="5" s="1"/>
  <c r="G1242" i="5"/>
  <c r="E1242" i="5" s="1"/>
  <c r="G1243" i="5"/>
  <c r="E1243" i="5" s="1"/>
  <c r="G1244" i="5"/>
  <c r="E1244" i="5" s="1"/>
  <c r="G1245" i="5"/>
  <c r="E1245" i="5" s="1"/>
  <c r="G1246" i="5"/>
  <c r="E1246" i="5" s="1"/>
  <c r="G1247" i="5"/>
  <c r="E1247" i="5" s="1"/>
  <c r="G1248" i="5"/>
  <c r="E1248" i="5" s="1"/>
  <c r="G1249" i="5"/>
  <c r="E1249" i="5" s="1"/>
  <c r="G1250" i="5"/>
  <c r="E1250" i="5" s="1"/>
  <c r="G1251" i="5"/>
  <c r="E1251" i="5" s="1"/>
  <c r="G1252" i="5"/>
  <c r="E1252" i="5" s="1"/>
  <c r="G1253" i="5"/>
  <c r="E1253" i="5" s="1"/>
  <c r="G1254" i="5"/>
  <c r="E1254" i="5" s="1"/>
  <c r="G1255" i="5"/>
  <c r="E1255" i="5" s="1"/>
  <c r="G1256" i="5"/>
  <c r="E1256" i="5" s="1"/>
  <c r="G1257" i="5"/>
  <c r="E1257" i="5" s="1"/>
  <c r="G1258" i="5"/>
  <c r="E1258" i="5" s="1"/>
  <c r="G1259" i="5"/>
  <c r="E1259" i="5" s="1"/>
  <c r="G1260" i="5"/>
  <c r="E1260" i="5" s="1"/>
  <c r="G1261" i="5"/>
  <c r="E1261" i="5" s="1"/>
  <c r="G1262" i="5"/>
  <c r="E1262" i="5" s="1"/>
  <c r="G1263" i="5"/>
  <c r="E1263" i="5" s="1"/>
  <c r="G1264" i="5"/>
  <c r="E1264" i="5" s="1"/>
  <c r="G1265" i="5"/>
  <c r="E1265" i="5" s="1"/>
  <c r="G1266" i="5"/>
  <c r="E1266" i="5" s="1"/>
  <c r="G1267" i="5"/>
  <c r="E1267" i="5" s="1"/>
  <c r="G1268" i="5"/>
  <c r="E1268" i="5" s="1"/>
  <c r="G1269" i="5"/>
  <c r="E1269" i="5" s="1"/>
  <c r="G1270" i="5"/>
  <c r="E1270" i="5" s="1"/>
  <c r="G1271" i="5"/>
  <c r="E1271" i="5" s="1"/>
  <c r="G1272" i="5"/>
  <c r="E1272" i="5" s="1"/>
  <c r="G1273" i="5"/>
  <c r="E1273" i="5" s="1"/>
  <c r="G1274" i="5"/>
  <c r="E1274" i="5" s="1"/>
  <c r="G1275" i="5"/>
  <c r="E1275" i="5" s="1"/>
  <c r="G1276" i="5"/>
  <c r="E1276" i="5" s="1"/>
  <c r="G1277" i="5"/>
  <c r="E1277" i="5" s="1"/>
  <c r="G1278" i="5"/>
  <c r="E1278" i="5" s="1"/>
  <c r="G1279" i="5"/>
  <c r="E1279" i="5" s="1"/>
  <c r="G1280" i="5"/>
  <c r="E1280" i="5" s="1"/>
  <c r="G1281" i="5"/>
  <c r="E1281" i="5" s="1"/>
  <c r="G1282" i="5"/>
  <c r="E1282" i="5" s="1"/>
  <c r="G1283" i="5"/>
  <c r="E1283" i="5" s="1"/>
  <c r="G1284" i="5"/>
  <c r="E1284" i="5" s="1"/>
  <c r="G1285" i="5"/>
  <c r="E1285" i="5" s="1"/>
  <c r="G1286" i="5"/>
  <c r="E1286" i="5" s="1"/>
  <c r="G1287" i="5"/>
  <c r="E1287" i="5" s="1"/>
  <c r="G1288" i="5"/>
  <c r="E1288" i="5" s="1"/>
  <c r="G1289" i="5"/>
  <c r="E1289" i="5" s="1"/>
  <c r="G1290" i="5"/>
  <c r="E1290" i="5" s="1"/>
  <c r="G1291" i="5"/>
  <c r="E1291" i="5" s="1"/>
  <c r="G1292" i="5"/>
  <c r="E1292" i="5" s="1"/>
  <c r="G1293" i="5"/>
  <c r="E1293" i="5" s="1"/>
  <c r="G1294" i="5"/>
  <c r="E1294" i="5" s="1"/>
  <c r="G1295" i="5"/>
  <c r="E1295" i="5" s="1"/>
  <c r="G1296" i="5"/>
  <c r="E1296" i="5" s="1"/>
  <c r="G1297" i="5"/>
  <c r="E1297" i="5" s="1"/>
  <c r="G1298" i="5"/>
  <c r="E1298" i="5" s="1"/>
  <c r="G1299" i="5"/>
  <c r="E1299" i="5" s="1"/>
  <c r="G1300" i="5"/>
  <c r="E1300" i="5" s="1"/>
  <c r="G1301" i="5"/>
  <c r="E1301" i="5" s="1"/>
  <c r="G1302" i="5"/>
  <c r="E1302" i="5" s="1"/>
  <c r="G1303" i="5"/>
  <c r="E1303" i="5" s="1"/>
  <c r="G1304" i="5"/>
  <c r="E1304" i="5" s="1"/>
  <c r="G1305" i="5"/>
  <c r="E1305" i="5" s="1"/>
  <c r="G1306" i="5"/>
  <c r="E1306" i="5" s="1"/>
  <c r="G1307" i="5"/>
  <c r="E1307" i="5" s="1"/>
  <c r="G1308" i="5"/>
  <c r="E1308" i="5" s="1"/>
  <c r="G1309" i="5"/>
  <c r="E1309" i="5" s="1"/>
  <c r="G1310" i="5"/>
  <c r="E1310" i="5" s="1"/>
  <c r="G1311" i="5"/>
  <c r="E1311" i="5" s="1"/>
  <c r="G1312" i="5"/>
  <c r="E1312" i="5" s="1"/>
  <c r="G1313" i="5"/>
  <c r="E1313" i="5" s="1"/>
  <c r="G1314" i="5"/>
  <c r="E1314" i="5" s="1"/>
  <c r="G1315" i="5"/>
  <c r="E1315" i="5" s="1"/>
  <c r="G1316" i="5"/>
  <c r="E1316" i="5" s="1"/>
  <c r="G1317" i="5"/>
  <c r="E1317" i="5" s="1"/>
  <c r="G1318" i="5"/>
  <c r="E1318" i="5" s="1"/>
  <c r="G1319" i="5"/>
  <c r="E1319" i="5" s="1"/>
  <c r="G1320" i="5"/>
  <c r="E1320" i="5" s="1"/>
  <c r="G1321" i="5"/>
  <c r="E1321" i="5" s="1"/>
  <c r="G1322" i="5"/>
  <c r="E1322" i="5" s="1"/>
  <c r="G1323" i="5"/>
  <c r="E1323" i="5" s="1"/>
  <c r="G1324" i="5"/>
  <c r="E1324" i="5" s="1"/>
  <c r="G1325" i="5"/>
  <c r="E1325" i="5" s="1"/>
  <c r="G1326" i="5"/>
  <c r="E1326" i="5" s="1"/>
  <c r="G1327" i="5"/>
  <c r="E1327" i="5" s="1"/>
  <c r="G1328" i="5"/>
  <c r="E1328" i="5" s="1"/>
  <c r="G1329" i="5"/>
  <c r="E1329" i="5" s="1"/>
  <c r="G1330" i="5"/>
  <c r="E1330" i="5" s="1"/>
  <c r="G1331" i="5"/>
  <c r="E1331" i="5" s="1"/>
  <c r="G1332" i="5"/>
  <c r="E1332" i="5" s="1"/>
  <c r="G1333" i="5"/>
  <c r="E1333" i="5" s="1"/>
  <c r="G1334" i="5"/>
  <c r="E1334" i="5" s="1"/>
  <c r="G1335" i="5"/>
  <c r="E1335" i="5" s="1"/>
  <c r="G1336" i="5"/>
  <c r="E1336" i="5" s="1"/>
  <c r="G1337" i="5"/>
  <c r="E1337" i="5" s="1"/>
  <c r="G1338" i="5"/>
  <c r="E1338" i="5" s="1"/>
  <c r="G1339" i="5"/>
  <c r="E1339" i="5" s="1"/>
  <c r="G1340" i="5"/>
  <c r="E1340" i="5" s="1"/>
  <c r="G1341" i="5"/>
  <c r="E1341" i="5" s="1"/>
  <c r="G1342" i="5"/>
  <c r="E1342" i="5" s="1"/>
  <c r="G1343" i="5"/>
  <c r="E1343" i="5" s="1"/>
  <c r="G1344" i="5"/>
  <c r="E1344" i="5" s="1"/>
  <c r="G1345" i="5"/>
  <c r="E1345" i="5" s="1"/>
  <c r="G1346" i="5"/>
  <c r="E1346" i="5" s="1"/>
  <c r="G1347" i="5"/>
  <c r="E1347" i="5" s="1"/>
  <c r="G1348" i="5"/>
  <c r="E1348" i="5" s="1"/>
  <c r="G1349" i="5"/>
  <c r="E1349" i="5" s="1"/>
  <c r="G1350" i="5"/>
  <c r="E1350" i="5" s="1"/>
  <c r="G1351" i="5"/>
  <c r="E1351" i="5" s="1"/>
  <c r="G1352" i="5"/>
  <c r="E1352" i="5" s="1"/>
  <c r="G1353" i="5"/>
  <c r="E1353" i="5" s="1"/>
  <c r="G1354" i="5"/>
  <c r="E1354" i="5" s="1"/>
  <c r="G1355" i="5"/>
  <c r="E1355" i="5" s="1"/>
  <c r="G1356" i="5"/>
  <c r="E1356" i="5" s="1"/>
  <c r="G1357" i="5"/>
  <c r="E1357" i="5" s="1"/>
  <c r="G1358" i="5"/>
  <c r="E1358" i="5" s="1"/>
  <c r="G1359" i="5"/>
  <c r="E1359" i="5" s="1"/>
  <c r="G1360" i="5"/>
  <c r="E1360" i="5" s="1"/>
  <c r="G1361" i="5"/>
  <c r="E1361" i="5" s="1"/>
  <c r="G1362" i="5"/>
  <c r="E1362" i="5" s="1"/>
  <c r="G1363" i="5"/>
  <c r="E1363" i="5" s="1"/>
  <c r="G1364" i="5"/>
  <c r="E1364" i="5" s="1"/>
  <c r="G1365" i="5"/>
  <c r="E1365" i="5" s="1"/>
  <c r="G1366" i="5"/>
  <c r="E1366" i="5" s="1"/>
  <c r="G1367" i="5"/>
  <c r="E1367" i="5" s="1"/>
  <c r="G1368" i="5"/>
  <c r="E1368" i="5" s="1"/>
  <c r="G1369" i="5"/>
  <c r="E1369" i="5" s="1"/>
  <c r="G1370" i="5"/>
  <c r="E1370" i="5" s="1"/>
  <c r="G1371" i="5"/>
  <c r="E1371" i="5" s="1"/>
  <c r="G1372" i="5"/>
  <c r="E1372" i="5" s="1"/>
  <c r="G1373" i="5"/>
  <c r="E1373" i="5" s="1"/>
  <c r="G1374" i="5"/>
  <c r="E1374" i="5" s="1"/>
  <c r="G1375" i="5"/>
  <c r="E1375" i="5" s="1"/>
  <c r="G1376" i="5"/>
  <c r="E1376" i="5" s="1"/>
  <c r="G1377" i="5"/>
  <c r="E1377" i="5" s="1"/>
  <c r="G1378" i="5"/>
  <c r="E1378" i="5" s="1"/>
  <c r="G1379" i="5"/>
  <c r="E1379" i="5" s="1"/>
  <c r="G1380" i="5"/>
  <c r="E1380" i="5" s="1"/>
  <c r="G1381" i="5"/>
  <c r="E1381" i="5" s="1"/>
  <c r="G1382" i="5"/>
  <c r="E1382" i="5" s="1"/>
  <c r="G1383" i="5"/>
  <c r="E1383" i="5" s="1"/>
  <c r="G1384" i="5"/>
  <c r="E1384" i="5" s="1"/>
  <c r="G1385" i="5"/>
  <c r="E1385" i="5" s="1"/>
  <c r="G1386" i="5"/>
  <c r="E1386" i="5" s="1"/>
  <c r="G1387" i="5"/>
  <c r="E1387" i="5" s="1"/>
  <c r="G1388" i="5"/>
  <c r="E1388" i="5" s="1"/>
  <c r="G1389" i="5"/>
  <c r="E1389" i="5" s="1"/>
  <c r="G1390" i="5"/>
  <c r="E1390" i="5" s="1"/>
  <c r="G1391" i="5"/>
  <c r="E1391" i="5" s="1"/>
  <c r="G1392" i="5"/>
  <c r="E1392" i="5" s="1"/>
  <c r="G1393" i="5"/>
  <c r="E1393" i="5" s="1"/>
  <c r="G1394" i="5"/>
  <c r="E1394" i="5" s="1"/>
  <c r="G1395" i="5"/>
  <c r="E1395" i="5" s="1"/>
  <c r="G1396" i="5"/>
  <c r="E1396" i="5" s="1"/>
  <c r="G1397" i="5"/>
  <c r="E1397" i="5" s="1"/>
  <c r="G1398" i="5"/>
  <c r="E1398" i="5" s="1"/>
  <c r="G1399" i="5"/>
  <c r="E1399" i="5" s="1"/>
  <c r="G1400" i="5"/>
  <c r="E1400" i="5" s="1"/>
  <c r="G1401" i="5"/>
  <c r="E1401" i="5" s="1"/>
  <c r="G1402" i="5"/>
  <c r="E1402" i="5" s="1"/>
  <c r="G1403" i="5"/>
  <c r="E1403" i="5" s="1"/>
  <c r="G1404" i="5"/>
  <c r="E1404" i="5" s="1"/>
  <c r="G1405" i="5"/>
  <c r="E1405" i="5" s="1"/>
  <c r="G1406" i="5"/>
  <c r="E1406" i="5" s="1"/>
  <c r="G1407" i="5"/>
  <c r="E1407" i="5" s="1"/>
  <c r="G1408" i="5"/>
  <c r="E1408" i="5" s="1"/>
  <c r="G1409" i="5"/>
  <c r="E1409" i="5" s="1"/>
  <c r="G1410" i="5"/>
  <c r="E1410" i="5" s="1"/>
  <c r="G1411" i="5"/>
  <c r="E1411" i="5" s="1"/>
  <c r="G1412" i="5"/>
  <c r="E1412" i="5" s="1"/>
  <c r="G1413" i="5"/>
  <c r="E1413" i="5" s="1"/>
  <c r="G1414" i="5"/>
  <c r="E1414" i="5" s="1"/>
  <c r="G1415" i="5"/>
  <c r="E1415" i="5" s="1"/>
  <c r="G1416" i="5"/>
  <c r="E1416" i="5" s="1"/>
  <c r="G1417" i="5"/>
  <c r="E1417" i="5" s="1"/>
  <c r="G1418" i="5"/>
  <c r="E1418" i="5" s="1"/>
  <c r="G1419" i="5"/>
  <c r="E1419" i="5" s="1"/>
  <c r="G1420" i="5"/>
  <c r="E1420" i="5" s="1"/>
  <c r="G1421" i="5"/>
  <c r="E1421" i="5" s="1"/>
  <c r="G1422" i="5"/>
  <c r="E1422" i="5" s="1"/>
  <c r="G1423" i="5"/>
  <c r="E1423" i="5" s="1"/>
  <c r="G1424" i="5"/>
  <c r="E1424" i="5" s="1"/>
  <c r="G1425" i="5"/>
  <c r="E1425" i="5" s="1"/>
  <c r="G1426" i="5"/>
  <c r="E1426" i="5" s="1"/>
  <c r="G1427" i="5"/>
  <c r="E1427" i="5" s="1"/>
  <c r="G1428" i="5"/>
  <c r="E1428" i="5" s="1"/>
  <c r="G1429" i="5"/>
  <c r="E1429" i="5" s="1"/>
  <c r="G1430" i="5"/>
  <c r="E1430" i="5" s="1"/>
  <c r="G1431" i="5"/>
  <c r="E1431" i="5" s="1"/>
  <c r="G1432" i="5"/>
  <c r="E1432" i="5" s="1"/>
  <c r="G1433" i="5"/>
  <c r="E1433" i="5" s="1"/>
  <c r="G1434" i="5"/>
  <c r="E1434" i="5" s="1"/>
  <c r="G1435" i="5"/>
  <c r="E1435" i="5" s="1"/>
  <c r="G1436" i="5"/>
  <c r="E1436" i="5" s="1"/>
  <c r="G1437" i="5"/>
  <c r="E1437" i="5" s="1"/>
  <c r="G1438" i="5"/>
  <c r="E1438" i="5" s="1"/>
  <c r="G1439" i="5"/>
  <c r="E1439" i="5" s="1"/>
  <c r="G1440" i="5"/>
  <c r="E1440" i="5" s="1"/>
  <c r="G1441" i="5"/>
  <c r="E1441" i="5" s="1"/>
  <c r="G1442" i="5"/>
  <c r="E1442" i="5" s="1"/>
  <c r="G1443" i="5"/>
  <c r="E1443" i="5" s="1"/>
  <c r="G1444" i="5"/>
  <c r="E1444" i="5" s="1"/>
  <c r="G1445" i="5"/>
  <c r="E1445" i="5" s="1"/>
  <c r="G1446" i="5"/>
  <c r="E1446" i="5" s="1"/>
  <c r="G1447" i="5"/>
  <c r="E1447" i="5" s="1"/>
  <c r="G1448" i="5"/>
  <c r="E1448" i="5" s="1"/>
  <c r="G1449" i="5"/>
  <c r="E1449" i="5" s="1"/>
  <c r="G1450" i="5"/>
  <c r="E1450" i="5" s="1"/>
  <c r="G1451" i="5"/>
  <c r="E1451" i="5" s="1"/>
  <c r="G1452" i="5"/>
  <c r="E1452" i="5" s="1"/>
  <c r="G1453" i="5"/>
  <c r="E1453" i="5" s="1"/>
  <c r="G1454" i="5"/>
  <c r="E1454" i="5" s="1"/>
  <c r="G1455" i="5"/>
  <c r="E1455" i="5" s="1"/>
  <c r="G1456" i="5"/>
  <c r="E1456" i="5" s="1"/>
  <c r="G1457" i="5"/>
  <c r="E1457" i="5" s="1"/>
  <c r="G1458" i="5"/>
  <c r="E1458" i="5" s="1"/>
  <c r="G1459" i="5"/>
  <c r="E1459" i="5" s="1"/>
  <c r="G1460" i="5"/>
  <c r="E1460" i="5" s="1"/>
  <c r="G1461" i="5"/>
  <c r="E1461" i="5" s="1"/>
  <c r="G1462" i="5"/>
  <c r="E1462" i="5" s="1"/>
  <c r="G1463" i="5"/>
  <c r="E1463" i="5" s="1"/>
  <c r="G1464" i="5"/>
  <c r="E1464" i="5" s="1"/>
  <c r="G1465" i="5"/>
  <c r="E1465" i="5" s="1"/>
  <c r="G1466" i="5"/>
  <c r="E1466" i="5" s="1"/>
  <c r="G1467" i="5"/>
  <c r="E1467" i="5" s="1"/>
  <c r="G1468" i="5"/>
  <c r="E1468" i="5" s="1"/>
  <c r="G1469" i="5"/>
  <c r="E1469" i="5" s="1"/>
  <c r="G1470" i="5"/>
  <c r="E1470" i="5" s="1"/>
  <c r="G1471" i="5"/>
  <c r="E1471" i="5" s="1"/>
  <c r="G1472" i="5"/>
  <c r="E1472" i="5" s="1"/>
  <c r="G1473" i="5"/>
  <c r="E1473" i="5" s="1"/>
  <c r="G1474" i="5"/>
  <c r="E1474" i="5" s="1"/>
  <c r="G1475" i="5"/>
  <c r="E1475" i="5" s="1"/>
  <c r="G1476" i="5"/>
  <c r="E1476" i="5" s="1"/>
  <c r="G1477" i="5"/>
  <c r="E1477" i="5" s="1"/>
  <c r="G1478" i="5"/>
  <c r="E1478" i="5" s="1"/>
  <c r="G1479" i="5"/>
  <c r="E1479" i="5" s="1"/>
  <c r="G1480" i="5"/>
  <c r="E1480" i="5" s="1"/>
  <c r="G1481" i="5"/>
  <c r="E1481" i="5" s="1"/>
  <c r="G1482" i="5"/>
  <c r="E1482" i="5" s="1"/>
  <c r="G1483" i="5"/>
  <c r="E1483" i="5" s="1"/>
  <c r="G1484" i="5"/>
  <c r="E1484" i="5" s="1"/>
  <c r="G1485" i="5"/>
  <c r="E1485" i="5" s="1"/>
  <c r="G1486" i="5"/>
  <c r="E1486" i="5" s="1"/>
  <c r="G1487" i="5"/>
  <c r="E1487" i="5" s="1"/>
  <c r="G1488" i="5"/>
  <c r="E1488" i="5" s="1"/>
  <c r="G1489" i="5"/>
  <c r="E1489" i="5" s="1"/>
  <c r="G1490" i="5"/>
  <c r="E1490" i="5" s="1"/>
  <c r="G1491" i="5"/>
  <c r="E1491" i="5" s="1"/>
  <c r="G1492" i="5"/>
  <c r="E1492" i="5" s="1"/>
  <c r="G1493" i="5"/>
  <c r="E1493" i="5" s="1"/>
  <c r="G1494" i="5"/>
  <c r="E1494" i="5" s="1"/>
  <c r="G1495" i="5"/>
  <c r="E1495" i="5" s="1"/>
  <c r="G1496" i="5"/>
  <c r="E1496" i="5" s="1"/>
  <c r="G1497" i="5"/>
  <c r="E1497" i="5" s="1"/>
  <c r="G1498" i="5"/>
  <c r="E1498" i="5" s="1"/>
  <c r="G1499" i="5"/>
  <c r="E1499" i="5" s="1"/>
  <c r="G1500" i="5"/>
  <c r="E1500" i="5" s="1"/>
  <c r="G1501" i="5"/>
  <c r="E1501" i="5" s="1"/>
  <c r="G1502" i="5"/>
  <c r="E1502" i="5" s="1"/>
  <c r="G1503" i="5"/>
  <c r="E1503" i="5" s="1"/>
  <c r="G1504" i="5"/>
  <c r="E1504" i="5" s="1"/>
  <c r="G1505" i="5"/>
  <c r="E1505" i="5" s="1"/>
  <c r="G1506" i="5"/>
  <c r="E1506" i="5" s="1"/>
  <c r="G1507" i="5"/>
  <c r="E1507" i="5" s="1"/>
  <c r="G1508" i="5"/>
  <c r="E1508" i="5" s="1"/>
  <c r="G1509" i="5"/>
  <c r="E1509" i="5" s="1"/>
  <c r="G1510" i="5"/>
  <c r="E1510" i="5" s="1"/>
  <c r="G1511" i="5"/>
  <c r="E1511" i="5" s="1"/>
  <c r="G1512" i="5"/>
  <c r="E1512" i="5" s="1"/>
  <c r="G1513" i="5"/>
  <c r="E1513" i="5" s="1"/>
  <c r="G1514" i="5"/>
  <c r="E1514" i="5" s="1"/>
  <c r="G1515" i="5"/>
  <c r="E1515" i="5" s="1"/>
  <c r="G1516" i="5"/>
  <c r="E1516" i="5" s="1"/>
  <c r="G1517" i="5"/>
  <c r="E1517" i="5" s="1"/>
  <c r="G1518" i="5"/>
  <c r="E1518" i="5" s="1"/>
  <c r="G1519" i="5"/>
  <c r="E1519" i="5" s="1"/>
  <c r="G1520" i="5"/>
  <c r="E1520" i="5" s="1"/>
  <c r="G1521" i="5"/>
  <c r="E1521" i="5" s="1"/>
  <c r="G1522" i="5"/>
  <c r="E1522" i="5" s="1"/>
  <c r="G1523" i="5"/>
  <c r="E1523" i="5" s="1"/>
  <c r="G1524" i="5"/>
  <c r="E1524" i="5" s="1"/>
  <c r="G1525" i="5"/>
  <c r="E1525" i="5" s="1"/>
  <c r="G1526" i="5"/>
  <c r="E1526" i="5" s="1"/>
  <c r="G1527" i="5"/>
  <c r="E1527" i="5" s="1"/>
  <c r="G1528" i="5"/>
  <c r="E1528" i="5" s="1"/>
  <c r="G1529" i="5"/>
  <c r="E1529" i="5" s="1"/>
  <c r="G1530" i="5"/>
  <c r="E1530" i="5" s="1"/>
  <c r="G1531" i="5"/>
  <c r="E1531" i="5" s="1"/>
  <c r="G1532" i="5"/>
  <c r="E1532" i="5" s="1"/>
  <c r="G1533" i="5"/>
  <c r="E1533" i="5" s="1"/>
  <c r="G1534" i="5"/>
  <c r="E1534" i="5" s="1"/>
  <c r="G1535" i="5"/>
  <c r="E1535" i="5" s="1"/>
  <c r="G1536" i="5"/>
  <c r="E1536" i="5" s="1"/>
  <c r="G1537" i="5"/>
  <c r="E1537" i="5" s="1"/>
  <c r="G1538" i="5"/>
  <c r="E1538" i="5" s="1"/>
  <c r="G1539" i="5"/>
  <c r="E1539" i="5" s="1"/>
  <c r="G1540" i="5"/>
  <c r="E1540" i="5" s="1"/>
  <c r="G1541" i="5"/>
  <c r="E1541" i="5" s="1"/>
  <c r="G1542" i="5"/>
  <c r="E1542" i="5" s="1"/>
  <c r="G1543" i="5"/>
  <c r="E1543" i="5" s="1"/>
  <c r="G1544" i="5"/>
  <c r="E1544" i="5" s="1"/>
  <c r="G1545" i="5"/>
  <c r="E1545" i="5" s="1"/>
  <c r="G1546" i="5"/>
  <c r="E1546" i="5" s="1"/>
  <c r="G1547" i="5"/>
  <c r="E1547" i="5" s="1"/>
  <c r="G1548" i="5"/>
  <c r="E1548" i="5" s="1"/>
  <c r="G1549" i="5"/>
  <c r="E1549" i="5" s="1"/>
  <c r="G1550" i="5"/>
  <c r="E1550" i="5" s="1"/>
  <c r="G1551" i="5"/>
  <c r="E1551" i="5" s="1"/>
  <c r="G1552" i="5"/>
  <c r="E1552" i="5" s="1"/>
  <c r="G1553" i="5"/>
  <c r="E1553" i="5" s="1"/>
  <c r="G1554" i="5"/>
  <c r="E1554" i="5" s="1"/>
  <c r="G1555" i="5"/>
  <c r="E1555" i="5" s="1"/>
  <c r="G1556" i="5"/>
  <c r="E1556" i="5" s="1"/>
  <c r="G1557" i="5"/>
  <c r="E1557" i="5" s="1"/>
  <c r="G1558" i="5"/>
  <c r="E1558" i="5" s="1"/>
  <c r="G1559" i="5"/>
  <c r="E1559" i="5" s="1"/>
  <c r="G1560" i="5"/>
  <c r="E1560" i="5" s="1"/>
  <c r="G1561" i="5"/>
  <c r="E1561" i="5" s="1"/>
  <c r="G1562" i="5"/>
  <c r="E1562" i="5" s="1"/>
  <c r="G1563" i="5"/>
  <c r="E1563" i="5" s="1"/>
  <c r="G1564" i="5"/>
  <c r="E1564" i="5" s="1"/>
  <c r="G1565" i="5"/>
  <c r="E1565" i="5" s="1"/>
  <c r="G1566" i="5"/>
  <c r="E1566" i="5" s="1"/>
  <c r="G1567" i="5"/>
  <c r="E1567" i="5" s="1"/>
  <c r="G1568" i="5"/>
  <c r="E1568" i="5" s="1"/>
  <c r="G1569" i="5"/>
  <c r="E1569" i="5" s="1"/>
  <c r="G1570" i="5"/>
  <c r="E1570" i="5" s="1"/>
  <c r="G1571" i="5"/>
  <c r="E1571" i="5" s="1"/>
  <c r="G1572" i="5"/>
  <c r="E1572" i="5" s="1"/>
  <c r="G1573" i="5"/>
  <c r="E1573" i="5" s="1"/>
  <c r="G1574" i="5"/>
  <c r="E1574" i="5" s="1"/>
  <c r="G1575" i="5"/>
  <c r="E1575" i="5" s="1"/>
  <c r="G1576" i="5"/>
  <c r="E1576" i="5" s="1"/>
  <c r="G1577" i="5"/>
  <c r="E1577" i="5" s="1"/>
  <c r="G1578" i="5"/>
  <c r="E1578" i="5" s="1"/>
  <c r="G1579" i="5"/>
  <c r="E1579" i="5" s="1"/>
  <c r="G1580" i="5"/>
  <c r="E1580" i="5" s="1"/>
  <c r="G1581" i="5"/>
  <c r="E1581" i="5" s="1"/>
  <c r="G1582" i="5"/>
  <c r="E1582" i="5" s="1"/>
  <c r="G1583" i="5"/>
  <c r="E1583" i="5" s="1"/>
  <c r="G1584" i="5"/>
  <c r="E1584" i="5" s="1"/>
  <c r="G1585" i="5"/>
  <c r="E1585" i="5" s="1"/>
  <c r="G1586" i="5"/>
  <c r="E1586" i="5" s="1"/>
  <c r="G1587" i="5"/>
  <c r="E1587" i="5" s="1"/>
  <c r="G1588" i="5"/>
  <c r="E1588" i="5" s="1"/>
  <c r="G1589" i="5"/>
  <c r="E1589" i="5" s="1"/>
  <c r="G1590" i="5"/>
  <c r="E1590" i="5" s="1"/>
  <c r="G1591" i="5"/>
  <c r="E1591" i="5" s="1"/>
  <c r="G1592" i="5"/>
  <c r="E1592" i="5" s="1"/>
  <c r="G1593" i="5"/>
  <c r="E1593" i="5" s="1"/>
  <c r="G1594" i="5"/>
  <c r="E1594" i="5" s="1"/>
  <c r="G1595" i="5"/>
  <c r="E1595" i="5" s="1"/>
  <c r="G1596" i="5"/>
  <c r="E1596" i="5" s="1"/>
  <c r="G1597" i="5"/>
  <c r="E1597" i="5" s="1"/>
  <c r="G1598" i="5"/>
  <c r="E1598" i="5" s="1"/>
  <c r="G1599" i="5"/>
  <c r="E1599" i="5" s="1"/>
  <c r="G1600" i="5"/>
  <c r="E1600" i="5" s="1"/>
  <c r="G1601" i="5"/>
  <c r="E1601" i="5" s="1"/>
  <c r="G1602" i="5"/>
  <c r="E1602" i="5" s="1"/>
  <c r="G1603" i="5"/>
  <c r="E1603" i="5" s="1"/>
  <c r="G1604" i="5"/>
  <c r="E1604" i="5" s="1"/>
  <c r="G1605" i="5"/>
  <c r="E1605" i="5" s="1"/>
  <c r="G1606" i="5"/>
  <c r="E1606" i="5" s="1"/>
  <c r="G1607" i="5"/>
  <c r="E1607" i="5" s="1"/>
  <c r="G1608" i="5"/>
  <c r="E1608" i="5" s="1"/>
  <c r="G1609" i="5"/>
  <c r="E1609" i="5" s="1"/>
  <c r="G1610" i="5"/>
  <c r="G1611" i="5"/>
  <c r="E1611" i="5" s="1"/>
  <c r="G1612" i="5"/>
  <c r="E1612" i="5" s="1"/>
  <c r="G1613" i="5"/>
  <c r="E1613" i="5" s="1"/>
  <c r="G1614" i="5"/>
  <c r="E1614" i="5" s="1"/>
  <c r="G1615" i="5"/>
  <c r="E1615" i="5" s="1"/>
  <c r="G1616" i="5"/>
  <c r="E1616" i="5" s="1"/>
  <c r="G1617" i="5"/>
  <c r="E1617" i="5" s="1"/>
  <c r="G1618" i="5"/>
  <c r="E1618" i="5" s="1"/>
  <c r="G1619" i="5"/>
  <c r="E1619" i="5" s="1"/>
  <c r="G1620" i="5"/>
  <c r="E1620" i="5" s="1"/>
  <c r="G1621" i="5"/>
  <c r="E1621" i="5" s="1"/>
  <c r="G1622" i="5"/>
  <c r="E1622" i="5" s="1"/>
  <c r="G1623" i="5"/>
  <c r="E1623" i="5" s="1"/>
  <c r="G1624" i="5"/>
  <c r="E1624" i="5" s="1"/>
  <c r="G1625" i="5"/>
  <c r="E1625" i="5" s="1"/>
  <c r="G1626" i="5"/>
  <c r="E1626" i="5" s="1"/>
  <c r="G1627" i="5"/>
  <c r="E1627" i="5" s="1"/>
  <c r="G1628" i="5"/>
  <c r="E1628" i="5" s="1"/>
  <c r="G1629" i="5"/>
  <c r="E1629" i="5" s="1"/>
  <c r="G1630" i="5"/>
  <c r="E1630" i="5" s="1"/>
  <c r="G1631" i="5"/>
  <c r="E1631" i="5" s="1"/>
  <c r="G1632" i="5"/>
  <c r="E1632" i="5" s="1"/>
  <c r="G1633" i="5"/>
  <c r="E1633" i="5" s="1"/>
  <c r="G1634" i="5"/>
  <c r="E1634" i="5" s="1"/>
  <c r="G1635" i="5"/>
  <c r="E1635" i="5" s="1"/>
  <c r="G1636" i="5"/>
  <c r="E1636" i="5" s="1"/>
  <c r="G1637" i="5"/>
  <c r="E1637" i="5" s="1"/>
  <c r="G1638" i="5"/>
  <c r="E1638" i="5" s="1"/>
  <c r="G1639" i="5"/>
  <c r="E1639" i="5" s="1"/>
  <c r="G1640" i="5"/>
  <c r="E1640" i="5" s="1"/>
  <c r="G1641" i="5"/>
  <c r="E1641" i="5" s="1"/>
  <c r="G1642" i="5"/>
  <c r="E1642" i="5" s="1"/>
  <c r="G1643" i="5"/>
  <c r="E1643" i="5" s="1"/>
  <c r="G1644" i="5"/>
  <c r="E1644" i="5" s="1"/>
  <c r="G1645" i="5"/>
  <c r="E1645" i="5" s="1"/>
  <c r="G1646" i="5"/>
  <c r="E1646" i="5" s="1"/>
  <c r="G1647" i="5"/>
  <c r="E1647" i="5" s="1"/>
  <c r="G1648" i="5"/>
  <c r="G1649" i="5"/>
  <c r="E1649" i="5" s="1"/>
  <c r="G1650" i="5"/>
  <c r="E1650" i="5" s="1"/>
  <c r="G1651" i="5"/>
  <c r="E1651" i="5" s="1"/>
  <c r="G1652" i="5"/>
  <c r="E1652" i="5" s="1"/>
  <c r="G1653" i="5"/>
  <c r="E1653" i="5" s="1"/>
  <c r="G1654" i="5"/>
  <c r="E1654" i="5" s="1"/>
  <c r="G1655" i="5"/>
  <c r="E1655" i="5" s="1"/>
  <c r="G1656" i="5"/>
  <c r="E1656" i="5" s="1"/>
  <c r="G1657" i="5"/>
  <c r="E1657" i="5" s="1"/>
  <c r="G1658" i="5"/>
  <c r="E1658" i="5" s="1"/>
  <c r="G1659" i="5"/>
  <c r="E1659" i="5" s="1"/>
  <c r="G1660" i="5"/>
  <c r="E1660" i="5" s="1"/>
  <c r="G1661" i="5"/>
  <c r="E1661" i="5" s="1"/>
  <c r="G1662" i="5"/>
  <c r="E1662" i="5" s="1"/>
  <c r="G1663" i="5"/>
  <c r="E1663" i="5" s="1"/>
  <c r="G1664" i="5"/>
  <c r="E1664" i="5" s="1"/>
  <c r="G1665" i="5"/>
  <c r="E1665" i="5" s="1"/>
  <c r="G1666" i="5"/>
  <c r="E1666" i="5" s="1"/>
  <c r="G1667" i="5"/>
  <c r="E1667" i="5" s="1"/>
  <c r="G1668" i="5"/>
  <c r="E1668" i="5" s="1"/>
  <c r="G1669" i="5"/>
  <c r="E1669" i="5" s="1"/>
  <c r="G1670" i="5"/>
  <c r="E1670" i="5" s="1"/>
  <c r="G1671" i="5"/>
  <c r="E1671" i="5" s="1"/>
  <c r="G1672" i="5"/>
  <c r="E1672" i="5" s="1"/>
  <c r="G1673" i="5"/>
  <c r="E1673" i="5" s="1"/>
  <c r="G1674" i="5"/>
  <c r="E1674" i="5" s="1"/>
  <c r="G1675" i="5"/>
  <c r="E1675" i="5" s="1"/>
  <c r="G1676" i="5"/>
  <c r="E1676" i="5" s="1"/>
  <c r="G1677" i="5"/>
  <c r="E1677" i="5" s="1"/>
  <c r="G1678" i="5"/>
  <c r="E1678" i="5" s="1"/>
  <c r="G1679" i="5"/>
  <c r="E1679" i="5" s="1"/>
  <c r="G1680" i="5"/>
  <c r="E1680" i="5" s="1"/>
  <c r="G1681" i="5"/>
  <c r="E1681" i="5" s="1"/>
  <c r="G1682" i="5"/>
  <c r="E1682" i="5" s="1"/>
  <c r="G1683" i="5"/>
  <c r="E1683" i="5" s="1"/>
  <c r="G1684" i="5"/>
  <c r="E1684" i="5" s="1"/>
  <c r="G1685" i="5"/>
  <c r="E1685" i="5" s="1"/>
  <c r="G1686" i="5"/>
  <c r="E1686" i="5" s="1"/>
  <c r="G1687" i="5"/>
  <c r="E1687" i="5" s="1"/>
  <c r="G1688" i="5"/>
  <c r="E1688" i="5" s="1"/>
  <c r="G1689" i="5"/>
  <c r="E1689" i="5" s="1"/>
  <c r="G1690" i="5"/>
  <c r="E1690" i="5" s="1"/>
  <c r="G1691" i="5"/>
  <c r="E1691" i="5" s="1"/>
  <c r="G1692" i="5"/>
  <c r="E1692" i="5" s="1"/>
  <c r="G1693" i="5"/>
  <c r="E1693" i="5" s="1"/>
  <c r="G1694" i="5"/>
  <c r="E1694" i="5" s="1"/>
  <c r="G1695" i="5"/>
  <c r="E1695" i="5" s="1"/>
  <c r="G1696" i="5"/>
  <c r="E1696" i="5" s="1"/>
  <c r="G1697" i="5"/>
  <c r="E1697" i="5" s="1"/>
  <c r="G1698" i="5"/>
  <c r="E1698" i="5" s="1"/>
  <c r="G1699" i="5"/>
  <c r="E1699" i="5" s="1"/>
  <c r="G1700" i="5"/>
  <c r="E1700" i="5" s="1"/>
  <c r="G1701" i="5"/>
  <c r="E1701" i="5" s="1"/>
  <c r="G1702" i="5"/>
  <c r="E1702" i="5" s="1"/>
  <c r="G1703" i="5"/>
  <c r="E1703" i="5" s="1"/>
  <c r="G1704" i="5"/>
  <c r="E1704" i="5" s="1"/>
  <c r="G1705" i="5"/>
  <c r="E1705" i="5" s="1"/>
  <c r="G1706" i="5"/>
  <c r="E1706" i="5" s="1"/>
  <c r="G1707" i="5"/>
  <c r="E1707" i="5" s="1"/>
  <c r="G1708" i="5"/>
  <c r="E1708" i="5" s="1"/>
  <c r="G1709" i="5"/>
  <c r="E1709" i="5" s="1"/>
  <c r="G1710" i="5"/>
  <c r="E1710" i="5" s="1"/>
  <c r="G1711" i="5"/>
  <c r="E1711" i="5" s="1"/>
  <c r="G1712" i="5"/>
  <c r="E1712" i="5" s="1"/>
  <c r="G1713" i="5"/>
  <c r="E1713" i="5" s="1"/>
  <c r="G1714" i="5"/>
  <c r="E1714" i="5" s="1"/>
  <c r="G1715" i="5"/>
  <c r="E1715" i="5" s="1"/>
  <c r="G1716" i="5"/>
  <c r="E1716" i="5" s="1"/>
  <c r="G1717" i="5"/>
  <c r="E1717" i="5" s="1"/>
  <c r="G1718" i="5"/>
  <c r="E1718" i="5" s="1"/>
  <c r="G1719" i="5"/>
  <c r="E1719" i="5" s="1"/>
  <c r="G1720" i="5"/>
  <c r="E1720" i="5" s="1"/>
  <c r="G1721" i="5"/>
  <c r="E1721" i="5" s="1"/>
  <c r="G1722" i="5"/>
  <c r="E1722" i="5" s="1"/>
  <c r="G1723" i="5"/>
  <c r="E1723" i="5" s="1"/>
  <c r="G1724" i="5"/>
  <c r="E1724" i="5" s="1"/>
  <c r="G1725" i="5"/>
  <c r="E1725" i="5" s="1"/>
  <c r="G1726" i="5"/>
  <c r="E1726" i="5" s="1"/>
  <c r="G1727" i="5"/>
  <c r="E1727" i="5" s="1"/>
  <c r="G1728" i="5"/>
  <c r="E1728" i="5" s="1"/>
  <c r="G1729" i="5"/>
  <c r="E1729" i="5" s="1"/>
  <c r="G1730" i="5"/>
  <c r="E1730" i="5" s="1"/>
  <c r="G1731" i="5"/>
  <c r="E1731" i="5" s="1"/>
  <c r="G1732" i="5"/>
  <c r="E1732" i="5" s="1"/>
  <c r="G1733" i="5"/>
  <c r="E1733" i="5" s="1"/>
  <c r="G1734" i="5"/>
  <c r="E1734" i="5" s="1"/>
  <c r="G1735" i="5"/>
  <c r="E1735" i="5" s="1"/>
  <c r="G1736" i="5"/>
  <c r="E1736" i="5" s="1"/>
  <c r="G1737" i="5"/>
  <c r="E1737" i="5" s="1"/>
  <c r="G1738" i="5"/>
  <c r="E1738" i="5" s="1"/>
  <c r="G1739" i="5"/>
  <c r="E1739" i="5" s="1"/>
  <c r="G1740" i="5"/>
  <c r="E1740" i="5" s="1"/>
  <c r="G1741" i="5"/>
  <c r="E1741" i="5" s="1"/>
  <c r="G1742" i="5"/>
  <c r="E1742" i="5" s="1"/>
  <c r="G1743" i="5"/>
  <c r="E1743" i="5" s="1"/>
  <c r="G1744" i="5"/>
  <c r="E1744" i="5" s="1"/>
  <c r="G1745" i="5"/>
  <c r="E1745" i="5" s="1"/>
  <c r="G1746" i="5"/>
  <c r="E1746" i="5" s="1"/>
  <c r="G1747" i="5"/>
  <c r="E1747" i="5" s="1"/>
  <c r="G1748" i="5"/>
  <c r="E1748" i="5" s="1"/>
  <c r="G1749" i="5"/>
  <c r="E1749" i="5" s="1"/>
  <c r="G1750" i="5"/>
  <c r="E1750" i="5" s="1"/>
  <c r="G1751" i="5"/>
  <c r="E1751" i="5" s="1"/>
  <c r="G1752" i="5"/>
  <c r="E1752" i="5" s="1"/>
  <c r="G1753" i="5"/>
  <c r="E1753" i="5" s="1"/>
  <c r="G1754" i="5"/>
  <c r="E1754" i="5" s="1"/>
  <c r="G1755" i="5"/>
  <c r="E1755" i="5" s="1"/>
  <c r="G1756" i="5"/>
  <c r="E1756" i="5" s="1"/>
  <c r="G1757" i="5"/>
  <c r="E1757" i="5" s="1"/>
  <c r="G1758" i="5"/>
  <c r="E1758" i="5" s="1"/>
  <c r="G1759" i="5"/>
  <c r="E1759" i="5" s="1"/>
  <c r="G1760" i="5"/>
  <c r="E1760" i="5" s="1"/>
  <c r="G1761" i="5"/>
  <c r="E1761" i="5" s="1"/>
  <c r="G1762" i="5"/>
  <c r="E1762" i="5" s="1"/>
  <c r="G1763" i="5"/>
  <c r="E1763" i="5" s="1"/>
  <c r="G1764" i="5"/>
  <c r="E1764" i="5" s="1"/>
  <c r="G1765" i="5"/>
  <c r="E1765" i="5" s="1"/>
  <c r="G1766" i="5"/>
  <c r="E1766" i="5" s="1"/>
  <c r="G1767" i="5"/>
  <c r="E1767" i="5" s="1"/>
  <c r="G1768" i="5"/>
  <c r="E1768" i="5" s="1"/>
  <c r="G1769" i="5"/>
  <c r="E1769" i="5" s="1"/>
  <c r="G1770" i="5"/>
  <c r="E1770" i="5" s="1"/>
  <c r="G1771" i="5"/>
  <c r="E1771" i="5" s="1"/>
  <c r="G1772" i="5"/>
  <c r="E1772" i="5" s="1"/>
  <c r="G1773" i="5"/>
  <c r="E1773" i="5" s="1"/>
  <c r="G1774" i="5"/>
  <c r="E1774" i="5" s="1"/>
  <c r="G1775" i="5"/>
  <c r="E1775" i="5" s="1"/>
  <c r="G1776" i="5"/>
  <c r="E1776" i="5" s="1"/>
  <c r="G1777" i="5"/>
  <c r="E1777" i="5" s="1"/>
  <c r="G1778" i="5"/>
  <c r="E1778" i="5" s="1"/>
  <c r="G1779" i="5"/>
  <c r="E1779" i="5" s="1"/>
  <c r="G1780" i="5"/>
  <c r="E1780" i="5" s="1"/>
  <c r="G1781" i="5"/>
  <c r="E1781" i="5" s="1"/>
  <c r="G1782" i="5"/>
  <c r="E1782" i="5" s="1"/>
  <c r="G1783" i="5"/>
  <c r="E1783" i="5" s="1"/>
  <c r="G1784" i="5"/>
  <c r="E1784" i="5" s="1"/>
  <c r="G1785" i="5"/>
  <c r="E1785" i="5" s="1"/>
  <c r="G1786" i="5"/>
  <c r="E1786" i="5" s="1"/>
  <c r="G1787" i="5"/>
  <c r="E1787" i="5" s="1"/>
  <c r="G1788" i="5"/>
  <c r="E1788" i="5" s="1"/>
  <c r="G1789" i="5"/>
  <c r="E1789" i="5" s="1"/>
  <c r="G1790" i="5"/>
  <c r="E1790" i="5" s="1"/>
  <c r="G1791" i="5"/>
  <c r="E1791" i="5" s="1"/>
  <c r="G1792" i="5"/>
  <c r="E1792" i="5" s="1"/>
  <c r="G1793" i="5"/>
  <c r="E1793" i="5" s="1"/>
  <c r="G1794" i="5"/>
  <c r="E1794" i="5" s="1"/>
  <c r="G1795" i="5"/>
  <c r="E1795" i="5" s="1"/>
  <c r="G1796" i="5"/>
  <c r="E1796" i="5" s="1"/>
  <c r="G1797" i="5"/>
  <c r="E1797" i="5" s="1"/>
  <c r="G1798" i="5"/>
  <c r="E1798" i="5" s="1"/>
  <c r="G1799" i="5"/>
  <c r="E1799" i="5" s="1"/>
  <c r="G1800" i="5"/>
  <c r="E1800" i="5" s="1"/>
  <c r="G1801" i="5"/>
  <c r="E1801" i="5" s="1"/>
  <c r="G1802" i="5"/>
  <c r="E1802" i="5" s="1"/>
  <c r="G1803" i="5"/>
  <c r="E1803" i="5" s="1"/>
  <c r="G1804" i="5"/>
  <c r="E1804" i="5" s="1"/>
  <c r="G1805" i="5"/>
  <c r="E1805" i="5" s="1"/>
  <c r="G1806" i="5"/>
  <c r="E1806" i="5" s="1"/>
  <c r="G1807" i="5"/>
  <c r="E1807" i="5" s="1"/>
  <c r="G1808" i="5"/>
  <c r="E1808" i="5" s="1"/>
  <c r="G1809" i="5"/>
  <c r="E1809" i="5" s="1"/>
  <c r="G1810" i="5"/>
  <c r="E1810" i="5" s="1"/>
  <c r="G1811" i="5"/>
  <c r="E1811" i="5" s="1"/>
  <c r="G1812" i="5"/>
  <c r="E1812" i="5" s="1"/>
  <c r="G1813" i="5"/>
  <c r="E1813" i="5" s="1"/>
  <c r="G1814" i="5"/>
  <c r="E1814" i="5" s="1"/>
  <c r="G1815" i="5"/>
  <c r="E1815" i="5" s="1"/>
  <c r="G1816" i="5"/>
  <c r="E1816" i="5" s="1"/>
  <c r="G1817" i="5"/>
  <c r="E1817" i="5" s="1"/>
  <c r="G1818" i="5"/>
  <c r="E1818" i="5" s="1"/>
  <c r="G1819" i="5"/>
  <c r="E1819" i="5" s="1"/>
  <c r="G1820" i="5"/>
  <c r="E1820" i="5" s="1"/>
  <c r="G1821" i="5"/>
  <c r="E1821" i="5" s="1"/>
  <c r="G1822" i="5"/>
  <c r="E1822" i="5" s="1"/>
  <c r="G1823" i="5"/>
  <c r="E1823" i="5" s="1"/>
  <c r="G1824" i="5"/>
  <c r="E1824" i="5" s="1"/>
  <c r="G1825" i="5"/>
  <c r="E1825" i="5" s="1"/>
  <c r="G1826" i="5"/>
  <c r="E1826" i="5" s="1"/>
  <c r="G1827" i="5"/>
  <c r="E1827" i="5" s="1"/>
  <c r="G1828" i="5"/>
  <c r="E1828" i="5" s="1"/>
  <c r="G1829" i="5"/>
  <c r="E1829" i="5" s="1"/>
  <c r="G1830" i="5"/>
  <c r="E1830" i="5" s="1"/>
  <c r="G1831" i="5"/>
  <c r="E1831" i="5" s="1"/>
  <c r="G1832" i="5"/>
  <c r="E1832" i="5" s="1"/>
  <c r="G1833" i="5"/>
  <c r="E1833" i="5" s="1"/>
  <c r="G1834" i="5"/>
  <c r="E1834" i="5" s="1"/>
  <c r="G1835" i="5"/>
  <c r="E1835" i="5" s="1"/>
  <c r="G1836" i="5"/>
  <c r="E1836" i="5" s="1"/>
  <c r="G1837" i="5"/>
  <c r="E1837" i="5" s="1"/>
  <c r="G1838" i="5"/>
  <c r="E1838" i="5" s="1"/>
  <c r="G1839" i="5"/>
  <c r="E1839" i="5" s="1"/>
  <c r="G1840" i="5"/>
  <c r="E1840" i="5" s="1"/>
  <c r="G1841" i="5"/>
  <c r="E1841" i="5" s="1"/>
  <c r="G1842" i="5"/>
  <c r="E1842" i="5" s="1"/>
  <c r="G1843" i="5"/>
  <c r="E1843" i="5" s="1"/>
  <c r="G1844" i="5"/>
  <c r="E1844" i="5" s="1"/>
  <c r="G1845" i="5"/>
  <c r="E1845" i="5" s="1"/>
  <c r="G1846" i="5"/>
  <c r="E1846" i="5" s="1"/>
  <c r="G1847" i="5"/>
  <c r="E1847" i="5" s="1"/>
  <c r="G1848" i="5"/>
  <c r="E1848" i="5" s="1"/>
  <c r="G1849" i="5"/>
  <c r="E1849" i="5" s="1"/>
  <c r="G1850" i="5"/>
  <c r="E1850" i="5" s="1"/>
  <c r="G1851" i="5"/>
  <c r="E1851" i="5" s="1"/>
  <c r="G1852" i="5"/>
  <c r="E1852" i="5" s="1"/>
  <c r="G1853" i="5"/>
  <c r="E1853" i="5" s="1"/>
  <c r="G1854" i="5"/>
  <c r="E1854" i="5" s="1"/>
  <c r="G1855" i="5"/>
  <c r="E1855" i="5" s="1"/>
  <c r="G1856" i="5"/>
  <c r="E1856" i="5" s="1"/>
  <c r="G1857" i="5"/>
  <c r="E1857" i="5" s="1"/>
  <c r="G1858" i="5"/>
  <c r="E1858" i="5" s="1"/>
  <c r="G1859" i="5"/>
  <c r="E1859" i="5" s="1"/>
  <c r="G1860" i="5"/>
  <c r="E1860" i="5" s="1"/>
  <c r="G1861" i="5"/>
  <c r="E1861" i="5" s="1"/>
  <c r="G1862" i="5"/>
  <c r="E1862" i="5" s="1"/>
  <c r="G1863" i="5"/>
  <c r="E1863" i="5" s="1"/>
  <c r="G1864" i="5"/>
  <c r="E1864" i="5" s="1"/>
  <c r="G1865" i="5"/>
  <c r="E1865" i="5" s="1"/>
  <c r="G1866" i="5"/>
  <c r="E1866" i="5" s="1"/>
  <c r="G1867" i="5"/>
  <c r="E1867" i="5" s="1"/>
  <c r="G1868" i="5"/>
  <c r="E1868" i="5" s="1"/>
  <c r="G1869" i="5"/>
  <c r="E1869" i="5" s="1"/>
  <c r="G1870" i="5"/>
  <c r="E1870" i="5" s="1"/>
  <c r="G1871" i="5"/>
  <c r="E1871" i="5" s="1"/>
  <c r="G1872" i="5"/>
  <c r="E1872" i="5" s="1"/>
  <c r="G1873" i="5"/>
  <c r="E1873" i="5" s="1"/>
  <c r="G1874" i="5"/>
  <c r="E1874" i="5" s="1"/>
  <c r="G1875" i="5"/>
  <c r="E1875" i="5" s="1"/>
  <c r="G1876" i="5"/>
  <c r="E1876" i="5" s="1"/>
  <c r="G1877" i="5"/>
  <c r="E1877" i="5" s="1"/>
  <c r="G1878" i="5"/>
  <c r="E1878" i="5" s="1"/>
  <c r="G1879" i="5"/>
  <c r="E1879" i="5" s="1"/>
  <c r="G1880" i="5"/>
  <c r="E1880" i="5" s="1"/>
  <c r="G1881" i="5"/>
  <c r="E1881" i="5" s="1"/>
  <c r="G1882" i="5"/>
  <c r="E1882" i="5" s="1"/>
  <c r="G1883" i="5"/>
  <c r="E1883" i="5" s="1"/>
  <c r="G1884" i="5"/>
  <c r="E1884" i="5" s="1"/>
  <c r="G1885" i="5"/>
  <c r="E1885" i="5" s="1"/>
  <c r="G1886" i="5"/>
  <c r="E1886" i="5" s="1"/>
  <c r="G1887" i="5"/>
  <c r="E1887" i="5" s="1"/>
  <c r="G1888" i="5"/>
  <c r="E1888" i="5" s="1"/>
  <c r="G1889" i="5"/>
  <c r="E1889" i="5" s="1"/>
  <c r="G1890" i="5"/>
  <c r="E1890" i="5" s="1"/>
  <c r="G1891" i="5"/>
  <c r="E1891" i="5" s="1"/>
  <c r="G1892" i="5"/>
  <c r="E1892" i="5" s="1"/>
  <c r="G1893" i="5"/>
  <c r="E1893" i="5" s="1"/>
  <c r="G1894" i="5"/>
  <c r="E1894" i="5" s="1"/>
  <c r="G1895" i="5"/>
  <c r="E1895" i="5" s="1"/>
  <c r="G1896" i="5"/>
  <c r="E1896" i="5" s="1"/>
  <c r="G1897" i="5"/>
  <c r="E1897" i="5" s="1"/>
  <c r="G1898" i="5"/>
  <c r="E1898" i="5" s="1"/>
  <c r="G1899" i="5"/>
  <c r="E1899" i="5" s="1"/>
  <c r="G1900" i="5"/>
  <c r="E1900" i="5" s="1"/>
  <c r="G1901" i="5"/>
  <c r="E1901" i="5" s="1"/>
  <c r="G1902" i="5"/>
  <c r="G1903" i="5"/>
  <c r="E1903" i="5" s="1"/>
  <c r="G1904" i="5"/>
  <c r="E1904" i="5" s="1"/>
  <c r="G1905" i="5"/>
  <c r="E1905" i="5" s="1"/>
  <c r="G1906" i="5"/>
  <c r="E1906" i="5" s="1"/>
  <c r="G1907" i="5"/>
  <c r="E1907" i="5" s="1"/>
  <c r="G1908" i="5"/>
  <c r="E1908" i="5" s="1"/>
  <c r="G1909" i="5"/>
  <c r="E1909" i="5" s="1"/>
  <c r="G1910" i="5"/>
  <c r="E1910" i="5" s="1"/>
  <c r="G1911" i="5"/>
  <c r="E1911" i="5" s="1"/>
  <c r="G1912" i="5"/>
  <c r="E1912" i="5" s="1"/>
  <c r="G1913" i="5"/>
  <c r="E1913" i="5" s="1"/>
  <c r="G1914" i="5"/>
  <c r="E1914" i="5" s="1"/>
  <c r="G1915" i="5"/>
  <c r="E1915" i="5" s="1"/>
  <c r="G1916" i="5"/>
  <c r="E1916" i="5" s="1"/>
  <c r="G1917" i="5"/>
  <c r="E1917" i="5" s="1"/>
  <c r="G1918" i="5"/>
  <c r="E1918" i="5" s="1"/>
  <c r="G1919" i="5"/>
  <c r="E1919" i="5" s="1"/>
  <c r="G1920" i="5"/>
  <c r="E1920" i="5" s="1"/>
  <c r="G1921" i="5"/>
  <c r="E1921" i="5" s="1"/>
  <c r="G1922" i="5"/>
  <c r="E1922" i="5" s="1"/>
  <c r="G1923" i="5"/>
  <c r="E1923" i="5" s="1"/>
  <c r="G1924" i="5"/>
  <c r="E1924" i="5" s="1"/>
  <c r="G1925" i="5"/>
  <c r="E1925" i="5" s="1"/>
  <c r="G1926" i="5"/>
  <c r="E1926" i="5" s="1"/>
  <c r="G1927" i="5"/>
  <c r="E1927" i="5" s="1"/>
  <c r="G1928" i="5"/>
  <c r="E1928" i="5" s="1"/>
  <c r="G1929" i="5"/>
  <c r="E1929" i="5" s="1"/>
  <c r="G1930" i="5"/>
  <c r="E1930" i="5" s="1"/>
  <c r="G1931" i="5"/>
  <c r="E1931" i="5" s="1"/>
  <c r="G1932" i="5"/>
  <c r="E1932" i="5" s="1"/>
  <c r="G1933" i="5"/>
  <c r="E1933" i="5" s="1"/>
  <c r="G1934" i="5"/>
  <c r="E1934" i="5" s="1"/>
  <c r="G1935" i="5"/>
  <c r="E1935" i="5" s="1"/>
  <c r="G1936" i="5"/>
  <c r="E1936" i="5" s="1"/>
  <c r="G1937" i="5"/>
  <c r="E1937" i="5" s="1"/>
  <c r="G1938" i="5"/>
  <c r="E1938" i="5" s="1"/>
  <c r="G1939" i="5"/>
  <c r="E1939" i="5" s="1"/>
  <c r="G1940" i="5"/>
  <c r="E1940" i="5" s="1"/>
  <c r="G1941" i="5"/>
  <c r="E1941" i="5" s="1"/>
  <c r="G1942" i="5"/>
  <c r="E1942" i="5" s="1"/>
  <c r="G1943" i="5"/>
  <c r="E1943" i="5" s="1"/>
  <c r="G1944" i="5"/>
  <c r="E1944" i="5" s="1"/>
  <c r="G1945" i="5"/>
  <c r="E1945" i="5" s="1"/>
  <c r="G1946" i="5"/>
  <c r="E1946" i="5" s="1"/>
  <c r="G1947" i="5"/>
  <c r="E1947" i="5" s="1"/>
  <c r="G1948" i="5"/>
  <c r="E1948" i="5" s="1"/>
  <c r="G1949" i="5"/>
  <c r="E1949" i="5" s="1"/>
  <c r="G1950" i="5"/>
  <c r="E1950" i="5" s="1"/>
  <c r="G1951" i="5"/>
  <c r="E1951" i="5" s="1"/>
  <c r="G1952" i="5"/>
  <c r="E1952" i="5" s="1"/>
  <c r="G1953" i="5"/>
  <c r="E1953" i="5" s="1"/>
  <c r="G1954" i="5"/>
  <c r="E1954" i="5" s="1"/>
  <c r="G1955" i="5"/>
  <c r="E1955" i="5" s="1"/>
  <c r="G1956" i="5"/>
  <c r="E1956" i="5" s="1"/>
  <c r="G1957" i="5"/>
  <c r="E1957" i="5" s="1"/>
  <c r="G1958" i="5"/>
  <c r="E1958" i="5" s="1"/>
  <c r="G1959" i="5"/>
  <c r="E1959" i="5" s="1"/>
  <c r="G1960" i="5"/>
  <c r="E1960" i="5" s="1"/>
  <c r="G1961" i="5"/>
  <c r="E1961" i="5" s="1"/>
  <c r="G1962" i="5"/>
  <c r="E1962" i="5" s="1"/>
  <c r="G1963" i="5"/>
  <c r="E1963" i="5" s="1"/>
  <c r="G1964" i="5"/>
  <c r="E1964" i="5" s="1"/>
  <c r="G1965" i="5"/>
  <c r="E1965" i="5" s="1"/>
  <c r="G1966" i="5"/>
  <c r="E1966" i="5" s="1"/>
  <c r="G1967" i="5"/>
  <c r="E1967" i="5" s="1"/>
  <c r="G1968" i="5"/>
  <c r="E1968" i="5" s="1"/>
  <c r="G1969" i="5"/>
  <c r="E1969" i="5" s="1"/>
  <c r="G1970" i="5"/>
  <c r="E1970" i="5" s="1"/>
  <c r="G1971" i="5"/>
  <c r="E1971" i="5" s="1"/>
  <c r="G1972" i="5"/>
  <c r="E1972" i="5" s="1"/>
  <c r="G1973" i="5"/>
  <c r="E1973" i="5" s="1"/>
  <c r="G1974" i="5"/>
  <c r="E1974" i="5" s="1"/>
  <c r="G1975" i="5"/>
  <c r="E1975" i="5" s="1"/>
  <c r="G1976" i="5"/>
  <c r="E1976" i="5" s="1"/>
  <c r="G1977" i="5"/>
  <c r="E1977" i="5" s="1"/>
  <c r="G1978" i="5"/>
  <c r="E1978" i="5" s="1"/>
  <c r="G1979" i="5"/>
  <c r="E1979" i="5" s="1"/>
  <c r="G1980" i="5"/>
  <c r="E1980" i="5" s="1"/>
  <c r="G1981" i="5"/>
  <c r="E1981" i="5" s="1"/>
  <c r="G1982" i="5"/>
  <c r="E1982" i="5" s="1"/>
  <c r="G1983" i="5"/>
  <c r="E1983" i="5" s="1"/>
  <c r="G1984" i="5"/>
  <c r="E1984" i="5" s="1"/>
  <c r="G1985" i="5"/>
  <c r="E1985" i="5" s="1"/>
  <c r="G1986" i="5"/>
  <c r="E1986" i="5" s="1"/>
  <c r="G1987" i="5"/>
  <c r="E1987" i="5" s="1"/>
  <c r="G1988" i="5"/>
  <c r="E1988" i="5" s="1"/>
  <c r="G1989" i="5"/>
  <c r="E1989" i="5" s="1"/>
  <c r="G1990" i="5"/>
  <c r="E1990" i="5" s="1"/>
  <c r="G1991" i="5"/>
  <c r="E1991" i="5" s="1"/>
  <c r="G1992" i="5"/>
  <c r="E1992" i="5" s="1"/>
  <c r="G1993" i="5"/>
  <c r="E1993" i="5" s="1"/>
  <c r="G1994" i="5"/>
  <c r="E1994" i="5" s="1"/>
  <c r="G1995" i="5"/>
  <c r="E1995" i="5" s="1"/>
  <c r="G1996" i="5"/>
  <c r="E1996" i="5" s="1"/>
  <c r="G1997" i="5"/>
  <c r="E1997" i="5" s="1"/>
  <c r="G1998" i="5"/>
  <c r="E1998" i="5" s="1"/>
  <c r="G1999" i="5"/>
  <c r="E1999" i="5" s="1"/>
  <c r="G2000" i="5"/>
  <c r="E2000" i="5" s="1"/>
  <c r="H6" i="3"/>
  <c r="A7" i="3"/>
  <c r="H8" i="3"/>
  <c r="I8" i="3"/>
  <c r="J8" i="3"/>
  <c r="K8" i="3"/>
  <c r="L8" i="3"/>
  <c r="M8" i="3"/>
  <c r="N8" i="3"/>
  <c r="O8" i="3"/>
  <c r="P8" i="3"/>
  <c r="Q8" i="3"/>
  <c r="R8" i="3"/>
  <c r="S8" i="3"/>
  <c r="T8" i="3"/>
  <c r="U8" i="3"/>
  <c r="V8" i="3"/>
  <c r="W8" i="3"/>
  <c r="X8" i="3"/>
  <c r="Y8" i="3"/>
  <c r="Z8" i="3"/>
  <c r="AA8" i="3"/>
  <c r="AB8" i="3"/>
  <c r="AC8" i="3"/>
  <c r="AD8" i="3"/>
  <c r="AE8" i="3"/>
  <c r="AF8" i="3"/>
  <c r="AG8" i="3"/>
  <c r="AH8" i="3"/>
  <c r="AI8" i="3"/>
  <c r="AJ8" i="3"/>
  <c r="AK8" i="3"/>
  <c r="AL8" i="3"/>
  <c r="A12" i="3"/>
  <c r="H13" i="3"/>
  <c r="I13" i="3"/>
  <c r="J13" i="3"/>
  <c r="K13" i="3"/>
  <c r="L13" i="3"/>
  <c r="M13" i="3"/>
  <c r="N13" i="3"/>
  <c r="O13" i="3"/>
  <c r="P13" i="3"/>
  <c r="Q13" i="3"/>
  <c r="R13" i="3"/>
  <c r="S13" i="3"/>
  <c r="T13" i="3"/>
  <c r="U13" i="3"/>
  <c r="V13" i="3"/>
  <c r="W13" i="3"/>
  <c r="X13" i="3"/>
  <c r="Y13" i="3"/>
  <c r="Z13" i="3"/>
  <c r="AA13" i="3"/>
  <c r="AB13" i="3"/>
  <c r="AC13" i="3"/>
  <c r="AD13" i="3"/>
  <c r="AE13" i="3"/>
  <c r="AF13" i="3"/>
  <c r="AG13" i="3"/>
  <c r="AH13" i="3"/>
  <c r="AI13" i="3"/>
  <c r="AJ13" i="3"/>
  <c r="AK13" i="3"/>
  <c r="AL13" i="3"/>
  <c r="A17" i="3"/>
  <c r="H18" i="3"/>
  <c r="I18" i="3"/>
  <c r="J18" i="3"/>
  <c r="K18" i="3"/>
  <c r="L18" i="3"/>
  <c r="M18" i="3"/>
  <c r="N18" i="3"/>
  <c r="O18" i="3"/>
  <c r="P18" i="3"/>
  <c r="Q18" i="3"/>
  <c r="R18" i="3"/>
  <c r="S18" i="3"/>
  <c r="T18" i="3"/>
  <c r="U18" i="3"/>
  <c r="V18" i="3"/>
  <c r="W18" i="3"/>
  <c r="X18" i="3"/>
  <c r="Y18" i="3"/>
  <c r="Z18" i="3"/>
  <c r="AA18" i="3"/>
  <c r="AB18" i="3"/>
  <c r="AC18" i="3"/>
  <c r="AD18" i="3"/>
  <c r="AE18" i="3"/>
  <c r="AF18" i="3"/>
  <c r="AG18" i="3"/>
  <c r="AH18" i="3"/>
  <c r="AI18" i="3"/>
  <c r="AJ18" i="3"/>
  <c r="AK18" i="3"/>
  <c r="AL18" i="3"/>
  <c r="A22" i="3"/>
  <c r="H23" i="3"/>
  <c r="I23" i="3"/>
  <c r="J23" i="3"/>
  <c r="K23" i="3"/>
  <c r="L23" i="3"/>
  <c r="M23" i="3"/>
  <c r="N23" i="3"/>
  <c r="O23" i="3"/>
  <c r="P23" i="3"/>
  <c r="Q23" i="3"/>
  <c r="R23" i="3"/>
  <c r="S23" i="3"/>
  <c r="T23" i="3"/>
  <c r="U23" i="3"/>
  <c r="V23" i="3"/>
  <c r="W23" i="3"/>
  <c r="X23" i="3"/>
  <c r="Y23" i="3"/>
  <c r="Z23" i="3"/>
  <c r="AA23" i="3"/>
  <c r="AB23" i="3"/>
  <c r="AC23" i="3"/>
  <c r="AD23" i="3"/>
  <c r="AE23" i="3"/>
  <c r="AF23" i="3"/>
  <c r="AG23" i="3"/>
  <c r="AH23" i="3"/>
  <c r="AI23" i="3"/>
  <c r="AJ23" i="3"/>
  <c r="AK23" i="3"/>
  <c r="AL23" i="3"/>
  <c r="A27" i="3"/>
  <c r="H28" i="3"/>
  <c r="I28" i="3"/>
  <c r="J28" i="3"/>
  <c r="K28" i="3"/>
  <c r="L28" i="3"/>
  <c r="M28" i="3"/>
  <c r="N28" i="3"/>
  <c r="O28" i="3"/>
  <c r="P28" i="3"/>
  <c r="Q28" i="3"/>
  <c r="R28" i="3"/>
  <c r="S28" i="3"/>
  <c r="T28" i="3"/>
  <c r="U28" i="3"/>
  <c r="V28" i="3"/>
  <c r="W28" i="3"/>
  <c r="X28" i="3"/>
  <c r="Y28" i="3"/>
  <c r="Z28" i="3"/>
  <c r="AA28" i="3"/>
  <c r="AB28" i="3"/>
  <c r="AC28" i="3"/>
  <c r="AD28" i="3"/>
  <c r="AE28" i="3"/>
  <c r="AF28" i="3"/>
  <c r="AG28" i="3"/>
  <c r="AH28" i="3"/>
  <c r="AI28" i="3"/>
  <c r="AJ28" i="3"/>
  <c r="AK28" i="3"/>
  <c r="AL28" i="3"/>
  <c r="A32" i="3"/>
  <c r="F33" i="3"/>
  <c r="A37" i="3"/>
  <c r="H38" i="3"/>
  <c r="I38" i="3"/>
  <c r="J38" i="3"/>
  <c r="K38" i="3"/>
  <c r="L38" i="3"/>
  <c r="M38" i="3"/>
  <c r="N38" i="3"/>
  <c r="O38" i="3"/>
  <c r="P38" i="3"/>
  <c r="Q38" i="3"/>
  <c r="R38" i="3"/>
  <c r="S38" i="3"/>
  <c r="T38" i="3"/>
  <c r="U38" i="3"/>
  <c r="V38" i="3"/>
  <c r="W38" i="3"/>
  <c r="X38" i="3"/>
  <c r="Y38" i="3"/>
  <c r="Z38" i="3"/>
  <c r="AA38" i="3"/>
  <c r="AB38" i="3"/>
  <c r="AC38" i="3"/>
  <c r="AD38" i="3"/>
  <c r="AE38" i="3"/>
  <c r="AF38" i="3"/>
  <c r="AG38" i="3"/>
  <c r="AH38" i="3"/>
  <c r="AI38" i="3"/>
  <c r="AJ38" i="3"/>
  <c r="AK38" i="3"/>
  <c r="AL38" i="3"/>
  <c r="A44" i="3"/>
  <c r="AB605" i="1" l="1"/>
  <c r="AA402" i="1"/>
  <c r="AA414" i="1"/>
  <c r="AA431" i="1"/>
  <c r="AA443" i="1"/>
  <c r="AA449" i="1"/>
  <c r="AA453" i="1"/>
  <c r="AA454" i="1"/>
  <c r="AA487" i="1"/>
  <c r="AA489" i="1"/>
  <c r="AA498" i="1"/>
  <c r="AA505" i="1"/>
  <c r="AA535" i="1"/>
  <c r="AA546" i="1"/>
  <c r="AA557" i="1"/>
  <c r="AA574" i="1"/>
  <c r="AD605" i="1"/>
  <c r="AA321" i="1"/>
  <c r="AA322" i="1"/>
  <c r="AA329" i="1"/>
  <c r="AA335" i="1"/>
  <c r="AA342" i="1"/>
  <c r="AA343" i="1"/>
  <c r="AA349" i="1"/>
  <c r="AA352" i="1"/>
  <c r="AA354" i="1"/>
  <c r="AA355" i="1"/>
  <c r="AA358" i="1"/>
  <c r="AA361" i="1"/>
  <c r="AA367" i="1"/>
  <c r="AA370" i="1"/>
  <c r="AA379" i="1"/>
  <c r="AA380" i="1"/>
  <c r="AA381" i="1"/>
  <c r="AA386" i="1"/>
  <c r="AA390" i="1"/>
  <c r="AA392" i="1"/>
  <c r="Z2" i="10"/>
  <c r="Z3" i="10"/>
  <c r="AD649" i="1"/>
  <c r="G1053" i="8" a="1"/>
  <c r="F1053" i="8" a="1"/>
  <c r="E1053" i="8" a="1"/>
  <c r="I1053" i="8" a="1"/>
  <c r="F1052" i="8" a="1"/>
  <c r="D1052" i="8" a="1"/>
  <c r="I1052" i="8" a="1"/>
  <c r="G1051" i="8" a="1"/>
  <c r="A1051" i="8" a="1"/>
  <c r="E1051" i="8" a="1"/>
  <c r="H1050" i="8" a="1"/>
  <c r="F1050" i="8" a="1"/>
  <c r="D1050" i="8" a="1"/>
  <c r="I1050" i="8" a="1"/>
  <c r="G1049" i="8" a="1"/>
  <c r="A1049" i="8" a="1"/>
  <c r="D1049" i="8" a="1"/>
  <c r="I1049" i="8" a="1"/>
  <c r="G1048" i="8" a="1"/>
  <c r="A1048" i="8" a="1"/>
  <c r="E1048" i="8" a="1"/>
  <c r="H1047" i="8" a="1"/>
  <c r="A1047" i="8" a="1"/>
  <c r="E1047" i="8" a="1"/>
  <c r="H1046" i="8" a="1"/>
  <c r="F1046" i="8" a="1"/>
  <c r="D1046" i="8" a="1"/>
  <c r="I1046" i="8" a="1"/>
  <c r="H1045" i="8" a="1"/>
  <c r="F1045" i="8" a="1"/>
  <c r="D1045" i="8" a="1"/>
  <c r="I1045" i="8" a="1"/>
  <c r="G1044" i="8" a="1"/>
  <c r="A1044" i="8" a="1"/>
  <c r="E1044" i="8" a="1"/>
  <c r="H1043" i="8" a="1"/>
  <c r="F1043" i="8" a="1"/>
  <c r="D1043" i="8" a="1"/>
  <c r="I1043" i="8" a="1"/>
  <c r="G1042" i="8" a="1"/>
  <c r="A1042" i="8" a="1"/>
  <c r="E1042" i="8" a="1"/>
  <c r="I1042" i="8" a="1"/>
  <c r="G1041" i="8" a="1"/>
  <c r="A1041" i="8" a="1"/>
  <c r="E1041" i="8" a="1"/>
  <c r="H1040" i="8" a="1"/>
  <c r="A1040" i="8" a="1"/>
  <c r="E1040" i="8" a="1"/>
  <c r="H1039" i="8" a="1"/>
  <c r="F1039" i="8" a="1"/>
  <c r="D1039" i="8" a="1"/>
  <c r="I1039" i="8" a="1"/>
  <c r="G1038" i="8" a="1"/>
  <c r="A1038" i="8" a="1"/>
  <c r="E1038" i="8" a="1"/>
  <c r="H1037" i="8" a="1"/>
  <c r="F1037" i="8" a="1"/>
  <c r="D1037" i="8" a="1"/>
  <c r="H1036" i="8" a="1"/>
  <c r="F1036" i="8" a="1"/>
  <c r="D1036" i="8" a="1"/>
  <c r="I1036" i="8" a="1"/>
  <c r="G1035" i="8" a="1"/>
  <c r="A1035" i="8" a="1"/>
  <c r="E1035" i="8" a="1"/>
  <c r="H1034" i="8" a="1"/>
  <c r="F1034" i="8" a="1"/>
  <c r="D1034" i="8" a="1"/>
  <c r="I1034" i="8" a="1"/>
  <c r="G1033" i="8" a="1"/>
  <c r="F1033" i="8" a="1"/>
  <c r="D1033" i="8" a="1"/>
  <c r="I1033" i="8" a="1"/>
  <c r="G1032" i="8" a="1"/>
  <c r="A1032" i="8" a="1"/>
  <c r="E1032" i="8" a="1"/>
  <c r="H1031" i="8" a="1"/>
  <c r="G1031" i="8" a="1"/>
  <c r="A1031" i="8" a="1"/>
  <c r="I1031" i="8" a="1"/>
  <c r="G1030" i="8" a="1"/>
  <c r="A1030" i="8" a="1"/>
  <c r="E1030" i="8" a="1"/>
  <c r="I1030" i="8" a="1"/>
  <c r="G1029" i="8" a="1"/>
  <c r="G1023" i="8" a="1"/>
  <c r="A1023" i="8" a="1"/>
  <c r="E1023" i="8" a="1"/>
  <c r="G1022" i="8" a="1"/>
  <c r="A1022" i="8" a="1"/>
  <c r="E1022" i="8" a="1"/>
  <c r="H1021" i="8" a="1"/>
  <c r="F1021" i="8" a="1"/>
  <c r="D1021" i="8" a="1"/>
  <c r="I1021" i="8" a="1"/>
  <c r="G1020" i="8" a="1"/>
  <c r="A1020" i="8" a="1"/>
  <c r="E1020" i="8" a="1"/>
  <c r="H1019" i="8" a="1"/>
  <c r="F1019" i="8" a="1"/>
  <c r="E1019" i="8" a="1"/>
  <c r="H1018" i="8" a="1"/>
  <c r="F1018" i="8" a="1"/>
  <c r="D1018" i="8" a="1"/>
  <c r="I1018" i="8" a="1"/>
  <c r="F1017" i="8" a="1"/>
  <c r="D1017" i="8" a="1"/>
  <c r="I1017" i="8" a="1"/>
  <c r="G1016" i="8" a="1"/>
  <c r="A1016" i="8" a="1"/>
  <c r="E1016" i="8" a="1"/>
  <c r="H1015" i="8" a="1"/>
  <c r="F1015" i="8" a="1"/>
  <c r="D1015" i="8" a="1"/>
  <c r="I1015" i="8" a="1"/>
  <c r="G1014" i="8" a="1"/>
  <c r="A1014" i="8" a="1"/>
  <c r="E1014" i="8" a="1"/>
  <c r="H1013" i="8" a="1"/>
  <c r="F1013" i="8" a="1"/>
  <c r="D1013" i="8" a="1"/>
  <c r="I1013" i="8" a="1"/>
  <c r="G1012" i="8" a="1"/>
  <c r="A1012" i="8" a="1"/>
  <c r="I1012" i="8" a="1"/>
  <c r="G1011" i="8" a="1"/>
  <c r="A1011" i="8" a="1"/>
  <c r="E1011" i="8" a="1"/>
  <c r="I1011" i="8" a="1"/>
  <c r="H1010" i="8" a="1"/>
  <c r="G1010" i="8" a="1"/>
  <c r="F1010" i="8" a="1"/>
  <c r="A1010" i="8" a="1"/>
  <c r="D1010" i="8" a="1"/>
  <c r="E1010" i="8" a="1"/>
  <c r="I1010" i="8" a="1"/>
  <c r="G1009" i="8" a="1"/>
  <c r="A1009" i="8" a="1"/>
  <c r="I1009" i="8" a="1"/>
  <c r="H1008" i="8" a="1"/>
  <c r="A1008" i="8" a="1"/>
  <c r="E1008" i="8" a="1"/>
  <c r="H1007" i="8" a="1"/>
  <c r="F1007" i="8" a="1"/>
  <c r="E1007" i="8" a="1"/>
  <c r="H1006" i="8" a="1"/>
  <c r="F1006" i="8" a="1"/>
  <c r="D1006" i="8" a="1"/>
  <c r="I1006" i="8" a="1"/>
  <c r="G1005" i="8" a="1"/>
  <c r="A1005" i="8" a="1"/>
  <c r="E1005" i="8" a="1"/>
  <c r="H1004" i="8" a="1"/>
  <c r="F1004" i="8" a="1"/>
  <c r="D1004" i="8" a="1"/>
  <c r="I1004" i="8" a="1"/>
  <c r="G1003" i="8" a="1"/>
  <c r="A1003" i="8" a="1"/>
  <c r="I1003" i="8" a="1"/>
  <c r="G1002" i="8" a="1"/>
  <c r="A1002" i="8" a="1"/>
  <c r="E1002" i="8" a="1"/>
  <c r="G1001" i="8" a="1"/>
  <c r="A1001" i="8" a="1"/>
  <c r="E1001" i="8" a="1"/>
  <c r="H1000" i="8" a="1"/>
  <c r="F1000" i="8" a="1"/>
  <c r="D1000" i="8" a="1"/>
  <c r="I1000" i="8" a="1"/>
  <c r="G999" i="8" a="1"/>
  <c r="H998" i="8" a="1"/>
  <c r="F998" i="8" a="1"/>
  <c r="D998" i="8" a="1"/>
  <c r="I998" i="8" a="1"/>
  <c r="G997" i="8" a="1"/>
  <c r="D997" i="8" a="1"/>
  <c r="I997" i="8" a="1"/>
  <c r="G996" i="8" a="1"/>
  <c r="A996" i="8" a="1"/>
  <c r="E996" i="8" a="1"/>
  <c r="H995" i="8" a="1"/>
  <c r="F995" i="8" a="1"/>
  <c r="D995" i="8" a="1"/>
  <c r="I995" i="8" a="1"/>
  <c r="G994" i="8" a="1"/>
  <c r="A994" i="8" a="1"/>
  <c r="E994" i="8" a="1"/>
  <c r="H993" i="8" a="1"/>
  <c r="F993" i="8" a="1"/>
  <c r="D993" i="8" a="1"/>
  <c r="I993" i="8" a="1"/>
  <c r="G992" i="8" a="1"/>
  <c r="A992" i="8" a="1"/>
  <c r="E992" i="8" a="1"/>
  <c r="H991" i="8" a="1"/>
  <c r="F991" i="8" a="1"/>
  <c r="D991" i="8" a="1"/>
  <c r="H990" i="8" a="1"/>
  <c r="F990" i="8" a="1"/>
  <c r="D990" i="8" a="1"/>
  <c r="I990" i="8" a="1"/>
  <c r="G989" i="8" a="1"/>
  <c r="A989" i="8" a="1"/>
  <c r="E989" i="8" a="1"/>
  <c r="H988" i="8" a="1"/>
  <c r="F988" i="8" a="1"/>
  <c r="D988" i="8" a="1"/>
  <c r="I988" i="8" a="1"/>
  <c r="G987" i="8" a="1"/>
  <c r="A987" i="8" a="1"/>
  <c r="E987" i="8" a="1"/>
  <c r="H986" i="8" a="1"/>
  <c r="F986" i="8" a="1"/>
  <c r="D986" i="8" a="1"/>
  <c r="I986" i="8" a="1"/>
  <c r="G985" i="8" a="1"/>
  <c r="A985" i="8" a="1"/>
  <c r="E985" i="8" a="1"/>
  <c r="H984" i="8" a="1"/>
  <c r="F984" i="8" a="1"/>
  <c r="D984" i="8" a="1"/>
  <c r="I984" i="8" a="1"/>
  <c r="G983" i="8" a="1"/>
  <c r="A983" i="8" a="1"/>
  <c r="E983" i="8" a="1"/>
  <c r="H982" i="8" a="1"/>
  <c r="F982" i="8" a="1"/>
  <c r="D982" i="8" a="1"/>
  <c r="I982" i="8" a="1"/>
  <c r="G981" i="8" a="1"/>
  <c r="A981" i="8" a="1"/>
  <c r="E981" i="8" a="1"/>
  <c r="H980" i="8" a="1"/>
  <c r="F980" i="8" a="1"/>
  <c r="D980" i="8" a="1"/>
  <c r="I980" i="8" a="1"/>
  <c r="G979" i="8" a="1"/>
  <c r="A979" i="8" a="1"/>
  <c r="E979" i="8" a="1"/>
  <c r="H978" i="8" a="1"/>
  <c r="F978" i="8" a="1"/>
  <c r="D978" i="8" a="1"/>
  <c r="I978" i="8" a="1"/>
  <c r="G977" i="8" a="1"/>
  <c r="A977" i="8" a="1"/>
  <c r="E977" i="8" a="1"/>
  <c r="H976" i="8" a="1"/>
  <c r="H1053" i="8" a="1"/>
  <c r="A1053" i="8" a="1"/>
  <c r="D1053" i="8" a="1"/>
  <c r="H1052" i="8" a="1"/>
  <c r="G1052" i="8" a="1"/>
  <c r="A1052" i="8" a="1"/>
  <c r="E1052" i="8" a="1"/>
  <c r="H1051" i="8" a="1"/>
  <c r="F1051" i="8" a="1"/>
  <c r="D1051" i="8" a="1"/>
  <c r="I1051" i="8" a="1"/>
  <c r="G1050" i="8" a="1"/>
  <c r="A1050" i="8" a="1"/>
  <c r="E1050" i="8" a="1"/>
  <c r="H1049" i="8" a="1"/>
  <c r="F1049" i="8" a="1"/>
  <c r="E1049" i="8" a="1"/>
  <c r="H1048" i="8" a="1"/>
  <c r="F1048" i="8" a="1"/>
  <c r="D1048" i="8" a="1"/>
  <c r="I1048" i="8" a="1"/>
  <c r="G1047" i="8" a="1"/>
  <c r="F1047" i="8" a="1"/>
  <c r="D1047" i="8" a="1"/>
  <c r="I1047" i="8" a="1"/>
  <c r="G1046" i="8" a="1"/>
  <c r="A1046" i="8" a="1"/>
  <c r="E1046" i="8" a="1"/>
  <c r="G1045" i="8" a="1"/>
  <c r="A1045" i="8" a="1"/>
  <c r="E1045" i="8" a="1"/>
  <c r="H1044" i="8" a="1"/>
  <c r="F1044" i="8" a="1"/>
  <c r="D1044" i="8" a="1"/>
  <c r="I1044" i="8" a="1"/>
  <c r="G1043" i="8" a="1"/>
  <c r="A1043" i="8" a="1"/>
  <c r="E1043" i="8" a="1"/>
  <c r="H1042" i="8" a="1"/>
  <c r="F1042" i="8" a="1"/>
  <c r="D1042" i="8" a="1"/>
  <c r="H1041" i="8" a="1"/>
  <c r="F1041" i="8" a="1"/>
  <c r="D1041" i="8" a="1"/>
  <c r="I1041" i="8" a="1"/>
  <c r="G1040" i="8" a="1"/>
  <c r="F1040" i="8" a="1"/>
  <c r="D1040" i="8" a="1"/>
  <c r="I1040" i="8" a="1"/>
  <c r="G1039" i="8" a="1"/>
  <c r="A1039" i="8" a="1"/>
  <c r="E1039" i="8" a="1"/>
  <c r="H1038" i="8" a="1"/>
  <c r="F1038" i="8" a="1"/>
  <c r="D1038" i="8" a="1"/>
  <c r="I1038" i="8" a="1"/>
  <c r="G1037" i="8" a="1"/>
  <c r="A1037" i="8" a="1"/>
  <c r="E1037" i="8" a="1"/>
  <c r="I1037" i="8" a="1"/>
  <c r="G1036" i="8" a="1"/>
  <c r="A1036" i="8" a="1"/>
  <c r="E1036" i="8" a="1"/>
  <c r="H1035" i="8" a="1"/>
  <c r="F1035" i="8" a="1"/>
  <c r="D1035" i="8" a="1"/>
  <c r="I1035" i="8" a="1"/>
  <c r="G1034" i="8" a="1"/>
  <c r="A1034" i="8" a="1"/>
  <c r="E1034" i="8" a="1"/>
  <c r="H1033" i="8" a="1"/>
  <c r="A1033" i="8" a="1"/>
  <c r="E1033" i="8" a="1"/>
  <c r="H1032" i="8" a="1"/>
  <c r="F1032" i="8" a="1"/>
  <c r="D1032" i="8" a="1"/>
  <c r="I1032" i="8" a="1"/>
  <c r="F1031" i="8" a="1"/>
  <c r="D1031" i="8" a="1"/>
  <c r="E1031" i="8" a="1"/>
  <c r="H1030" i="8" a="1"/>
  <c r="F1030" i="8" a="1"/>
  <c r="D1030" i="8" a="1"/>
  <c r="H1029" i="8" a="1"/>
  <c r="F1029" i="8" a="1"/>
  <c r="A1029" i="8" a="1"/>
  <c r="D1029" i="8" a="1"/>
  <c r="E1029" i="8" a="1"/>
  <c r="I1029" i="8" a="1"/>
  <c r="H1028" i="8" a="1"/>
  <c r="G1028" i="8" a="1"/>
  <c r="F1028" i="8" a="1"/>
  <c r="A1028" i="8" a="1"/>
  <c r="D1028" i="8" a="1"/>
  <c r="E1028" i="8" a="1"/>
  <c r="I1028" i="8" a="1"/>
  <c r="H1027" i="8" a="1"/>
  <c r="G1027" i="8" a="1"/>
  <c r="F1027" i="8" a="1"/>
  <c r="A1027" i="8" a="1"/>
  <c r="D1027" i="8" a="1"/>
  <c r="E1027" i="8" a="1"/>
  <c r="I1027" i="8" a="1"/>
  <c r="H1026" i="8" a="1"/>
  <c r="G1026" i="8" a="1"/>
  <c r="F1026" i="8" a="1"/>
  <c r="A1026" i="8" a="1"/>
  <c r="D1026" i="8" a="1"/>
  <c r="E1026" i="8" a="1"/>
  <c r="I1026" i="8" a="1"/>
  <c r="H1025" i="8" a="1"/>
  <c r="G1025" i="8" a="1"/>
  <c r="F1025" i="8" a="1"/>
  <c r="A1025" i="8" a="1"/>
  <c r="D1025" i="8" a="1"/>
  <c r="E1025" i="8" a="1"/>
  <c r="I1025" i="8" a="1"/>
  <c r="H1024" i="8" a="1"/>
  <c r="G1024" i="8" a="1"/>
  <c r="F1024" i="8" a="1"/>
  <c r="A1024" i="8" a="1"/>
  <c r="D1024" i="8" a="1"/>
  <c r="E1024" i="8" a="1"/>
  <c r="I1024" i="8" a="1"/>
  <c r="H1023" i="8" a="1"/>
  <c r="F1023" i="8" a="1"/>
  <c r="D1023" i="8" a="1"/>
  <c r="I1023" i="8" a="1"/>
  <c r="H1022" i="8" a="1"/>
  <c r="F1022" i="8" a="1"/>
  <c r="D1022" i="8" a="1"/>
  <c r="I1022" i="8" a="1"/>
  <c r="G1021" i="8" a="1"/>
  <c r="A1021" i="8" a="1"/>
  <c r="E1021" i="8" a="1"/>
  <c r="H1020" i="8" a="1"/>
  <c r="F1020" i="8" a="1"/>
  <c r="D1020" i="8" a="1"/>
  <c r="I1020" i="8" a="1"/>
  <c r="G1019" i="8" a="1"/>
  <c r="A1019" i="8" a="1"/>
  <c r="D1019" i="8" a="1"/>
  <c r="I1019" i="8" a="1"/>
  <c r="G1018" i="8" a="1"/>
  <c r="A1018" i="8" a="1"/>
  <c r="E1018" i="8" a="1"/>
  <c r="H1017" i="8" a="1"/>
  <c r="G1017" i="8" a="1"/>
  <c r="A1017" i="8" a="1"/>
  <c r="E1017" i="8" a="1"/>
  <c r="H1016" i="8" a="1"/>
  <c r="F1016" i="8" a="1"/>
  <c r="D1016" i="8" a="1"/>
  <c r="I1016" i="8" a="1"/>
  <c r="G1015" i="8" a="1"/>
  <c r="A1015" i="8" a="1"/>
  <c r="E1015" i="8" a="1"/>
  <c r="H1014" i="8" a="1"/>
  <c r="F1014" i="8" a="1"/>
  <c r="D1014" i="8" a="1"/>
  <c r="I1014" i="8" a="1"/>
  <c r="G1013" i="8" a="1"/>
  <c r="A1013" i="8" a="1"/>
  <c r="E1013" i="8" a="1"/>
  <c r="H1012" i="8" a="1"/>
  <c r="F1012" i="8" a="1"/>
  <c r="D1012" i="8" a="1"/>
  <c r="E1012" i="8" a="1"/>
  <c r="H1011" i="8" a="1"/>
  <c r="F1011" i="8" a="1"/>
  <c r="D1011" i="8" a="1"/>
  <c r="H1009" i="8" a="1"/>
  <c r="F1009" i="8" a="1"/>
  <c r="D1009" i="8" a="1"/>
  <c r="E1009" i="8" a="1"/>
  <c r="G1008" i="8" a="1"/>
  <c r="F1008" i="8" a="1"/>
  <c r="D1008" i="8" a="1"/>
  <c r="I1008" i="8" a="1"/>
  <c r="G1007" i="8" a="1"/>
  <c r="A1007" i="8" a="1"/>
  <c r="D1007" i="8" a="1"/>
  <c r="I1007" i="8" a="1"/>
  <c r="G1006" i="8" a="1"/>
  <c r="A1006" i="8" a="1"/>
  <c r="E1006" i="8" a="1"/>
  <c r="H1005" i="8" a="1"/>
  <c r="F1005" i="8" a="1"/>
  <c r="D1005" i="8" a="1"/>
  <c r="I1005" i="8" a="1"/>
  <c r="G1004" i="8" a="1"/>
  <c r="A1004" i="8" a="1"/>
  <c r="E1004" i="8" a="1"/>
  <c r="H1003" i="8" a="1"/>
  <c r="F1003" i="8" a="1"/>
  <c r="D1003" i="8" a="1"/>
  <c r="E1003" i="8" a="1"/>
  <c r="H1002" i="8" a="1"/>
  <c r="F1002" i="8" a="1"/>
  <c r="D1002" i="8" a="1"/>
  <c r="I1002" i="8" a="1"/>
  <c r="H1001" i="8" a="1"/>
  <c r="F1001" i="8" a="1"/>
  <c r="D1001" i="8" a="1"/>
  <c r="I1001" i="8" a="1"/>
  <c r="G1000" i="8" a="1"/>
  <c r="A1000" i="8" a="1"/>
  <c r="E1000" i="8" a="1"/>
  <c r="H999" i="8" a="1"/>
  <c r="F999" i="8" a="1"/>
  <c r="A999" i="8" a="1"/>
  <c r="D999" i="8" a="1"/>
  <c r="E999" i="8" a="1"/>
  <c r="I999" i="8" a="1"/>
  <c r="G998" i="8" a="1"/>
  <c r="A998" i="8" a="1"/>
  <c r="E998" i="8" a="1"/>
  <c r="H997" i="8" a="1"/>
  <c r="F997" i="8" a="1"/>
  <c r="A997" i="8" a="1"/>
  <c r="E997" i="8" a="1"/>
  <c r="H996" i="8" a="1"/>
  <c r="F996" i="8" a="1"/>
  <c r="D996" i="8" a="1"/>
  <c r="I996" i="8" a="1"/>
  <c r="G995" i="8" a="1"/>
  <c r="A995" i="8" a="1"/>
  <c r="E995" i="8" a="1"/>
  <c r="H994" i="8" a="1"/>
  <c r="F994" i="8" a="1"/>
  <c r="D994" i="8" a="1"/>
  <c r="I994" i="8" a="1"/>
  <c r="G993" i="8" a="1"/>
  <c r="A993" i="8" a="1"/>
  <c r="E993" i="8" a="1"/>
  <c r="H992" i="8" a="1"/>
  <c r="F992" i="8" a="1"/>
  <c r="D992" i="8" a="1"/>
  <c r="I992" i="8" a="1"/>
  <c r="G991" i="8" a="1"/>
  <c r="A991" i="8" a="1"/>
  <c r="E991" i="8" a="1"/>
  <c r="I991" i="8" a="1"/>
  <c r="G990" i="8" a="1"/>
  <c r="A990" i="8" a="1"/>
  <c r="E990" i="8" a="1"/>
  <c r="H989" i="8" a="1"/>
  <c r="F989" i="8" a="1"/>
  <c r="D989" i="8" a="1"/>
  <c r="I989" i="8" a="1"/>
  <c r="G988" i="8" a="1"/>
  <c r="A988" i="8" a="1"/>
  <c r="E988" i="8" a="1"/>
  <c r="H987" i="8" a="1"/>
  <c r="F987" i="8" a="1"/>
  <c r="D987" i="8" a="1"/>
  <c r="I987" i="8" a="1"/>
  <c r="G986" i="8" a="1"/>
  <c r="A986" i="8" a="1"/>
  <c r="E986" i="8" a="1"/>
  <c r="H985" i="8" a="1"/>
  <c r="F985" i="8" a="1"/>
  <c r="D985" i="8" a="1"/>
  <c r="I985" i="8" a="1"/>
  <c r="G984" i="8" a="1"/>
  <c r="A984" i="8" a="1"/>
  <c r="E984" i="8" a="1"/>
  <c r="H983" i="8" a="1"/>
  <c r="F983" i="8" a="1"/>
  <c r="D983" i="8" a="1"/>
  <c r="I983" i="8" a="1"/>
  <c r="G982" i="8" a="1"/>
  <c r="A982" i="8" a="1"/>
  <c r="E982" i="8" a="1"/>
  <c r="H981" i="8" a="1"/>
  <c r="F981" i="8" a="1"/>
  <c r="D981" i="8" a="1"/>
  <c r="I981" i="8" a="1"/>
  <c r="G980" i="8" a="1"/>
  <c r="A980" i="8" a="1"/>
  <c r="E980" i="8" a="1"/>
  <c r="H979" i="8" a="1"/>
  <c r="F979" i="8" a="1"/>
  <c r="D979" i="8" a="1"/>
  <c r="I979" i="8" a="1"/>
  <c r="G978" i="8" a="1"/>
  <c r="A978" i="8" a="1"/>
  <c r="E978" i="8" a="1"/>
  <c r="H977" i="8" a="1"/>
  <c r="F977" i="8" a="1"/>
  <c r="D977" i="8" a="1"/>
  <c r="I977" i="8" a="1"/>
  <c r="G976" i="8" a="1"/>
  <c r="F976" i="8" a="1"/>
  <c r="A976" i="8" a="1"/>
  <c r="D976" i="8" a="1"/>
  <c r="E976" i="8" a="1"/>
  <c r="I976" i="8" a="1"/>
  <c r="H975" i="8" a="1"/>
  <c r="G975" i="8" a="1"/>
  <c r="F975" i="8" a="1"/>
  <c r="A975" i="8" a="1"/>
  <c r="D975" i="8" a="1"/>
  <c r="E975" i="8" a="1"/>
  <c r="I975" i="8" a="1"/>
  <c r="H974" i="8" a="1"/>
  <c r="G974" i="8" a="1"/>
  <c r="F974" i="8" a="1"/>
  <c r="A974" i="8" a="1"/>
  <c r="D974" i="8" a="1"/>
  <c r="E974" i="8" a="1"/>
  <c r="I974" i="8" a="1"/>
  <c r="H973" i="8" a="1"/>
  <c r="G973" i="8" a="1"/>
  <c r="F973" i="8" a="1"/>
  <c r="A973" i="8" a="1"/>
  <c r="D973" i="8" a="1"/>
  <c r="E973" i="8" a="1"/>
  <c r="I973" i="8" a="1"/>
  <c r="H972" i="8" a="1"/>
  <c r="G972" i="8" a="1"/>
  <c r="F972" i="8" a="1"/>
  <c r="A972" i="8" a="1"/>
  <c r="D972" i="8" a="1"/>
  <c r="E972" i="8" a="1"/>
  <c r="I972" i="8" a="1"/>
  <c r="H971" i="8" a="1"/>
  <c r="G971" i="8" a="1"/>
  <c r="F971" i="8" a="1"/>
  <c r="A971" i="8" a="1"/>
  <c r="D971" i="8" a="1"/>
  <c r="E971" i="8" a="1"/>
  <c r="I971" i="8" a="1"/>
  <c r="H970" i="8" a="1"/>
  <c r="G970" i="8" a="1"/>
  <c r="F970" i="8" a="1"/>
  <c r="A970" i="8" a="1"/>
  <c r="D970" i="8" a="1"/>
  <c r="E970" i="8" a="1"/>
  <c r="I970" i="8" a="1"/>
  <c r="H969" i="8" a="1"/>
  <c r="G969" i="8" a="1"/>
  <c r="F969" i="8" a="1"/>
  <c r="A969" i="8" a="1"/>
  <c r="D969" i="8" a="1"/>
  <c r="E969" i="8" a="1"/>
  <c r="I969" i="8" a="1"/>
  <c r="H968" i="8" a="1"/>
  <c r="G968" i="8" a="1"/>
  <c r="F968" i="8" a="1"/>
  <c r="A968" i="8" a="1"/>
  <c r="D968" i="8" a="1"/>
  <c r="E968" i="8" a="1"/>
  <c r="I968" i="8" a="1"/>
  <c r="H967" i="8" a="1"/>
  <c r="G967" i="8" a="1"/>
  <c r="F967" i="8" a="1"/>
  <c r="A967" i="8" a="1"/>
  <c r="D967" i="8" a="1"/>
  <c r="E967" i="8" a="1"/>
  <c r="I967" i="8" a="1"/>
  <c r="H966" i="8" a="1"/>
  <c r="G966" i="8" a="1"/>
  <c r="F966" i="8" a="1"/>
  <c r="A966" i="8" a="1"/>
  <c r="D966" i="8" a="1"/>
  <c r="E966" i="8" a="1"/>
  <c r="I966" i="8" a="1"/>
  <c r="H965" i="8" a="1"/>
  <c r="G965" i="8" a="1"/>
  <c r="F965" i="8" a="1"/>
  <c r="A965" i="8" a="1"/>
  <c r="D965" i="8" a="1"/>
  <c r="E965" i="8" a="1"/>
  <c r="I965" i="8" a="1"/>
  <c r="H964" i="8" a="1"/>
  <c r="G964" i="8" a="1"/>
  <c r="F964" i="8" a="1"/>
  <c r="A964" i="8" a="1"/>
  <c r="D964" i="8" a="1"/>
  <c r="E964" i="8" a="1"/>
  <c r="I964" i="8" a="1"/>
  <c r="H963" i="8" a="1"/>
  <c r="G963" i="8" a="1"/>
  <c r="F963" i="8" a="1"/>
  <c r="A963" i="8" a="1"/>
  <c r="D963" i="8" a="1"/>
  <c r="E963" i="8" a="1"/>
  <c r="I963" i="8" a="1"/>
  <c r="H962" i="8" a="1"/>
  <c r="G962" i="8" a="1"/>
  <c r="F962" i="8" a="1"/>
  <c r="A962" i="8" a="1"/>
  <c r="D962" i="8" a="1"/>
  <c r="E962" i="8" a="1"/>
  <c r="I962" i="8" a="1"/>
  <c r="H961" i="8" a="1"/>
  <c r="G961" i="8" a="1"/>
  <c r="F961" i="8" a="1"/>
  <c r="A961" i="8" a="1"/>
  <c r="D961" i="8" a="1"/>
  <c r="E961" i="8" a="1"/>
  <c r="I961" i="8" a="1"/>
  <c r="H960" i="8" a="1"/>
  <c r="G960" i="8" a="1"/>
  <c r="F960" i="8" a="1"/>
  <c r="A960" i="8" a="1"/>
  <c r="D960" i="8" a="1"/>
  <c r="E960" i="8" a="1"/>
  <c r="I960" i="8" a="1"/>
  <c r="H959" i="8" a="1"/>
  <c r="G959" i="8" a="1"/>
  <c r="F959" i="8" a="1"/>
  <c r="A959" i="8" a="1"/>
  <c r="D959" i="8" a="1"/>
  <c r="E959" i="8" a="1"/>
  <c r="I959" i="8" a="1"/>
  <c r="H958" i="8" a="1"/>
  <c r="G958" i="8" a="1"/>
  <c r="F958" i="8" a="1"/>
  <c r="A958" i="8" a="1"/>
  <c r="D958" i="8" a="1"/>
  <c r="E958" i="8" a="1"/>
  <c r="I958" i="8" a="1"/>
  <c r="H957" i="8" a="1"/>
  <c r="G957" i="8" a="1"/>
  <c r="F957" i="8" a="1"/>
  <c r="A957" i="8" a="1"/>
  <c r="D957" i="8" a="1"/>
  <c r="E957" i="8" a="1"/>
  <c r="I957" i="8" a="1"/>
  <c r="H956" i="8" a="1"/>
  <c r="G956" i="8" a="1"/>
  <c r="F956" i="8" a="1"/>
  <c r="A956" i="8" a="1"/>
  <c r="D956" i="8" a="1"/>
  <c r="E956" i="8" a="1"/>
  <c r="I956" i="8" a="1"/>
  <c r="H955" i="8" a="1"/>
  <c r="G955" i="8" a="1"/>
  <c r="F955" i="8" a="1"/>
  <c r="A955" i="8" a="1"/>
  <c r="D955" i="8" a="1"/>
  <c r="E955" i="8" a="1"/>
  <c r="I955" i="8" a="1"/>
  <c r="H954" i="8" a="1"/>
  <c r="G954" i="8" a="1"/>
  <c r="F954" i="8" a="1"/>
  <c r="A954" i="8" a="1"/>
  <c r="D954" i="8" a="1"/>
  <c r="E954" i="8" a="1"/>
  <c r="I954" i="8" a="1"/>
  <c r="H953" i="8" a="1"/>
  <c r="G953" i="8" a="1"/>
  <c r="F953" i="8" a="1"/>
  <c r="A953" i="8" a="1"/>
  <c r="D953" i="8" a="1"/>
  <c r="E953" i="8" a="1"/>
  <c r="I953" i="8" a="1"/>
  <c r="H952" i="8" a="1"/>
  <c r="G952" i="8" a="1"/>
  <c r="F952" i="8" a="1"/>
  <c r="A952" i="8" a="1"/>
  <c r="D952" i="8" a="1"/>
  <c r="E952" i="8" a="1"/>
  <c r="I952" i="8" a="1"/>
  <c r="H951" i="8" a="1"/>
  <c r="G951" i="8" a="1"/>
  <c r="F951" i="8" a="1"/>
  <c r="A951" i="8" a="1"/>
  <c r="D951" i="8" a="1"/>
  <c r="E951" i="8" a="1"/>
  <c r="I951" i="8" a="1"/>
  <c r="H950" i="8" a="1"/>
  <c r="G950" i="8" a="1"/>
  <c r="F950" i="8" a="1"/>
  <c r="A950" i="8" a="1"/>
  <c r="D950" i="8" a="1"/>
  <c r="E950" i="8" a="1"/>
  <c r="I950" i="8" a="1"/>
  <c r="H949" i="8" a="1"/>
  <c r="G949" i="8" a="1"/>
  <c r="F949" i="8" a="1"/>
  <c r="A949" i="8" a="1"/>
  <c r="D949" i="8" a="1"/>
  <c r="E949" i="8" a="1"/>
  <c r="I949" i="8" a="1"/>
  <c r="H948" i="8" a="1"/>
  <c r="G948" i="8" a="1"/>
  <c r="F948" i="8" a="1"/>
  <c r="A948" i="8" a="1"/>
  <c r="D948" i="8" a="1"/>
  <c r="E948" i="8" a="1"/>
  <c r="I948" i="8" a="1"/>
  <c r="H947" i="8" a="1"/>
  <c r="G947" i="8" a="1"/>
  <c r="F947" i="8" a="1"/>
  <c r="A947" i="8" a="1"/>
  <c r="D947" i="8" a="1"/>
  <c r="E947" i="8" a="1"/>
  <c r="I947" i="8" a="1"/>
  <c r="H946" i="8" a="1"/>
  <c r="G946" i="8" a="1"/>
  <c r="F946" i="8" a="1"/>
  <c r="A946" i="8" a="1"/>
  <c r="D946" i="8" a="1"/>
  <c r="E946" i="8" a="1"/>
  <c r="I946" i="8" a="1"/>
  <c r="H945" i="8" a="1"/>
  <c r="G945" i="8" a="1"/>
  <c r="F945" i="8" a="1"/>
  <c r="A945" i="8" a="1"/>
  <c r="D945" i="8" a="1"/>
  <c r="E945" i="8" a="1"/>
  <c r="I945" i="8" a="1"/>
  <c r="H944" i="8" a="1"/>
  <c r="G944" i="8" a="1"/>
  <c r="F944" i="8" a="1"/>
  <c r="A944" i="8" a="1"/>
  <c r="D944" i="8" a="1"/>
  <c r="E944" i="8" a="1"/>
  <c r="I944" i="8" a="1"/>
  <c r="H943" i="8" a="1"/>
  <c r="G943" i="8" a="1"/>
  <c r="F943" i="8" a="1"/>
  <c r="A943" i="8" a="1"/>
  <c r="D943" i="8" a="1"/>
  <c r="E943" i="8" a="1"/>
  <c r="I943" i="8" a="1"/>
  <c r="H942" i="8" a="1"/>
  <c r="G942" i="8" a="1"/>
  <c r="F942" i="8" a="1"/>
  <c r="A942" i="8" a="1"/>
  <c r="D942" i="8" a="1"/>
  <c r="E942" i="8" a="1"/>
  <c r="I942" i="8" a="1"/>
  <c r="H941" i="8" a="1"/>
  <c r="G941" i="8" a="1"/>
  <c r="F941" i="8" a="1"/>
  <c r="A941" i="8" a="1"/>
  <c r="D941" i="8" a="1"/>
  <c r="E941" i="8" a="1"/>
  <c r="I941" i="8" a="1"/>
  <c r="H940" i="8" a="1"/>
  <c r="G940" i="8" a="1"/>
  <c r="F940" i="8" a="1"/>
  <c r="A940" i="8" a="1"/>
  <c r="D940" i="8" a="1"/>
  <c r="E940" i="8" a="1"/>
  <c r="I940" i="8" a="1"/>
  <c r="H939" i="8" a="1"/>
  <c r="G939" i="8" a="1"/>
  <c r="F939" i="8" a="1"/>
  <c r="A939" i="8" a="1"/>
  <c r="D939" i="8" a="1"/>
  <c r="E939" i="8" a="1"/>
  <c r="I939" i="8" a="1"/>
  <c r="H938" i="8" a="1"/>
  <c r="G938" i="8" a="1"/>
  <c r="F938" i="8" a="1"/>
  <c r="A938" i="8" a="1"/>
  <c r="D938" i="8" a="1"/>
  <c r="E938" i="8" a="1"/>
  <c r="I938" i="8" a="1"/>
  <c r="H937" i="8" a="1"/>
  <c r="G937" i="8" a="1"/>
  <c r="F937" i="8" a="1"/>
  <c r="A937" i="8" a="1"/>
  <c r="D937" i="8" a="1"/>
  <c r="E937" i="8" a="1"/>
  <c r="I937" i="8" a="1"/>
  <c r="H936" i="8" a="1"/>
  <c r="G936" i="8" a="1"/>
  <c r="F936" i="8" a="1"/>
  <c r="A936" i="8" a="1"/>
  <c r="D936" i="8" a="1"/>
  <c r="E936" i="8" a="1"/>
  <c r="I936" i="8" a="1"/>
  <c r="H935" i="8" a="1"/>
  <c r="G935" i="8" a="1"/>
  <c r="F935" i="8" a="1"/>
  <c r="A935" i="8" a="1"/>
  <c r="D935" i="8" a="1"/>
  <c r="E935" i="8" a="1"/>
  <c r="I935" i="8" a="1"/>
  <c r="H934" i="8" a="1"/>
  <c r="G934" i="8" a="1"/>
  <c r="F934" i="8" a="1"/>
  <c r="A934" i="8" a="1"/>
  <c r="D934" i="8" a="1"/>
  <c r="E934" i="8" a="1"/>
  <c r="I934" i="8" a="1"/>
  <c r="H933" i="8" a="1"/>
  <c r="G933" i="8" a="1"/>
  <c r="F933" i="8" a="1"/>
  <c r="A933" i="8" a="1"/>
  <c r="D933" i="8" a="1"/>
  <c r="E933" i="8" a="1"/>
  <c r="I933" i="8" a="1"/>
  <c r="H932" i="8" a="1"/>
  <c r="G932" i="8" a="1"/>
  <c r="F932" i="8" a="1"/>
  <c r="A932" i="8" a="1"/>
  <c r="D932" i="8" a="1"/>
  <c r="E932" i="8" a="1"/>
  <c r="I932" i="8" a="1"/>
  <c r="H931" i="8" a="1"/>
  <c r="G931" i="8" a="1"/>
  <c r="F931" i="8" a="1"/>
  <c r="A931" i="8" a="1"/>
  <c r="D931" i="8" a="1"/>
  <c r="E931" i="8" a="1"/>
  <c r="I931" i="8" a="1"/>
  <c r="H930" i="8" a="1"/>
  <c r="G930" i="8" a="1"/>
  <c r="F930" i="8" a="1"/>
  <c r="A930" i="8" a="1"/>
  <c r="D930" i="8" a="1"/>
  <c r="E930" i="8" a="1"/>
  <c r="I930" i="8" a="1"/>
  <c r="H929" i="8" a="1"/>
  <c r="G929" i="8" a="1"/>
  <c r="F929" i="8" a="1"/>
  <c r="A929" i="8" a="1"/>
  <c r="D929" i="8" a="1"/>
  <c r="E929" i="8" a="1"/>
  <c r="I929" i="8" a="1"/>
  <c r="H928" i="8" a="1"/>
  <c r="G928" i="8" a="1"/>
  <c r="F928" i="8" a="1"/>
  <c r="A928" i="8" a="1"/>
  <c r="D928" i="8" a="1"/>
  <c r="E928" i="8" a="1"/>
  <c r="I928" i="8" a="1"/>
  <c r="H927" i="8" a="1"/>
  <c r="G927" i="8" a="1"/>
  <c r="F927" i="8" a="1"/>
  <c r="A927" i="8" a="1"/>
  <c r="D927" i="8" a="1"/>
  <c r="E927" i="8" a="1"/>
  <c r="I927" i="8" a="1"/>
  <c r="H926" i="8" a="1"/>
  <c r="G926" i="8" a="1"/>
  <c r="F926" i="8" a="1"/>
  <c r="A926" i="8" a="1"/>
  <c r="D926" i="8" a="1"/>
  <c r="E926" i="8" a="1"/>
  <c r="I926" i="8" a="1"/>
  <c r="H925" i="8" a="1"/>
  <c r="G925" i="8" a="1"/>
  <c r="F925" i="8" a="1"/>
  <c r="A925" i="8" a="1"/>
  <c r="D925" i="8" a="1"/>
  <c r="E925" i="8" a="1"/>
  <c r="I925" i="8" a="1"/>
  <c r="H924" i="8" a="1"/>
  <c r="G924" i="8" a="1"/>
  <c r="F924" i="8" a="1"/>
  <c r="A924" i="8" a="1"/>
  <c r="D924" i="8" a="1"/>
  <c r="E924" i="8" a="1"/>
  <c r="I924" i="8" a="1"/>
  <c r="H923" i="8" a="1"/>
  <c r="G923" i="8" a="1"/>
  <c r="F923" i="8" a="1"/>
  <c r="A923" i="8" a="1"/>
  <c r="D923" i="8" a="1"/>
  <c r="E923" i="8" a="1"/>
  <c r="I923" i="8" a="1"/>
  <c r="H922" i="8" a="1"/>
  <c r="G922" i="8" a="1"/>
  <c r="F922" i="8" a="1"/>
  <c r="A922" i="8" a="1"/>
  <c r="D922" i="8" a="1"/>
  <c r="E922" i="8" a="1"/>
  <c r="I922" i="8" a="1"/>
  <c r="H921" i="8" a="1"/>
  <c r="G921" i="8" a="1"/>
  <c r="F921" i="8" a="1"/>
  <c r="A921" i="8" a="1"/>
  <c r="D921" i="8" a="1"/>
  <c r="E921" i="8" a="1"/>
  <c r="I921" i="8" a="1"/>
  <c r="H920" i="8" a="1"/>
  <c r="G920" i="8" a="1"/>
  <c r="F920" i="8" a="1"/>
  <c r="A920" i="8" a="1"/>
  <c r="D920" i="8" a="1"/>
  <c r="E920" i="8" a="1"/>
  <c r="I920" i="8" a="1"/>
  <c r="H919" i="8" a="1"/>
  <c r="G919" i="8" a="1"/>
  <c r="F919" i="8" a="1"/>
  <c r="A919" i="8" a="1"/>
  <c r="D919" i="8" a="1"/>
  <c r="E919" i="8" a="1"/>
  <c r="I919" i="8" a="1"/>
  <c r="H918" i="8" a="1"/>
  <c r="G918" i="8" a="1"/>
  <c r="F918" i="8" a="1"/>
  <c r="A918" i="8" a="1"/>
  <c r="D918" i="8" a="1"/>
  <c r="E918" i="8" a="1"/>
  <c r="I918" i="8" a="1"/>
  <c r="H917" i="8" a="1"/>
  <c r="G917" i="8" a="1"/>
  <c r="F917" i="8" a="1"/>
  <c r="A917" i="8" a="1"/>
  <c r="D917" i="8" a="1"/>
  <c r="E917" i="8" a="1"/>
  <c r="I917" i="8" a="1"/>
  <c r="H916" i="8" a="1"/>
  <c r="G916" i="8" a="1"/>
  <c r="F916" i="8" a="1"/>
  <c r="A916" i="8" a="1"/>
  <c r="D916" i="8" a="1"/>
  <c r="E916" i="8" a="1"/>
  <c r="I916" i="8" a="1"/>
  <c r="H915" i="8" a="1"/>
  <c r="G915" i="8" a="1"/>
  <c r="F915" i="8" a="1"/>
  <c r="A915" i="8" a="1"/>
  <c r="D915" i="8" a="1"/>
  <c r="E915" i="8" a="1"/>
  <c r="I915" i="8" a="1"/>
  <c r="H914" i="8" a="1"/>
  <c r="G914" i="8" a="1"/>
  <c r="F914" i="8" a="1"/>
  <c r="A914" i="8" a="1"/>
  <c r="D914" i="8" a="1"/>
  <c r="E914" i="8" a="1"/>
  <c r="I914" i="8" a="1"/>
  <c r="H913" i="8" a="1"/>
  <c r="G913" i="8" a="1"/>
  <c r="F913" i="8" a="1"/>
  <c r="A913" i="8" a="1"/>
  <c r="D913" i="8" a="1"/>
  <c r="E913" i="8" a="1"/>
  <c r="I913" i="8" a="1"/>
  <c r="H912" i="8" a="1"/>
  <c r="G912" i="8" a="1"/>
  <c r="F912" i="8" a="1"/>
  <c r="A912" i="8" a="1"/>
  <c r="D912" i="8" a="1"/>
  <c r="E912" i="8" a="1"/>
  <c r="I912" i="8" a="1"/>
  <c r="H911" i="8" a="1"/>
  <c r="G911" i="8" a="1"/>
  <c r="F911" i="8" a="1"/>
  <c r="A911" i="8" a="1"/>
  <c r="D911" i="8" a="1"/>
  <c r="E911" i="8" a="1"/>
  <c r="I911" i="8" a="1"/>
  <c r="H910" i="8" a="1"/>
  <c r="G910" i="8" a="1"/>
  <c r="F910" i="8" a="1"/>
  <c r="A910" i="8" a="1"/>
  <c r="D910" i="8" a="1"/>
  <c r="E910" i="8" a="1"/>
  <c r="I910" i="8" a="1"/>
  <c r="H909" i="8" a="1"/>
  <c r="G909" i="8" a="1"/>
  <c r="F909" i="8" a="1"/>
  <c r="A909" i="8" a="1"/>
  <c r="D909" i="8" a="1"/>
  <c r="E909" i="8" a="1"/>
  <c r="I909" i="8" a="1"/>
  <c r="H908" i="8" a="1"/>
  <c r="G908" i="8" a="1"/>
  <c r="F908" i="8" a="1"/>
  <c r="A908" i="8" a="1"/>
  <c r="D908" i="8" a="1"/>
  <c r="E908" i="8" a="1"/>
  <c r="I908" i="8" a="1"/>
  <c r="H907" i="8" a="1"/>
  <c r="G907" i="8" a="1"/>
  <c r="F907" i="8" a="1"/>
  <c r="A907" i="8" a="1"/>
  <c r="D907" i="8" a="1"/>
  <c r="E907" i="8" a="1"/>
  <c r="I907" i="8" a="1"/>
  <c r="H906" i="8" a="1"/>
  <c r="G906" i="8" a="1"/>
  <c r="F906" i="8" a="1"/>
  <c r="A906" i="8" a="1"/>
  <c r="D906" i="8" a="1"/>
  <c r="E906" i="8" a="1"/>
  <c r="I906" i="8" a="1"/>
  <c r="H905" i="8" a="1"/>
  <c r="G905" i="8" a="1"/>
  <c r="F905" i="8" a="1"/>
  <c r="A905" i="8" a="1"/>
  <c r="D905" i="8" a="1"/>
  <c r="E905" i="8" a="1"/>
  <c r="I905" i="8" a="1"/>
  <c r="H904" i="8" a="1"/>
  <c r="G904" i="8" a="1"/>
  <c r="F904" i="8" a="1"/>
  <c r="A904" i="8" a="1"/>
  <c r="D904" i="8" a="1"/>
  <c r="E904" i="8" a="1"/>
  <c r="I904" i="8" a="1"/>
  <c r="H903" i="8" a="1"/>
  <c r="G903" i="8" a="1"/>
  <c r="F903" i="8" a="1"/>
  <c r="A903" i="8" a="1"/>
  <c r="D903" i="8" a="1"/>
  <c r="E903" i="8" a="1"/>
  <c r="I903" i="8" a="1"/>
  <c r="H902" i="8" a="1"/>
  <c r="G902" i="8" a="1"/>
  <c r="F902" i="8" a="1"/>
  <c r="A902" i="8" a="1"/>
  <c r="D902" i="8" a="1"/>
  <c r="E902" i="8" a="1"/>
  <c r="I902" i="8" a="1"/>
  <c r="H901" i="8" a="1"/>
  <c r="G901" i="8" a="1"/>
  <c r="F901" i="8" a="1"/>
  <c r="A901" i="8" a="1"/>
  <c r="D901" i="8" a="1"/>
  <c r="E901" i="8" a="1"/>
  <c r="I901" i="8" a="1"/>
  <c r="H900" i="8" a="1"/>
  <c r="G900" i="8" a="1"/>
  <c r="F900" i="8" a="1"/>
  <c r="A900" i="8" a="1"/>
  <c r="D900" i="8" a="1"/>
  <c r="E900" i="8" a="1"/>
  <c r="I900" i="8" a="1"/>
  <c r="H899" i="8" a="1"/>
  <c r="G899" i="8" a="1"/>
  <c r="F899" i="8" a="1"/>
  <c r="A899" i="8" a="1"/>
  <c r="D899" i="8" a="1"/>
  <c r="E899" i="8" a="1"/>
  <c r="I899" i="8" a="1"/>
  <c r="H898" i="8" a="1"/>
  <c r="G898" i="8" a="1"/>
  <c r="F898" i="8" a="1"/>
  <c r="A898" i="8" a="1"/>
  <c r="D898" i="8" a="1"/>
  <c r="E898" i="8" a="1"/>
  <c r="I898" i="8" a="1"/>
  <c r="H897" i="8" a="1"/>
  <c r="G897" i="8" a="1"/>
  <c r="F897" i="8" a="1"/>
  <c r="A897" i="8" a="1"/>
  <c r="D897" i="8" a="1"/>
  <c r="E897" i="8" a="1"/>
  <c r="D743" i="8" a="1"/>
  <c r="E743" i="8" a="1"/>
  <c r="I743" i="8" a="1"/>
  <c r="H742" i="8" a="1"/>
  <c r="G742" i="8" a="1"/>
  <c r="F742" i="8" a="1"/>
  <c r="A742" i="8" a="1"/>
  <c r="D742" i="8" a="1"/>
  <c r="E742" i="8" a="1"/>
  <c r="I742" i="8" a="1"/>
  <c r="H741" i="8" a="1"/>
  <c r="G741" i="8" a="1"/>
  <c r="F741" i="8" a="1"/>
  <c r="A741" i="8" a="1"/>
  <c r="D741" i="8" a="1"/>
  <c r="E741" i="8" a="1"/>
  <c r="I741" i="8" a="1"/>
  <c r="H740" i="8" a="1"/>
  <c r="G740" i="8" a="1"/>
  <c r="F740" i="8" a="1"/>
  <c r="A740" i="8" a="1"/>
  <c r="D740" i="8" a="1"/>
  <c r="E740" i="8" a="1"/>
  <c r="I740" i="8" a="1"/>
  <c r="H739" i="8" a="1"/>
  <c r="G739" i="8" a="1"/>
  <c r="F739" i="8" a="1"/>
  <c r="A739" i="8" a="1"/>
  <c r="D739" i="8" a="1"/>
  <c r="E739" i="8" a="1"/>
  <c r="I739" i="8" a="1"/>
  <c r="H738" i="8" a="1"/>
  <c r="G738" i="8" a="1"/>
  <c r="F738" i="8" a="1"/>
  <c r="A738" i="8" a="1"/>
  <c r="D738" i="8" a="1"/>
  <c r="E738" i="8" a="1"/>
  <c r="I738" i="8" a="1"/>
  <c r="H737" i="8" a="1"/>
  <c r="G737" i="8" a="1"/>
  <c r="F737" i="8" a="1"/>
  <c r="A737" i="8" a="1"/>
  <c r="D737" i="8" a="1"/>
  <c r="E737" i="8" a="1"/>
  <c r="I737" i="8" a="1"/>
  <c r="H736" i="8" a="1"/>
  <c r="G736" i="8" a="1"/>
  <c r="F736" i="8" a="1"/>
  <c r="A736" i="8" a="1"/>
  <c r="D736" i="8" a="1"/>
  <c r="E736" i="8" a="1"/>
  <c r="I736" i="8" a="1"/>
  <c r="H735" i="8" a="1"/>
  <c r="G735" i="8" a="1"/>
  <c r="F735" i="8" a="1"/>
  <c r="A735" i="8" a="1"/>
  <c r="D735" i="8" a="1"/>
  <c r="E735" i="8" a="1"/>
  <c r="I735" i="8" a="1"/>
  <c r="H734" i="8" a="1"/>
  <c r="G734" i="8" a="1"/>
  <c r="F734" i="8" a="1"/>
  <c r="A734" i="8" a="1"/>
  <c r="D734" i="8" a="1"/>
  <c r="E734" i="8" a="1"/>
  <c r="I734" i="8" a="1"/>
  <c r="H733" i="8" a="1"/>
  <c r="G733" i="8" a="1"/>
  <c r="F733" i="8" a="1"/>
  <c r="A733" i="8" a="1"/>
  <c r="D733" i="8" a="1"/>
  <c r="E733" i="8" a="1"/>
  <c r="I733" i="8" a="1"/>
  <c r="H732" i="8" a="1"/>
  <c r="G732" i="8" a="1"/>
  <c r="F732" i="8" a="1"/>
  <c r="A732" i="8" a="1"/>
  <c r="D732" i="8" a="1"/>
  <c r="E732" i="8" a="1"/>
  <c r="I732" i="8" a="1"/>
  <c r="H731" i="8" a="1"/>
  <c r="G731" i="8" a="1"/>
  <c r="F731" i="8" a="1"/>
  <c r="A731" i="8" a="1"/>
  <c r="D731" i="8" a="1"/>
  <c r="E731" i="8" a="1"/>
  <c r="I731" i="8" a="1"/>
  <c r="H730" i="8" a="1"/>
  <c r="G730" i="8" a="1"/>
  <c r="F730" i="8" a="1"/>
  <c r="A730" i="8" a="1"/>
  <c r="D730" i="8" a="1"/>
  <c r="E730" i="8" a="1"/>
  <c r="I730" i="8" a="1"/>
  <c r="H729" i="8" a="1"/>
  <c r="G729" i="8" a="1"/>
  <c r="F729" i="8" a="1"/>
  <c r="A729" i="8" a="1"/>
  <c r="D729" i="8" a="1"/>
  <c r="E729" i="8" a="1"/>
  <c r="I729" i="8" a="1"/>
  <c r="H728" i="8" a="1"/>
  <c r="G728" i="8" a="1"/>
  <c r="F728" i="8" a="1"/>
  <c r="A728" i="8" a="1"/>
  <c r="D728" i="8" a="1"/>
  <c r="E728" i="8" a="1"/>
  <c r="I728" i="8" a="1"/>
  <c r="H727" i="8" a="1"/>
  <c r="G727" i="8" a="1"/>
  <c r="F727" i="8" a="1"/>
  <c r="A727" i="8" a="1"/>
  <c r="D727" i="8" a="1"/>
  <c r="E727" i="8" a="1"/>
  <c r="I727" i="8" a="1"/>
  <c r="H726" i="8" a="1"/>
  <c r="G726" i="8" a="1"/>
  <c r="F726" i="8" a="1"/>
  <c r="A726" i="8" a="1"/>
  <c r="D726" i="8" a="1"/>
  <c r="E726" i="8" a="1"/>
  <c r="I726" i="8" a="1"/>
  <c r="H725" i="8" a="1"/>
  <c r="G725" i="8" a="1"/>
  <c r="F725" i="8" a="1"/>
  <c r="A725" i="8" a="1"/>
  <c r="D725" i="8" a="1"/>
  <c r="E725" i="8" a="1"/>
  <c r="I725" i="8" a="1"/>
  <c r="H724" i="8" a="1"/>
  <c r="G724" i="8" a="1"/>
  <c r="F724" i="8" a="1"/>
  <c r="A724" i="8" a="1"/>
  <c r="D724" i="8" a="1"/>
  <c r="E724" i="8" a="1"/>
  <c r="I724" i="8" a="1"/>
  <c r="H723" i="8" a="1"/>
  <c r="G723" i="8" a="1"/>
  <c r="F723" i="8" a="1"/>
  <c r="A723" i="8" a="1"/>
  <c r="D723" i="8" a="1"/>
  <c r="E723" i="8" a="1"/>
  <c r="I723" i="8" a="1"/>
  <c r="H722" i="8" a="1"/>
  <c r="G722" i="8" a="1"/>
  <c r="F722" i="8" a="1"/>
  <c r="A722" i="8" a="1"/>
  <c r="D722" i="8" a="1"/>
  <c r="E722" i="8" a="1"/>
  <c r="I722" i="8" a="1"/>
  <c r="H721" i="8" a="1"/>
  <c r="G721" i="8" a="1"/>
  <c r="F721" i="8" a="1"/>
  <c r="A721" i="8" a="1"/>
  <c r="D721" i="8" a="1"/>
  <c r="E721" i="8" a="1"/>
  <c r="I721" i="8" a="1"/>
  <c r="H720" i="8" a="1"/>
  <c r="G720" i="8" a="1"/>
  <c r="F720" i="8" a="1"/>
  <c r="A720" i="8" a="1"/>
  <c r="D720" i="8" a="1"/>
  <c r="E720" i="8" a="1"/>
  <c r="I720" i="8" a="1"/>
  <c r="H719" i="8" a="1"/>
  <c r="G719" i="8" a="1"/>
  <c r="F719" i="8" a="1"/>
  <c r="A719" i="8" a="1"/>
  <c r="D719" i="8" a="1"/>
  <c r="E719" i="8" a="1"/>
  <c r="I719" i="8" a="1"/>
  <c r="H718" i="8" a="1"/>
  <c r="G718" i="8" a="1"/>
  <c r="F718" i="8" a="1"/>
  <c r="A718" i="8" a="1"/>
  <c r="D718" i="8" a="1"/>
  <c r="E718" i="8" a="1"/>
  <c r="I718" i="8" a="1"/>
  <c r="H717" i="8" a="1"/>
  <c r="G717" i="8" a="1"/>
  <c r="F717" i="8" a="1"/>
  <c r="A717" i="8" a="1"/>
  <c r="D717" i="8" a="1"/>
  <c r="E717" i="8" a="1"/>
  <c r="I717" i="8" a="1"/>
  <c r="H716" i="8" a="1"/>
  <c r="G716" i="8" a="1"/>
  <c r="F716" i="8" a="1"/>
  <c r="A716" i="8" a="1"/>
  <c r="D716" i="8" a="1"/>
  <c r="E716" i="8" a="1"/>
  <c r="I716" i="8" a="1"/>
  <c r="H715" i="8" a="1"/>
  <c r="G715" i="8" a="1"/>
  <c r="F715" i="8" a="1"/>
  <c r="A715" i="8" a="1"/>
  <c r="D715" i="8" a="1"/>
  <c r="E715" i="8" a="1"/>
  <c r="I715" i="8" a="1"/>
  <c r="H714" i="8" a="1"/>
  <c r="G714" i="8" a="1"/>
  <c r="F714" i="8" a="1"/>
  <c r="A714" i="8" a="1"/>
  <c r="D714" i="8" a="1"/>
  <c r="E714" i="8" a="1"/>
  <c r="I714" i="8" a="1"/>
  <c r="H713" i="8" a="1"/>
  <c r="G713" i="8" a="1"/>
  <c r="F713" i="8" a="1"/>
  <c r="A713" i="8" a="1"/>
  <c r="D713" i="8" a="1"/>
  <c r="E713" i="8" a="1"/>
  <c r="I713" i="8" a="1"/>
  <c r="H712" i="8" a="1"/>
  <c r="G712" i="8" a="1"/>
  <c r="F712" i="8" a="1"/>
  <c r="A712" i="8" a="1"/>
  <c r="D712" i="8" a="1"/>
  <c r="E712" i="8" a="1"/>
  <c r="I712" i="8" a="1"/>
  <c r="H711" i="8" a="1"/>
  <c r="G711" i="8" a="1"/>
  <c r="F711" i="8" a="1"/>
  <c r="A711" i="8" a="1"/>
  <c r="D711" i="8" a="1"/>
  <c r="E711" i="8" a="1"/>
  <c r="I711" i="8" a="1"/>
  <c r="H710" i="8" a="1"/>
  <c r="G710" i="8" a="1"/>
  <c r="F710" i="8" a="1"/>
  <c r="A710" i="8" a="1"/>
  <c r="D710" i="8" a="1"/>
  <c r="E710" i="8" a="1"/>
  <c r="I710" i="8" a="1"/>
  <c r="H709" i="8" a="1"/>
  <c r="G709" i="8" a="1"/>
  <c r="F709" i="8" a="1"/>
  <c r="A709" i="8" a="1"/>
  <c r="D709" i="8" a="1"/>
  <c r="E709" i="8" a="1"/>
  <c r="I709" i="8" a="1"/>
  <c r="H708" i="8" a="1"/>
  <c r="G708" i="8" a="1"/>
  <c r="F708" i="8" a="1"/>
  <c r="A708" i="8" a="1"/>
  <c r="D708" i="8" a="1"/>
  <c r="E708" i="8" a="1"/>
  <c r="I708" i="8" a="1"/>
  <c r="H707" i="8" a="1"/>
  <c r="G707" i="8" a="1"/>
  <c r="F707" i="8" a="1"/>
  <c r="A707" i="8" a="1"/>
  <c r="D707" i="8" a="1"/>
  <c r="E707" i="8" a="1"/>
  <c r="I707" i="8" a="1"/>
  <c r="H706" i="8" a="1"/>
  <c r="G706" i="8" a="1"/>
  <c r="F706" i="8" a="1"/>
  <c r="A706" i="8" a="1"/>
  <c r="D706" i="8" a="1"/>
  <c r="E706" i="8" a="1"/>
  <c r="I706" i="8" a="1"/>
  <c r="H705" i="8" a="1"/>
  <c r="G705" i="8" a="1"/>
  <c r="F705" i="8" a="1"/>
  <c r="A705" i="8" a="1"/>
  <c r="D705" i="8" a="1"/>
  <c r="E705" i="8" a="1"/>
  <c r="I705" i="8" a="1"/>
  <c r="H704" i="8" a="1"/>
  <c r="G704" i="8" a="1"/>
  <c r="F704" i="8" a="1"/>
  <c r="A704" i="8" a="1"/>
  <c r="D704" i="8" a="1"/>
  <c r="E704" i="8" a="1"/>
  <c r="I704" i="8" a="1"/>
  <c r="H703" i="8" a="1"/>
  <c r="G703" i="8" a="1"/>
  <c r="F703" i="8" a="1"/>
  <c r="A703" i="8" a="1"/>
  <c r="D703" i="8" a="1"/>
  <c r="E703" i="8" a="1"/>
  <c r="I703" i="8" a="1"/>
  <c r="H702" i="8" a="1"/>
  <c r="G702" i="8" a="1"/>
  <c r="F702" i="8" a="1"/>
  <c r="A702" i="8" a="1"/>
  <c r="D702" i="8" a="1"/>
  <c r="E702" i="8" a="1"/>
  <c r="I702" i="8" a="1"/>
  <c r="H701" i="8" a="1"/>
  <c r="G701" i="8" a="1"/>
  <c r="F701" i="8" a="1"/>
  <c r="A701" i="8" a="1"/>
  <c r="D701" i="8" a="1"/>
  <c r="E701" i="8" a="1"/>
  <c r="I701" i="8" a="1"/>
  <c r="H700" i="8" a="1"/>
  <c r="G700" i="8" a="1"/>
  <c r="F700" i="8" a="1"/>
  <c r="A700" i="8" a="1"/>
  <c r="D700" i="8" a="1"/>
  <c r="E700" i="8" a="1"/>
  <c r="I700" i="8" a="1"/>
  <c r="H699" i="8" a="1"/>
  <c r="G699" i="8" a="1"/>
  <c r="F699" i="8" a="1"/>
  <c r="A699" i="8" a="1"/>
  <c r="D699" i="8" a="1"/>
  <c r="E699" i="8" a="1"/>
  <c r="I699" i="8" a="1"/>
  <c r="H698" i="8" a="1"/>
  <c r="G698" i="8" a="1"/>
  <c r="F698" i="8" a="1"/>
  <c r="A698" i="8" a="1"/>
  <c r="D698" i="8" a="1"/>
  <c r="E698" i="8" a="1"/>
  <c r="I698" i="8" a="1"/>
  <c r="H697" i="8" a="1"/>
  <c r="G697" i="8" a="1"/>
  <c r="F697" i="8" a="1"/>
  <c r="A697" i="8" a="1"/>
  <c r="D697" i="8" a="1"/>
  <c r="E697" i="8" a="1"/>
  <c r="I697" i="8" a="1"/>
  <c r="H696" i="8" a="1"/>
  <c r="G696" i="8" a="1"/>
  <c r="F696" i="8" a="1"/>
  <c r="A696" i="8" a="1"/>
  <c r="D696" i="8" a="1"/>
  <c r="E696" i="8" a="1"/>
  <c r="I696" i="8" a="1"/>
  <c r="H695" i="8" a="1"/>
  <c r="G695" i="8" a="1"/>
  <c r="F695" i="8" a="1"/>
  <c r="A695" i="8" a="1"/>
  <c r="D695" i="8" a="1"/>
  <c r="E695" i="8" a="1"/>
  <c r="I695" i="8" a="1"/>
  <c r="H694" i="8" a="1"/>
  <c r="G694" i="8" a="1"/>
  <c r="F694" i="8" a="1"/>
  <c r="A694" i="8" a="1"/>
  <c r="D694" i="8" a="1"/>
  <c r="E694" i="8" a="1"/>
  <c r="I694" i="8" a="1"/>
  <c r="H693" i="8" a="1"/>
  <c r="G693" i="8" a="1"/>
  <c r="F693" i="8" a="1"/>
  <c r="A693" i="8" a="1"/>
  <c r="D693" i="8" a="1"/>
  <c r="E693" i="8" a="1"/>
  <c r="I693" i="8" a="1"/>
  <c r="H692" i="8" a="1"/>
  <c r="G692" i="8" a="1"/>
  <c r="F692" i="8" a="1"/>
  <c r="A692" i="8" a="1"/>
  <c r="D692" i="8" a="1"/>
  <c r="E692" i="8" a="1"/>
  <c r="I692" i="8" a="1"/>
  <c r="H691" i="8" a="1"/>
  <c r="G691" i="8" a="1"/>
  <c r="F691" i="8" a="1"/>
  <c r="A691" i="8" a="1"/>
  <c r="D691" i="8" a="1"/>
  <c r="E691" i="8" a="1"/>
  <c r="I691" i="8" a="1"/>
  <c r="H690" i="8" a="1"/>
  <c r="G690" i="8" a="1"/>
  <c r="F690" i="8" a="1"/>
  <c r="A690" i="8" a="1"/>
  <c r="D690" i="8" a="1"/>
  <c r="E690" i="8" a="1"/>
  <c r="I690" i="8" a="1"/>
  <c r="H689" i="8" a="1"/>
  <c r="G689" i="8" a="1"/>
  <c r="F689" i="8" a="1"/>
  <c r="A689" i="8" a="1"/>
  <c r="D689" i="8" a="1"/>
  <c r="E689" i="8" a="1"/>
  <c r="I689" i="8" a="1"/>
  <c r="H688" i="8" a="1"/>
  <c r="G688" i="8" a="1"/>
  <c r="F688" i="8" a="1"/>
  <c r="A688" i="8" a="1"/>
  <c r="D688" i="8" a="1"/>
  <c r="E688" i="8" a="1"/>
  <c r="I688" i="8" a="1"/>
  <c r="H687" i="8" a="1"/>
  <c r="G687" i="8" a="1"/>
  <c r="F687" i="8" a="1"/>
  <c r="A687" i="8" a="1"/>
  <c r="D687" i="8" a="1"/>
  <c r="E687" i="8" a="1"/>
  <c r="I687" i="8" a="1"/>
  <c r="H686" i="8" a="1"/>
  <c r="G686" i="8" a="1"/>
  <c r="F686" i="8" a="1"/>
  <c r="A686" i="8" a="1"/>
  <c r="D686" i="8" a="1"/>
  <c r="E686" i="8" a="1"/>
  <c r="I686" i="8" a="1"/>
  <c r="H685" i="8" a="1"/>
  <c r="G685" i="8" a="1"/>
  <c r="F685" i="8" a="1"/>
  <c r="A685" i="8" a="1"/>
  <c r="D685" i="8" a="1"/>
  <c r="E685" i="8" a="1"/>
  <c r="I685" i="8" a="1"/>
  <c r="H684" i="8" a="1"/>
  <c r="G684" i="8" a="1"/>
  <c r="F684" i="8" a="1"/>
  <c r="A684" i="8" a="1"/>
  <c r="D684" i="8" a="1"/>
  <c r="E684" i="8" a="1"/>
  <c r="I684" i="8" a="1"/>
  <c r="H683" i="8" a="1"/>
  <c r="G683" i="8" a="1"/>
  <c r="F683" i="8" a="1"/>
  <c r="A683" i="8" a="1"/>
  <c r="D683" i="8" a="1"/>
  <c r="E683" i="8" a="1"/>
  <c r="I683" i="8" a="1"/>
  <c r="H682" i="8" a="1"/>
  <c r="G682" i="8" a="1"/>
  <c r="F682" i="8" a="1"/>
  <c r="A682" i="8" a="1"/>
  <c r="D682" i="8" a="1"/>
  <c r="E682" i="8" a="1"/>
  <c r="I682" i="8" a="1"/>
  <c r="H681" i="8" a="1"/>
  <c r="G681" i="8" a="1"/>
  <c r="F681" i="8" a="1"/>
  <c r="A681" i="8" a="1"/>
  <c r="D681" i="8" a="1"/>
  <c r="E681" i="8" a="1"/>
  <c r="I681" i="8" a="1"/>
  <c r="H680" i="8" a="1"/>
  <c r="G680" i="8" a="1"/>
  <c r="F680" i="8" a="1"/>
  <c r="A680" i="8" a="1"/>
  <c r="D680" i="8" a="1"/>
  <c r="E680" i="8" a="1"/>
  <c r="I680" i="8" a="1"/>
  <c r="H679" i="8" a="1"/>
  <c r="G679" i="8" a="1"/>
  <c r="F679" i="8" a="1"/>
  <c r="A679" i="8" a="1"/>
  <c r="D679" i="8" a="1"/>
  <c r="E679" i="8" a="1"/>
  <c r="I679" i="8" a="1"/>
  <c r="H678" i="8" a="1"/>
  <c r="G678" i="8" a="1"/>
  <c r="F678" i="8" a="1"/>
  <c r="A678" i="8" a="1"/>
  <c r="D678" i="8" a="1"/>
  <c r="E678" i="8" a="1"/>
  <c r="I678" i="8" a="1"/>
  <c r="H677" i="8" a="1"/>
  <c r="G677" i="8" a="1"/>
  <c r="F677" i="8" a="1"/>
  <c r="A677" i="8" a="1"/>
  <c r="D677" i="8" a="1"/>
  <c r="E677" i="8" a="1"/>
  <c r="I677" i="8" a="1"/>
  <c r="H676" i="8" a="1"/>
  <c r="G676" i="8" a="1"/>
  <c r="F676" i="8" a="1"/>
  <c r="A676" i="8" a="1"/>
  <c r="D676" i="8" a="1"/>
  <c r="E676" i="8" a="1"/>
  <c r="I676" i="8" a="1"/>
  <c r="H675" i="8" a="1"/>
  <c r="G675" i="8" a="1"/>
  <c r="F675" i="8" a="1"/>
  <c r="A675" i="8" a="1"/>
  <c r="D675" i="8" a="1"/>
  <c r="E675" i="8" a="1"/>
  <c r="I675" i="8" a="1"/>
  <c r="H674" i="8" a="1"/>
  <c r="G674" i="8" a="1"/>
  <c r="F674" i="8" a="1"/>
  <c r="A674" i="8" a="1"/>
  <c r="D674" i="8" a="1"/>
  <c r="E674" i="8" a="1"/>
  <c r="I674" i="8" a="1"/>
  <c r="H673" i="8" a="1"/>
  <c r="G673" i="8" a="1"/>
  <c r="F673" i="8" a="1"/>
  <c r="A673" i="8" a="1"/>
  <c r="D673" i="8" a="1"/>
  <c r="E673" i="8" a="1"/>
  <c r="I673" i="8" a="1"/>
  <c r="H672" i="8" a="1"/>
  <c r="G672" i="8" a="1"/>
  <c r="F672" i="8" a="1"/>
  <c r="A672" i="8" a="1"/>
  <c r="D672" i="8" a="1"/>
  <c r="E672" i="8" a="1"/>
  <c r="I672" i="8" a="1"/>
  <c r="H671" i="8" a="1"/>
  <c r="G671" i="8" a="1"/>
  <c r="F671" i="8" a="1"/>
  <c r="A671" i="8" a="1"/>
  <c r="D671" i="8" a="1"/>
  <c r="E671" i="8" a="1"/>
  <c r="I671" i="8" a="1"/>
  <c r="H670" i="8" a="1"/>
  <c r="G670" i="8" a="1"/>
  <c r="F670" i="8" a="1"/>
  <c r="A670" i="8" a="1"/>
  <c r="D670" i="8" a="1"/>
  <c r="E670" i="8" a="1"/>
  <c r="I670" i="8" a="1"/>
  <c r="H669" i="8" a="1"/>
  <c r="G669" i="8" a="1"/>
  <c r="F669" i="8" a="1"/>
  <c r="A669" i="8" a="1"/>
  <c r="D669" i="8" a="1"/>
  <c r="E669" i="8" a="1"/>
  <c r="I669" i="8" a="1"/>
  <c r="H668" i="8" a="1"/>
  <c r="G668" i="8" a="1"/>
  <c r="F668" i="8" a="1"/>
  <c r="A668" i="8" a="1"/>
  <c r="D668" i="8" a="1"/>
  <c r="E668" i="8" a="1"/>
  <c r="I668" i="8" a="1"/>
  <c r="H667" i="8" a="1"/>
  <c r="G667" i="8" a="1"/>
  <c r="F667" i="8" a="1"/>
  <c r="A667" i="8" a="1"/>
  <c r="D667" i="8" a="1"/>
  <c r="E667" i="8" a="1"/>
  <c r="I667" i="8" a="1"/>
  <c r="H666" i="8" a="1"/>
  <c r="G666" i="8" a="1"/>
  <c r="F666" i="8" a="1"/>
  <c r="A666" i="8" a="1"/>
  <c r="D666" i="8" a="1"/>
  <c r="E666" i="8" a="1"/>
  <c r="I666" i="8" a="1"/>
  <c r="H665" i="8" a="1"/>
  <c r="G665" i="8" a="1"/>
  <c r="F665" i="8" a="1"/>
  <c r="A665" i="8" a="1"/>
  <c r="D665" i="8" a="1"/>
  <c r="E665" i="8" a="1"/>
  <c r="I665" i="8" a="1"/>
  <c r="H664" i="8" a="1"/>
  <c r="G664" i="8" a="1"/>
  <c r="F664" i="8" a="1"/>
  <c r="A664" i="8" a="1"/>
  <c r="D664" i="8" a="1"/>
  <c r="E664" i="8" a="1"/>
  <c r="I664" i="8" a="1"/>
  <c r="H663" i="8" a="1"/>
  <c r="G663" i="8" a="1"/>
  <c r="F663" i="8" a="1"/>
  <c r="A663" i="8" a="1"/>
  <c r="D663" i="8" a="1"/>
  <c r="E663" i="8" a="1"/>
  <c r="I663" i="8" a="1"/>
  <c r="H662" i="8" a="1"/>
  <c r="G662" i="8" a="1"/>
  <c r="F662" i="8" a="1"/>
  <c r="A662" i="8" a="1"/>
  <c r="D662" i="8" a="1"/>
  <c r="E662" i="8" a="1"/>
  <c r="I662" i="8" a="1"/>
  <c r="H661" i="8" a="1"/>
  <c r="G661" i="8" a="1"/>
  <c r="F661" i="8" a="1"/>
  <c r="A661" i="8" a="1"/>
  <c r="D661" i="8" a="1"/>
  <c r="E661" i="8" a="1"/>
  <c r="I661" i="8" a="1"/>
  <c r="H660" i="8" a="1"/>
  <c r="G660" i="8" a="1"/>
  <c r="F660" i="8" a="1"/>
  <c r="A660" i="8" a="1"/>
  <c r="D660" i="8" a="1"/>
  <c r="E660" i="8" a="1"/>
  <c r="I660" i="8" a="1"/>
  <c r="H659" i="8" a="1"/>
  <c r="G659" i="8" a="1"/>
  <c r="F659" i="8" a="1"/>
  <c r="A659" i="8" a="1"/>
  <c r="D659" i="8" a="1"/>
  <c r="E659" i="8" a="1"/>
  <c r="I659" i="8" a="1"/>
  <c r="H658" i="8" a="1"/>
  <c r="G658" i="8" a="1"/>
  <c r="F658" i="8" a="1"/>
  <c r="A658" i="8" a="1"/>
  <c r="D658" i="8" a="1"/>
  <c r="E658" i="8" a="1"/>
  <c r="I658" i="8" a="1"/>
  <c r="H657" i="8" a="1"/>
  <c r="G657" i="8" a="1"/>
  <c r="F657" i="8" a="1"/>
  <c r="A657" i="8" a="1"/>
  <c r="D657" i="8" a="1"/>
  <c r="E657" i="8" a="1"/>
  <c r="I657" i="8" a="1"/>
  <c r="H656" i="8" a="1"/>
  <c r="G656" i="8" a="1"/>
  <c r="F656" i="8" a="1"/>
  <c r="A656" i="8" a="1"/>
  <c r="D656" i="8" a="1"/>
  <c r="E656" i="8" a="1"/>
  <c r="I656" i="8" a="1"/>
  <c r="H655" i="8" a="1"/>
  <c r="G655" i="8" a="1"/>
  <c r="F655" i="8" a="1"/>
  <c r="A655" i="8" a="1"/>
  <c r="D655" i="8" a="1"/>
  <c r="E655" i="8" a="1"/>
  <c r="I655" i="8" a="1"/>
  <c r="H654" i="8" a="1"/>
  <c r="G654" i="8" a="1"/>
  <c r="F654" i="8" a="1"/>
  <c r="A654" i="8" a="1"/>
  <c r="D654" i="8" a="1"/>
  <c r="E654" i="8" a="1"/>
  <c r="I654" i="8" a="1"/>
  <c r="H653" i="8" a="1"/>
  <c r="G653" i="8" a="1"/>
  <c r="F653" i="8" a="1"/>
  <c r="A653" i="8" a="1"/>
  <c r="D653" i="8" a="1"/>
  <c r="E653" i="8" a="1"/>
  <c r="I653" i="8" a="1"/>
  <c r="H652" i="8" a="1"/>
  <c r="G652" i="8" a="1"/>
  <c r="F652" i="8" a="1"/>
  <c r="A652" i="8" a="1"/>
  <c r="D652" i="8" a="1"/>
  <c r="E652" i="8" a="1"/>
  <c r="I652" i="8" a="1"/>
  <c r="H651" i="8" a="1"/>
  <c r="G651" i="8" a="1"/>
  <c r="F651" i="8" a="1"/>
  <c r="A651" i="8" a="1"/>
  <c r="D651" i="8" a="1"/>
  <c r="E651" i="8" a="1"/>
  <c r="I651" i="8" a="1"/>
  <c r="H650" i="8" a="1"/>
  <c r="G650" i="8" a="1"/>
  <c r="F650" i="8" a="1"/>
  <c r="A650" i="8" a="1"/>
  <c r="D650" i="8" a="1"/>
  <c r="E650" i="8" a="1"/>
  <c r="I650" i="8" a="1"/>
  <c r="H649" i="8" a="1"/>
  <c r="G649" i="8" a="1"/>
  <c r="F649" i="8" a="1"/>
  <c r="A649" i="8" a="1"/>
  <c r="D649" i="8" a="1"/>
  <c r="E649" i="8" a="1"/>
  <c r="I649" i="8" a="1"/>
  <c r="H648" i="8" a="1"/>
  <c r="G648" i="8" a="1"/>
  <c r="F648" i="8" a="1"/>
  <c r="A648" i="8" a="1"/>
  <c r="D648" i="8" a="1"/>
  <c r="E648" i="8" a="1"/>
  <c r="I648" i="8" a="1"/>
  <c r="H647" i="8" a="1"/>
  <c r="G647" i="8" a="1"/>
  <c r="F647" i="8" a="1"/>
  <c r="A647" i="8" a="1"/>
  <c r="D647" i="8" a="1"/>
  <c r="E647" i="8" a="1"/>
  <c r="I647" i="8" a="1"/>
  <c r="H646" i="8" a="1"/>
  <c r="G646" i="8" a="1"/>
  <c r="F646" i="8" a="1"/>
  <c r="A646" i="8" a="1"/>
  <c r="D646" i="8" a="1"/>
  <c r="E646" i="8" a="1"/>
  <c r="I646" i="8" a="1"/>
  <c r="H645" i="8" a="1"/>
  <c r="G645" i="8" a="1"/>
  <c r="F645" i="8" a="1"/>
  <c r="A645" i="8" a="1"/>
  <c r="D645" i="8" a="1"/>
  <c r="E645" i="8" a="1"/>
  <c r="I645" i="8" a="1"/>
  <c r="H644" i="8" a="1"/>
  <c r="G644" i="8" a="1"/>
  <c r="F644" i="8" a="1"/>
  <c r="A644" i="8" a="1"/>
  <c r="D644" i="8" a="1"/>
  <c r="E644" i="8" a="1"/>
  <c r="I644" i="8" a="1"/>
  <c r="H643" i="8" a="1"/>
  <c r="G643" i="8" a="1"/>
  <c r="F643" i="8" a="1"/>
  <c r="A643" i="8" a="1"/>
  <c r="D643" i="8" a="1"/>
  <c r="E643" i="8" a="1"/>
  <c r="I643" i="8" a="1"/>
  <c r="H642" i="8" a="1"/>
  <c r="G642" i="8" a="1"/>
  <c r="F642" i="8" a="1"/>
  <c r="A642" i="8" a="1"/>
  <c r="D642" i="8" a="1"/>
  <c r="E642" i="8" a="1"/>
  <c r="I642" i="8" a="1"/>
  <c r="H641" i="8" a="1"/>
  <c r="G641" i="8" a="1"/>
  <c r="F641" i="8" a="1"/>
  <c r="A641" i="8" a="1"/>
  <c r="D641" i="8" a="1"/>
  <c r="E641" i="8" a="1"/>
  <c r="I641" i="8" a="1"/>
  <c r="H640" i="8" a="1"/>
  <c r="G640" i="8" a="1"/>
  <c r="F640" i="8" a="1"/>
  <c r="A640" i="8" a="1"/>
  <c r="D640" i="8" a="1"/>
  <c r="E640" i="8" a="1"/>
  <c r="I640" i="8" a="1"/>
  <c r="H639" i="8" a="1"/>
  <c r="G639" i="8" a="1"/>
  <c r="F639" i="8" a="1"/>
  <c r="A639" i="8" a="1"/>
  <c r="D639" i="8" a="1"/>
  <c r="E639" i="8" a="1"/>
  <c r="I639" i="8" a="1"/>
  <c r="H638" i="8" a="1"/>
  <c r="G638" i="8" a="1"/>
  <c r="F638" i="8" a="1"/>
  <c r="A638" i="8" a="1"/>
  <c r="D638" i="8" a="1"/>
  <c r="E638" i="8" a="1"/>
  <c r="I638" i="8" a="1"/>
  <c r="H637" i="8" a="1"/>
  <c r="G637" i="8" a="1"/>
  <c r="F637" i="8" a="1"/>
  <c r="A637" i="8" a="1"/>
  <c r="D637" i="8" a="1"/>
  <c r="E637" i="8" a="1"/>
  <c r="I637" i="8" a="1"/>
  <c r="H636" i="8" a="1"/>
  <c r="G636" i="8" a="1"/>
  <c r="F636" i="8" a="1"/>
  <c r="A636" i="8" a="1"/>
  <c r="D636" i="8" a="1"/>
  <c r="E636" i="8" a="1"/>
  <c r="I636" i="8" a="1"/>
  <c r="H635" i="8" a="1"/>
  <c r="G635" i="8" a="1"/>
  <c r="F635" i="8" a="1"/>
  <c r="A635" i="8" a="1"/>
  <c r="D635" i="8" a="1"/>
  <c r="E635" i="8" a="1"/>
  <c r="I635" i="8" a="1"/>
  <c r="H634" i="8" a="1"/>
  <c r="G634" i="8" a="1"/>
  <c r="F634" i="8" a="1"/>
  <c r="A634" i="8" a="1"/>
  <c r="D634" i="8" a="1"/>
  <c r="E634" i="8" a="1"/>
  <c r="I634" i="8" a="1"/>
  <c r="H633" i="8" a="1"/>
  <c r="G633" i="8" a="1"/>
  <c r="F633" i="8" a="1"/>
  <c r="A633" i="8" a="1"/>
  <c r="D633" i="8" a="1"/>
  <c r="E633" i="8" a="1"/>
  <c r="I633" i="8" a="1"/>
  <c r="H632" i="8" a="1"/>
  <c r="G632" i="8" a="1"/>
  <c r="F632" i="8" a="1"/>
  <c r="A632" i="8" a="1"/>
  <c r="D632" i="8" a="1"/>
  <c r="E632" i="8" a="1"/>
  <c r="I632" i="8" a="1"/>
  <c r="H631" i="8" a="1"/>
  <c r="G631" i="8" a="1"/>
  <c r="F631" i="8" a="1"/>
  <c r="A631" i="8" a="1"/>
  <c r="D631" i="8" a="1"/>
  <c r="E631" i="8" a="1"/>
  <c r="I631" i="8" a="1"/>
  <c r="H630" i="8" a="1"/>
  <c r="G630" i="8" a="1"/>
  <c r="F630" i="8" a="1"/>
  <c r="A630" i="8" a="1"/>
  <c r="D630" i="8" a="1"/>
  <c r="E630" i="8" a="1"/>
  <c r="I630" i="8" a="1"/>
  <c r="H629" i="8" a="1"/>
  <c r="G629" i="8" a="1"/>
  <c r="F629" i="8" a="1"/>
  <c r="A629" i="8" a="1"/>
  <c r="D629" i="8" a="1"/>
  <c r="E629" i="8" a="1"/>
  <c r="I629" i="8" a="1"/>
  <c r="H628" i="8" a="1"/>
  <c r="G628" i="8" a="1"/>
  <c r="F628" i="8" a="1"/>
  <c r="A628" i="8" a="1"/>
  <c r="D628" i="8" a="1"/>
  <c r="E628" i="8" a="1"/>
  <c r="I628" i="8" a="1"/>
  <c r="H627" i="8" a="1"/>
  <c r="G627" i="8" a="1"/>
  <c r="F627" i="8" a="1"/>
  <c r="A627" i="8" a="1"/>
  <c r="D627" i="8" a="1"/>
  <c r="E627" i="8" a="1"/>
  <c r="I627" i="8" a="1"/>
  <c r="H626" i="8" a="1"/>
  <c r="G626" i="8" a="1"/>
  <c r="F626" i="8" a="1"/>
  <c r="A626" i="8" a="1"/>
  <c r="D626" i="8" a="1"/>
  <c r="E626" i="8" a="1"/>
  <c r="I626" i="8" a="1"/>
  <c r="H625" i="8" a="1"/>
  <c r="G625" i="8" a="1"/>
  <c r="F625" i="8" a="1"/>
  <c r="A625" i="8" a="1"/>
  <c r="D625" i="8" a="1"/>
  <c r="E625" i="8" a="1"/>
  <c r="I625" i="8" a="1"/>
  <c r="H624" i="8" a="1"/>
  <c r="G624" i="8" a="1"/>
  <c r="F624" i="8" a="1"/>
  <c r="A624" i="8" a="1"/>
  <c r="D624" i="8" a="1"/>
  <c r="E624" i="8" a="1"/>
  <c r="I624" i="8" a="1"/>
  <c r="H623" i="8" a="1"/>
  <c r="G623" i="8" a="1"/>
  <c r="F623" i="8" a="1"/>
  <c r="A623" i="8" a="1"/>
  <c r="D623" i="8" a="1"/>
  <c r="E623" i="8" a="1"/>
  <c r="I623" i="8" a="1"/>
  <c r="H622" i="8" a="1"/>
  <c r="G622" i="8" a="1"/>
  <c r="F622" i="8" a="1"/>
  <c r="A622" i="8" a="1"/>
  <c r="D622" i="8" a="1"/>
  <c r="E622" i="8" a="1"/>
  <c r="I622" i="8" a="1"/>
  <c r="H621" i="8" a="1"/>
  <c r="G621" i="8" a="1"/>
  <c r="F621" i="8" a="1"/>
  <c r="A621" i="8" a="1"/>
  <c r="D621" i="8" a="1"/>
  <c r="E621" i="8" a="1"/>
  <c r="I621" i="8" a="1"/>
  <c r="H620" i="8" a="1"/>
  <c r="G620" i="8" a="1"/>
  <c r="F620" i="8" a="1"/>
  <c r="A620" i="8" a="1"/>
  <c r="D620" i="8" a="1"/>
  <c r="E620" i="8" a="1"/>
  <c r="I620" i="8" a="1"/>
  <c r="H619" i="8" a="1"/>
  <c r="G619" i="8" a="1"/>
  <c r="F619" i="8" a="1"/>
  <c r="A619" i="8" a="1"/>
  <c r="D619" i="8" a="1"/>
  <c r="E619" i="8" a="1"/>
  <c r="I619" i="8" a="1"/>
  <c r="H618" i="8" a="1"/>
  <c r="G618" i="8" a="1"/>
  <c r="F618" i="8" a="1"/>
  <c r="A618" i="8" a="1"/>
  <c r="D618" i="8" a="1"/>
  <c r="E618" i="8" a="1"/>
  <c r="I618" i="8" a="1"/>
  <c r="H617" i="8" a="1"/>
  <c r="G617" i="8" a="1"/>
  <c r="F617" i="8" a="1"/>
  <c r="A617" i="8" a="1"/>
  <c r="D617" i="8" a="1"/>
  <c r="E617" i="8" a="1"/>
  <c r="I617" i="8" a="1"/>
  <c r="H616" i="8" a="1"/>
  <c r="G616" i="8" a="1"/>
  <c r="F616" i="8" a="1"/>
  <c r="A616" i="8" a="1"/>
  <c r="D616" i="8" a="1"/>
  <c r="E616" i="8" a="1"/>
  <c r="I616" i="8" a="1"/>
  <c r="H615" i="8" a="1"/>
  <c r="G615" i="8" a="1"/>
  <c r="F615" i="8" a="1"/>
  <c r="A615" i="8" a="1"/>
  <c r="D615" i="8" a="1"/>
  <c r="E615" i="8" a="1"/>
  <c r="I615" i="8" a="1"/>
  <c r="H614" i="8" a="1"/>
  <c r="G614" i="8" a="1"/>
  <c r="F614" i="8" a="1"/>
  <c r="A614" i="8" a="1"/>
  <c r="D614" i="8" a="1"/>
  <c r="E614" i="8" a="1"/>
  <c r="I614" i="8" a="1"/>
  <c r="H613" i="8" a="1"/>
  <c r="G613" i="8" a="1"/>
  <c r="F613" i="8" a="1"/>
  <c r="A613" i="8" a="1"/>
  <c r="D613" i="8" a="1"/>
  <c r="E613" i="8" a="1"/>
  <c r="I613" i="8" a="1"/>
  <c r="H612" i="8" a="1"/>
  <c r="G612" i="8" a="1"/>
  <c r="F612" i="8" a="1"/>
  <c r="A612" i="8" a="1"/>
  <c r="D612" i="8" a="1"/>
  <c r="E612" i="8" a="1"/>
  <c r="I612" i="8" a="1"/>
  <c r="H611" i="8" a="1"/>
  <c r="G611" i="8" a="1"/>
  <c r="F611" i="8" a="1"/>
  <c r="A611" i="8" a="1"/>
  <c r="D611" i="8" a="1"/>
  <c r="E611" i="8" a="1"/>
  <c r="I611" i="8" a="1"/>
  <c r="H610" i="8" a="1"/>
  <c r="G610" i="8" a="1"/>
  <c r="F610" i="8" a="1"/>
  <c r="A610" i="8" a="1"/>
  <c r="D610" i="8" a="1"/>
  <c r="E610" i="8" a="1"/>
  <c r="I610" i="8" a="1"/>
  <c r="H609" i="8" a="1"/>
  <c r="G609" i="8" a="1"/>
  <c r="F609" i="8" a="1"/>
  <c r="A609" i="8" a="1"/>
  <c r="D609" i="8" a="1"/>
  <c r="E609" i="8" a="1"/>
  <c r="I609" i="8" a="1"/>
  <c r="H608" i="8" a="1"/>
  <c r="G608" i="8" a="1"/>
  <c r="F608" i="8" a="1"/>
  <c r="A608" i="8" a="1"/>
  <c r="D608" i="8" a="1"/>
  <c r="E608" i="8" a="1"/>
  <c r="I608" i="8" a="1"/>
  <c r="H607" i="8" a="1"/>
  <c r="G607" i="8" a="1"/>
  <c r="F607" i="8" a="1"/>
  <c r="A607" i="8" a="1"/>
  <c r="D607" i="8" a="1"/>
  <c r="E607" i="8" a="1"/>
  <c r="I607" i="8" a="1"/>
  <c r="H606" i="8" a="1"/>
  <c r="G606" i="8" a="1"/>
  <c r="F606" i="8" a="1"/>
  <c r="A606" i="8" a="1"/>
  <c r="D606" i="8" a="1"/>
  <c r="E606" i="8" a="1"/>
  <c r="I606" i="8" a="1"/>
  <c r="H605" i="8" a="1"/>
  <c r="G605" i="8" a="1"/>
  <c r="F605" i="8" a="1"/>
  <c r="A605" i="8" a="1"/>
  <c r="D605" i="8" a="1"/>
  <c r="E605" i="8" a="1"/>
  <c r="I605" i="8" a="1"/>
  <c r="H604" i="8" a="1"/>
  <c r="G604" i="8" a="1"/>
  <c r="F604" i="8" a="1"/>
  <c r="A604" i="8" a="1"/>
  <c r="D604" i="8" a="1"/>
  <c r="E604" i="8" a="1"/>
  <c r="I604" i="8" a="1"/>
  <c r="H603" i="8" a="1"/>
  <c r="G603" i="8" a="1"/>
  <c r="F603" i="8" a="1"/>
  <c r="A603" i="8" a="1"/>
  <c r="D603" i="8" a="1"/>
  <c r="E603" i="8" a="1"/>
  <c r="I603" i="8" a="1"/>
  <c r="H602" i="8" a="1"/>
  <c r="G602" i="8" a="1"/>
  <c r="F602" i="8" a="1"/>
  <c r="A602" i="8" a="1"/>
  <c r="D602" i="8" a="1"/>
  <c r="E602" i="8" a="1"/>
  <c r="I602" i="8" a="1"/>
  <c r="H601" i="8" a="1"/>
  <c r="G601" i="8" a="1"/>
  <c r="F601" i="8" a="1"/>
  <c r="A601" i="8" a="1"/>
  <c r="D601" i="8" a="1"/>
  <c r="E601" i="8" a="1"/>
  <c r="I601" i="8" a="1"/>
  <c r="E437" i="8" a="1"/>
  <c r="I437" i="8" a="1"/>
  <c r="H436" i="8" a="1"/>
  <c r="G436" i="8" a="1"/>
  <c r="F436" i="8" a="1"/>
  <c r="A436" i="8" a="1"/>
  <c r="D436" i="8" a="1"/>
  <c r="E436" i="8" a="1"/>
  <c r="I436" i="8" a="1"/>
  <c r="H435" i="8" a="1"/>
  <c r="G435" i="8" a="1"/>
  <c r="F435" i="8" a="1"/>
  <c r="A435" i="8" a="1"/>
  <c r="D435" i="8" a="1"/>
  <c r="E435" i="8" a="1"/>
  <c r="I435" i="8" a="1"/>
  <c r="H434" i="8" a="1"/>
  <c r="G434" i="8" a="1"/>
  <c r="F434" i="8" a="1"/>
  <c r="A434" i="8" a="1"/>
  <c r="D434" i="8" a="1"/>
  <c r="E434" i="8" a="1"/>
  <c r="I434" i="8" a="1"/>
  <c r="H433" i="8" a="1"/>
  <c r="G433" i="8" a="1"/>
  <c r="F433" i="8" a="1"/>
  <c r="A433" i="8" a="1"/>
  <c r="D433" i="8" a="1"/>
  <c r="E433" i="8" a="1"/>
  <c r="I433" i="8" a="1"/>
  <c r="H432" i="8" a="1"/>
  <c r="G432" i="8" a="1"/>
  <c r="F432" i="8" a="1"/>
  <c r="A432" i="8" a="1"/>
  <c r="D432" i="8" a="1"/>
  <c r="E432" i="8" a="1"/>
  <c r="I432" i="8" a="1"/>
  <c r="H431" i="8" a="1"/>
  <c r="G431" i="8" a="1"/>
  <c r="F431" i="8" a="1"/>
  <c r="A431" i="8" a="1"/>
  <c r="D431" i="8" a="1"/>
  <c r="E431" i="8" a="1"/>
  <c r="I431" i="8" a="1"/>
  <c r="H430" i="8" a="1"/>
  <c r="G430" i="8" a="1"/>
  <c r="F430" i="8" a="1"/>
  <c r="A430" i="8" a="1"/>
  <c r="D430" i="8" a="1"/>
  <c r="E430" i="8" a="1"/>
  <c r="I430" i="8" a="1"/>
  <c r="H429" i="8" a="1"/>
  <c r="G429" i="8" a="1"/>
  <c r="F429" i="8" a="1"/>
  <c r="A429" i="8" a="1"/>
  <c r="D429" i="8" a="1"/>
  <c r="E429" i="8" a="1"/>
  <c r="I429" i="8" a="1"/>
  <c r="H428" i="8" a="1"/>
  <c r="G428" i="8" a="1"/>
  <c r="F428" i="8" a="1"/>
  <c r="A428" i="8" a="1"/>
  <c r="D428" i="8" a="1"/>
  <c r="E428" i="8" a="1"/>
  <c r="I428" i="8" a="1"/>
  <c r="H427" i="8" a="1"/>
  <c r="G427" i="8" a="1"/>
  <c r="F427" i="8" a="1"/>
  <c r="A427" i="8" a="1"/>
  <c r="D427" i="8" a="1"/>
  <c r="E427" i="8" a="1"/>
  <c r="I427" i="8" a="1"/>
  <c r="H426" i="8" a="1"/>
  <c r="G426" i="8" a="1"/>
  <c r="F426" i="8" a="1"/>
  <c r="A426" i="8" a="1"/>
  <c r="D426" i="8" a="1"/>
  <c r="E426" i="8" a="1"/>
  <c r="I426" i="8" a="1"/>
  <c r="H425" i="8" a="1"/>
  <c r="G425" i="8" a="1"/>
  <c r="F425" i="8" a="1"/>
  <c r="A425" i="8" a="1"/>
  <c r="D425" i="8" a="1"/>
  <c r="E425" i="8" a="1"/>
  <c r="I425" i="8" a="1"/>
  <c r="H424" i="8" a="1"/>
  <c r="G424" i="8" a="1"/>
  <c r="F424" i="8" a="1"/>
  <c r="A424" i="8" a="1"/>
  <c r="D424" i="8" a="1"/>
  <c r="E424" i="8" a="1"/>
  <c r="I424" i="8" a="1"/>
  <c r="H423" i="8" a="1"/>
  <c r="G423" i="8" a="1"/>
  <c r="F423" i="8" a="1"/>
  <c r="A423" i="8" a="1"/>
  <c r="D423" i="8" a="1"/>
  <c r="E423" i="8" a="1"/>
  <c r="I423" i="8" a="1"/>
  <c r="H422" i="8" a="1"/>
  <c r="G422" i="8" a="1"/>
  <c r="F422" i="8" a="1"/>
  <c r="A422" i="8" a="1"/>
  <c r="D422" i="8" a="1"/>
  <c r="E422" i="8" a="1"/>
  <c r="I422" i="8" a="1"/>
  <c r="H421" i="8" a="1"/>
  <c r="G421" i="8" a="1"/>
  <c r="F421" i="8" a="1"/>
  <c r="A421" i="8" a="1"/>
  <c r="D421" i="8" a="1"/>
  <c r="E421" i="8" a="1"/>
  <c r="I421" i="8" a="1"/>
  <c r="H420" i="8" a="1"/>
  <c r="G420" i="8" a="1"/>
  <c r="F420" i="8" a="1"/>
  <c r="A420" i="8" a="1"/>
  <c r="D420" i="8" a="1"/>
  <c r="E420" i="8" a="1"/>
  <c r="I420" i="8" a="1"/>
  <c r="H419" i="8" a="1"/>
  <c r="G419" i="8" a="1"/>
  <c r="F419" i="8" a="1"/>
  <c r="A419" i="8" a="1"/>
  <c r="D419" i="8" a="1"/>
  <c r="E419" i="8" a="1"/>
  <c r="I419" i="8" a="1"/>
  <c r="H418" i="8" a="1"/>
  <c r="G418" i="8" a="1"/>
  <c r="F418" i="8" a="1"/>
  <c r="A418" i="8" a="1"/>
  <c r="D418" i="8" a="1"/>
  <c r="E418" i="8" a="1"/>
  <c r="I418" i="8" a="1"/>
  <c r="H417" i="8" a="1"/>
  <c r="G417" i="8" a="1"/>
  <c r="F417" i="8" a="1"/>
  <c r="A417" i="8" a="1"/>
  <c r="D417" i="8" a="1"/>
  <c r="E417" i="8" a="1"/>
  <c r="I417" i="8" a="1"/>
  <c r="H416" i="8" a="1"/>
  <c r="G416" i="8" a="1"/>
  <c r="F416" i="8" a="1"/>
  <c r="A416" i="8" a="1"/>
  <c r="D416" i="8" a="1"/>
  <c r="E416" i="8" a="1"/>
  <c r="I416" i="8" a="1"/>
  <c r="H415" i="8" a="1"/>
  <c r="G415" i="8" a="1"/>
  <c r="F415" i="8" a="1"/>
  <c r="A415" i="8" a="1"/>
  <c r="D415" i="8" a="1"/>
  <c r="E415" i="8" a="1"/>
  <c r="I415" i="8" a="1"/>
  <c r="H414" i="8" a="1"/>
  <c r="G414" i="8" a="1"/>
  <c r="F414" i="8" a="1"/>
  <c r="A414" i="8" a="1"/>
  <c r="D414" i="8" a="1"/>
  <c r="E414" i="8" a="1"/>
  <c r="I414" i="8" a="1"/>
  <c r="H413" i="8" a="1"/>
  <c r="G413" i="8" a="1"/>
  <c r="F413" i="8" a="1"/>
  <c r="A413" i="8" a="1"/>
  <c r="D413" i="8" a="1"/>
  <c r="E413" i="8" a="1"/>
  <c r="I413" i="8" a="1"/>
  <c r="H412" i="8" a="1"/>
  <c r="G412" i="8" a="1"/>
  <c r="F412" i="8" a="1"/>
  <c r="A412" i="8" a="1"/>
  <c r="D412" i="8" a="1"/>
  <c r="E412" i="8" a="1"/>
  <c r="I412" i="8" a="1"/>
  <c r="H411" i="8" a="1"/>
  <c r="G411" i="8" a="1"/>
  <c r="F411" i="8" a="1"/>
  <c r="A411" i="8" a="1"/>
  <c r="D411" i="8" a="1"/>
  <c r="E411" i="8" a="1"/>
  <c r="I411" i="8" a="1"/>
  <c r="H410" i="8" a="1"/>
  <c r="G410" i="8" a="1"/>
  <c r="F410" i="8" a="1"/>
  <c r="A410" i="8" a="1"/>
  <c r="D410" i="8" a="1"/>
  <c r="E410" i="8" a="1"/>
  <c r="I410" i="8" a="1"/>
  <c r="H409" i="8" a="1"/>
  <c r="G409" i="8" a="1"/>
  <c r="F409" i="8" a="1"/>
  <c r="A409" i="8" a="1"/>
  <c r="D409" i="8" a="1"/>
  <c r="E409" i="8" a="1"/>
  <c r="I409" i="8" a="1"/>
  <c r="H408" i="8" a="1"/>
  <c r="G408" i="8" a="1"/>
  <c r="F408" i="8" a="1"/>
  <c r="A408" i="8" a="1"/>
  <c r="D408" i="8" a="1"/>
  <c r="E408" i="8" a="1"/>
  <c r="I408" i="8" a="1"/>
  <c r="H407" i="8" a="1"/>
  <c r="G407" i="8" a="1"/>
  <c r="F407" i="8" a="1"/>
  <c r="A407" i="8" a="1"/>
  <c r="D407" i="8" a="1"/>
  <c r="E407" i="8" a="1"/>
  <c r="I407" i="8" a="1"/>
  <c r="H406" i="8" a="1"/>
  <c r="G406" i="8" a="1"/>
  <c r="F406" i="8" a="1"/>
  <c r="A406" i="8" a="1"/>
  <c r="D406" i="8" a="1"/>
  <c r="E406" i="8" a="1"/>
  <c r="I406" i="8" a="1"/>
  <c r="H405" i="8" a="1"/>
  <c r="G405" i="8" a="1"/>
  <c r="F405" i="8" a="1"/>
  <c r="A405" i="8" a="1"/>
  <c r="D405" i="8" a="1"/>
  <c r="E405" i="8" a="1"/>
  <c r="I405" i="8" a="1"/>
  <c r="H404" i="8" a="1"/>
  <c r="G404" i="8" a="1"/>
  <c r="F404" i="8" a="1"/>
  <c r="A404" i="8" a="1"/>
  <c r="D404" i="8" a="1"/>
  <c r="E404" i="8" a="1"/>
  <c r="I404" i="8" a="1"/>
  <c r="H403" i="8" a="1"/>
  <c r="G403" i="8" a="1"/>
  <c r="F403" i="8" a="1"/>
  <c r="A403" i="8" a="1"/>
  <c r="D403" i="8" a="1"/>
  <c r="E403" i="8" a="1"/>
  <c r="I403" i="8" a="1"/>
  <c r="H402" i="8" a="1"/>
  <c r="G402" i="8" a="1"/>
  <c r="F402" i="8" a="1"/>
  <c r="A402" i="8" a="1"/>
  <c r="D402" i="8" a="1"/>
  <c r="E402" i="8" a="1"/>
  <c r="I402" i="8" a="1"/>
  <c r="H401" i="8" a="1"/>
  <c r="G401" i="8" a="1"/>
  <c r="F401" i="8" a="1"/>
  <c r="A401" i="8" a="1"/>
  <c r="D401" i="8" a="1"/>
  <c r="E401" i="8" a="1"/>
  <c r="I401" i="8" a="1"/>
  <c r="H400" i="8" a="1"/>
  <c r="G400" i="8" a="1"/>
  <c r="F400" i="8" a="1"/>
  <c r="A400" i="8" a="1"/>
  <c r="D400" i="8" a="1"/>
  <c r="E400" i="8" a="1"/>
  <c r="I400" i="8" a="1"/>
  <c r="H399" i="8" a="1"/>
  <c r="G399" i="8" a="1"/>
  <c r="F399" i="8" a="1"/>
  <c r="A399" i="8" a="1"/>
  <c r="D399" i="8" a="1"/>
  <c r="E399" i="8" a="1"/>
  <c r="I399" i="8" a="1"/>
  <c r="H398" i="8" a="1"/>
  <c r="G398" i="8" a="1"/>
  <c r="F398" i="8" a="1"/>
  <c r="A398" i="8" a="1"/>
  <c r="D398" i="8" a="1"/>
  <c r="E398" i="8" a="1"/>
  <c r="I398" i="8" a="1"/>
  <c r="H397" i="8" a="1"/>
  <c r="G397" i="8" a="1"/>
  <c r="F397" i="8" a="1"/>
  <c r="A397" i="8" a="1"/>
  <c r="D397" i="8" a="1"/>
  <c r="E397" i="8" a="1"/>
  <c r="I397" i="8" a="1"/>
  <c r="H396" i="8" a="1"/>
  <c r="G396" i="8" a="1"/>
  <c r="F396" i="8" a="1"/>
  <c r="A396" i="8" a="1"/>
  <c r="D396" i="8" a="1"/>
  <c r="E396" i="8" a="1"/>
  <c r="I396" i="8" a="1"/>
  <c r="H395" i="8" a="1"/>
  <c r="G395" i="8" a="1"/>
  <c r="F395" i="8" a="1"/>
  <c r="A395" i="8" a="1"/>
  <c r="D395" i="8" a="1"/>
  <c r="E395" i="8" a="1"/>
  <c r="I395" i="8" a="1"/>
  <c r="H394" i="8" a="1"/>
  <c r="G394" i="8" a="1"/>
  <c r="F394" i="8" a="1"/>
  <c r="A394" i="8" a="1"/>
  <c r="D394" i="8" a="1"/>
  <c r="E394" i="8" a="1"/>
  <c r="I394" i="8" a="1"/>
  <c r="H393" i="8" a="1"/>
  <c r="G393" i="8" a="1"/>
  <c r="F393" i="8" a="1"/>
  <c r="A393" i="8" a="1"/>
  <c r="D393" i="8" a="1"/>
  <c r="E393" i="8" a="1"/>
  <c r="I393" i="8" a="1"/>
  <c r="H392" i="8" a="1"/>
  <c r="G392" i="8" a="1"/>
  <c r="F392" i="8" a="1"/>
  <c r="A392" i="8" a="1"/>
  <c r="D392" i="8" a="1"/>
  <c r="E392" i="8" a="1"/>
  <c r="I392" i="8" a="1"/>
  <c r="H391" i="8" a="1"/>
  <c r="G391" i="8" a="1"/>
  <c r="F391" i="8" a="1"/>
  <c r="A391" i="8" a="1"/>
  <c r="D391" i="8" a="1"/>
  <c r="E391" i="8" a="1"/>
  <c r="I391" i="8" a="1"/>
  <c r="H390" i="8" a="1"/>
  <c r="G390" i="8" a="1"/>
  <c r="F390" i="8" a="1"/>
  <c r="A390" i="8" a="1"/>
  <c r="D390" i="8" a="1"/>
  <c r="E390" i="8" a="1"/>
  <c r="I390" i="8" a="1"/>
  <c r="H389" i="8" a="1"/>
  <c r="G389" i="8" a="1"/>
  <c r="F389" i="8" a="1"/>
  <c r="A389" i="8" a="1"/>
  <c r="D389" i="8" a="1"/>
  <c r="E389" i="8" a="1"/>
  <c r="I389" i="8" a="1"/>
  <c r="H388" i="8" a="1"/>
  <c r="G388" i="8" a="1"/>
  <c r="F388" i="8" a="1"/>
  <c r="A388" i="8" a="1"/>
  <c r="D388" i="8" a="1"/>
  <c r="E388" i="8" a="1"/>
  <c r="I388" i="8" a="1"/>
  <c r="H387" i="8" a="1"/>
  <c r="G387" i="8" a="1"/>
  <c r="F387" i="8" a="1"/>
  <c r="A387" i="8" a="1"/>
  <c r="D387" i="8" a="1"/>
  <c r="E387" i="8" a="1"/>
  <c r="I387" i="8" a="1"/>
  <c r="H386" i="8" a="1"/>
  <c r="G386" i="8" a="1"/>
  <c r="F386" i="8" a="1"/>
  <c r="A386" i="8" a="1"/>
  <c r="D386" i="8" a="1"/>
  <c r="E386" i="8" a="1"/>
  <c r="I386" i="8" a="1"/>
  <c r="H385" i="8" a="1"/>
  <c r="G385" i="8" a="1"/>
  <c r="F385" i="8" a="1"/>
  <c r="A385" i="8" a="1"/>
  <c r="D385" i="8" a="1"/>
  <c r="E385" i="8" a="1"/>
  <c r="I385" i="8" a="1"/>
  <c r="H384" i="8" a="1"/>
  <c r="G384" i="8" a="1"/>
  <c r="F384" i="8" a="1"/>
  <c r="A384" i="8" a="1"/>
  <c r="D384" i="8" a="1"/>
  <c r="E384" i="8" a="1"/>
  <c r="I384" i="8" a="1"/>
  <c r="H383" i="8" a="1"/>
  <c r="G383" i="8" a="1"/>
  <c r="F383" i="8" a="1"/>
  <c r="A383" i="8" a="1"/>
  <c r="D383" i="8" a="1"/>
  <c r="E383" i="8" a="1"/>
  <c r="I383" i="8" a="1"/>
  <c r="H382" i="8" a="1"/>
  <c r="G382" i="8" a="1"/>
  <c r="F382" i="8" a="1"/>
  <c r="A382" i="8" a="1"/>
  <c r="D382" i="8" a="1"/>
  <c r="E382" i="8" a="1"/>
  <c r="I382" i="8" a="1"/>
  <c r="H381" i="8" a="1"/>
  <c r="G381" i="8" a="1"/>
  <c r="F381" i="8" a="1"/>
  <c r="A381" i="8" a="1"/>
  <c r="D381" i="8" a="1"/>
  <c r="E381" i="8" a="1"/>
  <c r="I381" i="8" a="1"/>
  <c r="H380" i="8" a="1"/>
  <c r="G380" i="8" a="1"/>
  <c r="F380" i="8" a="1"/>
  <c r="A380" i="8" a="1"/>
  <c r="D380" i="8" a="1"/>
  <c r="E380" i="8" a="1"/>
  <c r="I380" i="8" a="1"/>
  <c r="H379" i="8" a="1"/>
  <c r="G379" i="8" a="1"/>
  <c r="F379" i="8" a="1"/>
  <c r="A379" i="8" a="1"/>
  <c r="D379" i="8" a="1"/>
  <c r="E379" i="8" a="1"/>
  <c r="I379" i="8" a="1"/>
  <c r="H378" i="8" a="1"/>
  <c r="G378" i="8" a="1"/>
  <c r="F378" i="8" a="1"/>
  <c r="A378" i="8" a="1"/>
  <c r="D378" i="8" a="1"/>
  <c r="E378" i="8" a="1"/>
  <c r="I378" i="8" a="1"/>
  <c r="H377" i="8" a="1"/>
  <c r="G377" i="8" a="1"/>
  <c r="F377" i="8" a="1"/>
  <c r="A377" i="8" a="1"/>
  <c r="D377" i="8" a="1"/>
  <c r="E377" i="8" a="1"/>
  <c r="I377" i="8" a="1"/>
  <c r="H376" i="8" a="1"/>
  <c r="G376" i="8" a="1"/>
  <c r="F376" i="8" a="1"/>
  <c r="A376" i="8" a="1"/>
  <c r="D376" i="8" a="1"/>
  <c r="E376" i="8" a="1"/>
  <c r="I376" i="8" a="1"/>
  <c r="H375" i="8" a="1"/>
  <c r="G375" i="8" a="1"/>
  <c r="F375" i="8" a="1"/>
  <c r="A375" i="8" a="1"/>
  <c r="D375" i="8" a="1"/>
  <c r="E375" i="8" a="1"/>
  <c r="I375" i="8" a="1"/>
  <c r="H374" i="8" a="1"/>
  <c r="G374" i="8" a="1"/>
  <c r="F374" i="8" a="1"/>
  <c r="A374" i="8" a="1"/>
  <c r="D374" i="8" a="1"/>
  <c r="E374" i="8" a="1"/>
  <c r="I374" i="8" a="1"/>
  <c r="H373" i="8" a="1"/>
  <c r="G373" i="8" a="1"/>
  <c r="F373" i="8" a="1"/>
  <c r="A373" i="8" a="1"/>
  <c r="D373" i="8" a="1"/>
  <c r="E373" i="8" a="1"/>
  <c r="I373" i="8" a="1"/>
  <c r="H372" i="8" a="1"/>
  <c r="G372" i="8" a="1"/>
  <c r="F372" i="8" a="1"/>
  <c r="A372" i="8" a="1"/>
  <c r="D372" i="8" a="1"/>
  <c r="E372" i="8" a="1"/>
  <c r="I372" i="8" a="1"/>
  <c r="H371" i="8" a="1"/>
  <c r="G371" i="8" a="1"/>
  <c r="F371" i="8" a="1"/>
  <c r="A371" i="8" a="1"/>
  <c r="D371" i="8" a="1"/>
  <c r="E371" i="8" a="1"/>
  <c r="I371" i="8" a="1"/>
  <c r="H370" i="8" a="1"/>
  <c r="G370" i="8" a="1"/>
  <c r="F370" i="8" a="1"/>
  <c r="A370" i="8" a="1"/>
  <c r="D370" i="8" a="1"/>
  <c r="E370" i="8" a="1"/>
  <c r="I370" i="8" a="1"/>
  <c r="H369" i="8" a="1"/>
  <c r="G369" i="8" a="1"/>
  <c r="F369" i="8" a="1"/>
  <c r="A369" i="8" a="1"/>
  <c r="D369" i="8" a="1"/>
  <c r="E369" i="8" a="1"/>
  <c r="I369" i="8" a="1"/>
  <c r="H368" i="8" a="1"/>
  <c r="G368" i="8" a="1"/>
  <c r="F368" i="8" a="1"/>
  <c r="A368" i="8" a="1"/>
  <c r="D368" i="8" a="1"/>
  <c r="E368" i="8" a="1"/>
  <c r="I368" i="8" a="1"/>
  <c r="H367" i="8" a="1"/>
  <c r="G367" i="8" a="1"/>
  <c r="F367" i="8" a="1"/>
  <c r="A367" i="8" a="1"/>
  <c r="D367" i="8" a="1"/>
  <c r="E367" i="8" a="1"/>
  <c r="I367" i="8" a="1"/>
  <c r="H366" i="8" a="1"/>
  <c r="G366" i="8" a="1"/>
  <c r="F366" i="8" a="1"/>
  <c r="A366" i="8" a="1"/>
  <c r="D366" i="8" a="1"/>
  <c r="E366" i="8" a="1"/>
  <c r="I366" i="8" a="1"/>
  <c r="H365" i="8" a="1"/>
  <c r="G365" i="8" a="1"/>
  <c r="F365" i="8" a="1"/>
  <c r="A365" i="8" a="1"/>
  <c r="D365" i="8" a="1"/>
  <c r="E365" i="8" a="1"/>
  <c r="I365" i="8" a="1"/>
  <c r="H364" i="8" a="1"/>
  <c r="G364" i="8" a="1"/>
  <c r="F364" i="8" a="1"/>
  <c r="A364" i="8" a="1"/>
  <c r="D364" i="8" a="1"/>
  <c r="E364" i="8" a="1"/>
  <c r="I364" i="8" a="1"/>
  <c r="H363" i="8" a="1"/>
  <c r="G363" i="8" a="1"/>
  <c r="F363" i="8" a="1"/>
  <c r="A363" i="8" a="1"/>
  <c r="D363" i="8" a="1"/>
  <c r="E363" i="8" a="1"/>
  <c r="I363" i="8" a="1"/>
  <c r="H362" i="8" a="1"/>
  <c r="G362" i="8" a="1"/>
  <c r="F362" i="8" a="1"/>
  <c r="A362" i="8" a="1"/>
  <c r="D362" i="8" a="1"/>
  <c r="E362" i="8" a="1"/>
  <c r="I362" i="8" a="1"/>
  <c r="H361" i="8" a="1"/>
  <c r="G361" i="8" a="1"/>
  <c r="F361" i="8" a="1"/>
  <c r="A361" i="8" a="1"/>
  <c r="D361" i="8" a="1"/>
  <c r="E361" i="8" a="1"/>
  <c r="I361" i="8" a="1"/>
  <c r="H360" i="8" a="1"/>
  <c r="G360" i="8" a="1"/>
  <c r="F360" i="8" a="1"/>
  <c r="A360" i="8" a="1"/>
  <c r="D360" i="8" a="1"/>
  <c r="E360" i="8" a="1"/>
  <c r="I360" i="8" a="1"/>
  <c r="H359" i="8" a="1"/>
  <c r="G359" i="8" a="1"/>
  <c r="F359" i="8" a="1"/>
  <c r="A359" i="8" a="1"/>
  <c r="D359" i="8" a="1"/>
  <c r="E359" i="8" a="1"/>
  <c r="I359" i="8" a="1"/>
  <c r="H358" i="8" a="1"/>
  <c r="G358" i="8" a="1"/>
  <c r="F358" i="8" a="1"/>
  <c r="A358" i="8" a="1"/>
  <c r="D358" i="8" a="1"/>
  <c r="E358" i="8" a="1"/>
  <c r="I358" i="8" a="1"/>
  <c r="H357" i="8" a="1"/>
  <c r="G357" i="8" a="1"/>
  <c r="F357" i="8" a="1"/>
  <c r="A357" i="8" a="1"/>
  <c r="D357" i="8" a="1"/>
  <c r="E357" i="8" a="1"/>
  <c r="I357" i="8" a="1"/>
  <c r="H356" i="8" a="1"/>
  <c r="G356" i="8" a="1"/>
  <c r="F356" i="8" a="1"/>
  <c r="A356" i="8" a="1"/>
  <c r="D356" i="8" a="1"/>
  <c r="E356" i="8" a="1"/>
  <c r="I356" i="8" a="1"/>
  <c r="H355" i="8" a="1"/>
  <c r="G355" i="8" a="1"/>
  <c r="F355" i="8" a="1"/>
  <c r="A355" i="8" a="1"/>
  <c r="D355" i="8" a="1"/>
  <c r="E355" i="8" a="1"/>
  <c r="I355" i="8" a="1"/>
  <c r="H354" i="8" a="1"/>
  <c r="G354" i="8" a="1"/>
  <c r="F354" i="8" a="1"/>
  <c r="A354" i="8" a="1"/>
  <c r="D354" i="8" a="1"/>
  <c r="E354" i="8" a="1"/>
  <c r="I354" i="8" a="1"/>
  <c r="H353" i="8" a="1"/>
  <c r="G353" i="8" a="1"/>
  <c r="F353" i="8" a="1"/>
  <c r="A353" i="8" a="1"/>
  <c r="D353" i="8" a="1"/>
  <c r="E353" i="8" a="1"/>
  <c r="I353" i="8" a="1"/>
  <c r="H352" i="8" a="1"/>
  <c r="G352" i="8" a="1"/>
  <c r="F352" i="8" a="1"/>
  <c r="A352" i="8" a="1"/>
  <c r="D352" i="8" a="1"/>
  <c r="E352" i="8" a="1"/>
  <c r="I352" i="8" a="1"/>
  <c r="H351" i="8" a="1"/>
  <c r="G351" i="8" a="1"/>
  <c r="F351" i="8" a="1"/>
  <c r="A351" i="8" a="1"/>
  <c r="D351" i="8" a="1"/>
  <c r="E351" i="8" a="1"/>
  <c r="I351" i="8" a="1"/>
  <c r="H350" i="8" a="1"/>
  <c r="G350" i="8" a="1"/>
  <c r="F350" i="8" a="1"/>
  <c r="A350" i="8" a="1"/>
  <c r="D350" i="8" a="1"/>
  <c r="E350" i="8" a="1"/>
  <c r="I350" i="8" a="1"/>
  <c r="H349" i="8" a="1"/>
  <c r="G349" i="8" a="1"/>
  <c r="F349" i="8" a="1"/>
  <c r="A349" i="8" a="1"/>
  <c r="D349" i="8" a="1"/>
  <c r="E349" i="8" a="1"/>
  <c r="I349" i="8" a="1"/>
  <c r="H348" i="8" a="1"/>
  <c r="G348" i="8" a="1"/>
  <c r="F348" i="8" a="1"/>
  <c r="A348" i="8" a="1"/>
  <c r="D348" i="8" a="1"/>
  <c r="E348" i="8" a="1"/>
  <c r="I348" i="8" a="1"/>
  <c r="H347" i="8" a="1"/>
  <c r="G347" i="8" a="1"/>
  <c r="F347" i="8" a="1"/>
  <c r="A347" i="8" a="1"/>
  <c r="D347" i="8" a="1"/>
  <c r="E347" i="8" a="1"/>
  <c r="I347" i="8" a="1"/>
  <c r="H346" i="8" a="1"/>
  <c r="G346" i="8" a="1"/>
  <c r="F346" i="8" a="1"/>
  <c r="A346" i="8" a="1"/>
  <c r="D346" i="8" a="1"/>
  <c r="E346" i="8" a="1"/>
  <c r="I346" i="8" a="1"/>
  <c r="H345" i="8" a="1"/>
  <c r="G345" i="8" a="1"/>
  <c r="F345" i="8" a="1"/>
  <c r="A345" i="8" a="1"/>
  <c r="D345" i="8" a="1"/>
  <c r="E345" i="8" a="1"/>
  <c r="I345" i="8" a="1"/>
  <c r="H344" i="8" a="1"/>
  <c r="G344" i="8" a="1"/>
  <c r="F344" i="8" a="1"/>
  <c r="A344" i="8" a="1"/>
  <c r="D344" i="8" a="1"/>
  <c r="E344" i="8" a="1"/>
  <c r="I344" i="8" a="1"/>
  <c r="H343" i="8" a="1"/>
  <c r="G343" i="8" a="1"/>
  <c r="F343" i="8" a="1"/>
  <c r="A343" i="8" a="1"/>
  <c r="D343" i="8" a="1"/>
  <c r="E343" i="8" a="1"/>
  <c r="I343" i="8" a="1"/>
  <c r="H342" i="8" a="1"/>
  <c r="G342" i="8" a="1"/>
  <c r="F342" i="8" a="1"/>
  <c r="A342" i="8" a="1"/>
  <c r="D342" i="8" a="1"/>
  <c r="E342" i="8" a="1"/>
  <c r="I342" i="8" a="1"/>
  <c r="H341" i="8" a="1"/>
  <c r="G341" i="8" a="1"/>
  <c r="F341" i="8" a="1"/>
  <c r="A341" i="8" a="1"/>
  <c r="D341" i="8" a="1"/>
  <c r="E341" i="8" a="1"/>
  <c r="I341" i="8" a="1"/>
  <c r="H340" i="8" a="1"/>
  <c r="G340" i="8" a="1"/>
  <c r="F340" i="8" a="1"/>
  <c r="A340" i="8" a="1"/>
  <c r="D340" i="8" a="1"/>
  <c r="E340" i="8" a="1"/>
  <c r="I340" i="8" a="1"/>
  <c r="H339" i="8" a="1"/>
  <c r="G339" i="8" a="1"/>
  <c r="F339" i="8" a="1"/>
  <c r="A339" i="8" a="1"/>
  <c r="D339" i="8" a="1"/>
  <c r="E339" i="8" a="1"/>
  <c r="I339" i="8" a="1"/>
  <c r="H338" i="8" a="1"/>
  <c r="G338" i="8" a="1"/>
  <c r="F338" i="8" a="1"/>
  <c r="A338" i="8" a="1"/>
  <c r="D338" i="8" a="1"/>
  <c r="E338" i="8" a="1"/>
  <c r="I338" i="8" a="1"/>
  <c r="H337" i="8" a="1"/>
  <c r="G337" i="8" a="1"/>
  <c r="F337" i="8" a="1"/>
  <c r="A337" i="8" a="1"/>
  <c r="D337" i="8" a="1"/>
  <c r="E337" i="8" a="1"/>
  <c r="I337" i="8" a="1"/>
  <c r="H336" i="8" a="1"/>
  <c r="G336" i="8" a="1"/>
  <c r="F336" i="8" a="1"/>
  <c r="A336" i="8" a="1"/>
  <c r="D336" i="8" a="1"/>
  <c r="E336" i="8" a="1"/>
  <c r="I336" i="8" a="1"/>
  <c r="H335" i="8" a="1"/>
  <c r="G335" i="8" a="1"/>
  <c r="F335" i="8" a="1"/>
  <c r="A335" i="8" a="1"/>
  <c r="D335" i="8" a="1"/>
  <c r="E335" i="8" a="1"/>
  <c r="I335" i="8" a="1"/>
  <c r="H334" i="8" a="1"/>
  <c r="G334" i="8" a="1"/>
  <c r="F334" i="8" a="1"/>
  <c r="A334" i="8" a="1"/>
  <c r="D334" i="8" a="1"/>
  <c r="E334" i="8" a="1"/>
  <c r="I334" i="8" a="1"/>
  <c r="H333" i="8" a="1"/>
  <c r="G333" i="8" a="1"/>
  <c r="F333" i="8" a="1"/>
  <c r="A333" i="8" a="1"/>
  <c r="D333" i="8" a="1"/>
  <c r="E333" i="8" a="1"/>
  <c r="I333" i="8" a="1"/>
  <c r="H332" i="8" a="1"/>
  <c r="G332" i="8" a="1"/>
  <c r="F332" i="8" a="1"/>
  <c r="A332" i="8" a="1"/>
  <c r="D332" i="8" a="1"/>
  <c r="E332" i="8" a="1"/>
  <c r="I332" i="8" a="1"/>
  <c r="H331" i="8" a="1"/>
  <c r="G331" i="8" a="1"/>
  <c r="F331" i="8" a="1"/>
  <c r="A331" i="8" a="1"/>
  <c r="D331" i="8" a="1"/>
  <c r="E331" i="8" a="1"/>
  <c r="I331" i="8" a="1"/>
  <c r="H330" i="8" a="1"/>
  <c r="G330" i="8" a="1"/>
  <c r="F330" i="8" a="1"/>
  <c r="A330" i="8" a="1"/>
  <c r="D330" i="8" a="1"/>
  <c r="E330" i="8" a="1"/>
  <c r="I330" i="8" a="1"/>
  <c r="H329" i="8" a="1"/>
  <c r="G329" i="8" a="1"/>
  <c r="F329" i="8" a="1"/>
  <c r="A329" i="8" a="1"/>
  <c r="D329" i="8" a="1"/>
  <c r="E329" i="8" a="1"/>
  <c r="I329" i="8" a="1"/>
  <c r="H328" i="8" a="1"/>
  <c r="G328" i="8" a="1"/>
  <c r="F328" i="8" a="1"/>
  <c r="A328" i="8" a="1"/>
  <c r="D328" i="8" a="1"/>
  <c r="E328" i="8" a="1"/>
  <c r="I328" i="8" a="1"/>
  <c r="H327" i="8" a="1"/>
  <c r="G327" i="8" a="1"/>
  <c r="F327" i="8" a="1"/>
  <c r="A327" i="8" a="1"/>
  <c r="D327" i="8" a="1"/>
  <c r="E327" i="8" a="1"/>
  <c r="I327" i="8" a="1"/>
  <c r="H326" i="8" a="1"/>
  <c r="G326" i="8" a="1"/>
  <c r="F326" i="8" a="1"/>
  <c r="A326" i="8" a="1"/>
  <c r="D326" i="8" a="1"/>
  <c r="E326" i="8" a="1"/>
  <c r="I326" i="8" a="1"/>
  <c r="H325" i="8" a="1"/>
  <c r="G325" i="8" a="1"/>
  <c r="F325" i="8" a="1"/>
  <c r="A325" i="8" a="1"/>
  <c r="D325" i="8" a="1"/>
  <c r="E325" i="8" a="1"/>
  <c r="I325" i="8" a="1"/>
  <c r="H324" i="8" a="1"/>
  <c r="G324" i="8" a="1"/>
  <c r="F324" i="8" a="1"/>
  <c r="A324" i="8" a="1"/>
  <c r="D324" i="8" a="1"/>
  <c r="E324" i="8" a="1"/>
  <c r="I324" i="8" a="1"/>
  <c r="H323" i="8" a="1"/>
  <c r="G323" i="8" a="1"/>
  <c r="F323" i="8" a="1"/>
  <c r="A323" i="8" a="1"/>
  <c r="D323" i="8" a="1"/>
  <c r="E323" i="8" a="1"/>
  <c r="I323" i="8" a="1"/>
  <c r="H322" i="8" a="1"/>
  <c r="G322" i="8" a="1"/>
  <c r="F322" i="8" a="1"/>
  <c r="A322" i="8" a="1"/>
  <c r="D322" i="8" a="1"/>
  <c r="E322" i="8" a="1"/>
  <c r="I322" i="8" a="1"/>
  <c r="H321" i="8" a="1"/>
  <c r="G321" i="8" a="1"/>
  <c r="F321" i="8" a="1"/>
  <c r="A321" i="8" a="1"/>
  <c r="D321" i="8" a="1"/>
  <c r="E321" i="8" a="1"/>
  <c r="I321" i="8" a="1"/>
  <c r="H320" i="8" a="1"/>
  <c r="G320" i="8" a="1"/>
  <c r="F320" i="8" a="1"/>
  <c r="A320" i="8" a="1"/>
  <c r="D320" i="8" a="1"/>
  <c r="E320" i="8" a="1"/>
  <c r="I320" i="8" a="1"/>
  <c r="H319" i="8" a="1"/>
  <c r="G319" i="8" a="1"/>
  <c r="F319" i="8" a="1"/>
  <c r="A319" i="8" a="1"/>
  <c r="D319" i="8" a="1"/>
  <c r="E319" i="8" a="1"/>
  <c r="I319" i="8" a="1"/>
  <c r="H318" i="8" a="1"/>
  <c r="G318" i="8" a="1"/>
  <c r="F318" i="8" a="1"/>
  <c r="A318" i="8" a="1"/>
  <c r="D318" i="8" a="1"/>
  <c r="E318" i="8" a="1"/>
  <c r="I318" i="8" a="1"/>
  <c r="H317" i="8" a="1"/>
  <c r="G317" i="8" a="1"/>
  <c r="F317" i="8" a="1"/>
  <c r="A317" i="8" a="1"/>
  <c r="D317" i="8" a="1"/>
  <c r="E317" i="8" a="1"/>
  <c r="I317" i="8" a="1"/>
  <c r="H316" i="8" a="1"/>
  <c r="G316" i="8" a="1"/>
  <c r="F316" i="8" a="1"/>
  <c r="A316" i="8" a="1"/>
  <c r="D316" i="8" a="1"/>
  <c r="E316" i="8" a="1"/>
  <c r="I316" i="8" a="1"/>
  <c r="H315" i="8" a="1"/>
  <c r="G315" i="8" a="1"/>
  <c r="F315" i="8" a="1"/>
  <c r="A315" i="8" a="1"/>
  <c r="D315" i="8" a="1"/>
  <c r="E315" i="8" a="1"/>
  <c r="I315" i="8" a="1"/>
  <c r="H314" i="8" a="1"/>
  <c r="G314" i="8" a="1"/>
  <c r="F314" i="8" a="1"/>
  <c r="A314" i="8" a="1"/>
  <c r="D314" i="8" a="1"/>
  <c r="E314" i="8" a="1"/>
  <c r="I314" i="8" a="1"/>
  <c r="H313" i="8" a="1"/>
  <c r="G313" i="8" a="1"/>
  <c r="F313" i="8" a="1"/>
  <c r="A313" i="8" a="1"/>
  <c r="D313" i="8" a="1"/>
  <c r="E313" i="8" a="1"/>
  <c r="I313" i="8" a="1"/>
  <c r="H312" i="8" a="1"/>
  <c r="G312" i="8" a="1"/>
  <c r="F312" i="8" a="1"/>
  <c r="A312" i="8" a="1"/>
  <c r="D312" i="8" a="1"/>
  <c r="E312" i="8" a="1"/>
  <c r="I312" i="8" a="1"/>
  <c r="H311" i="8" a="1"/>
  <c r="G311" i="8" a="1"/>
  <c r="F311" i="8" a="1"/>
  <c r="A311" i="8" a="1"/>
  <c r="D311" i="8" a="1"/>
  <c r="E311" i="8" a="1"/>
  <c r="I311" i="8" a="1"/>
  <c r="H310" i="8" a="1"/>
  <c r="G310" i="8" a="1"/>
  <c r="F310" i="8" a="1"/>
  <c r="A310" i="8" a="1"/>
  <c r="D310" i="8" a="1"/>
  <c r="E310" i="8" a="1"/>
  <c r="I310" i="8" a="1"/>
  <c r="H309" i="8" a="1"/>
  <c r="G309" i="8" a="1"/>
  <c r="F309" i="8" a="1"/>
  <c r="A309" i="8" a="1"/>
  <c r="D309" i="8" a="1"/>
  <c r="E309" i="8" a="1"/>
  <c r="I309" i="8" a="1"/>
  <c r="H308" i="8" a="1"/>
  <c r="G308" i="8" a="1"/>
  <c r="F308" i="8" a="1"/>
  <c r="A308" i="8" a="1"/>
  <c r="D308" i="8" a="1"/>
  <c r="E308" i="8" a="1"/>
  <c r="I308" i="8" a="1"/>
  <c r="H307" i="8" a="1"/>
  <c r="G307" i="8" a="1"/>
  <c r="F307" i="8" a="1"/>
  <c r="A307" i="8" a="1"/>
  <c r="D307" i="8" a="1"/>
  <c r="E307" i="8" a="1"/>
  <c r="I307" i="8" a="1"/>
  <c r="H306" i="8" a="1"/>
  <c r="G306" i="8" a="1"/>
  <c r="F306" i="8" a="1"/>
  <c r="A306" i="8" a="1"/>
  <c r="D306" i="8" a="1"/>
  <c r="E306" i="8" a="1"/>
  <c r="I306" i="8" a="1"/>
  <c r="H305" i="8" a="1"/>
  <c r="G305" i="8" a="1"/>
  <c r="F305" i="8" a="1"/>
  <c r="A305" i="8" a="1"/>
  <c r="D305" i="8" a="1"/>
  <c r="E305" i="8" a="1"/>
  <c r="I305" i="8" a="1"/>
  <c r="H304" i="8" a="1"/>
  <c r="F149" i="8" a="1"/>
  <c r="A149" i="8" a="1"/>
  <c r="D149" i="8" a="1"/>
  <c r="E149" i="8" a="1"/>
  <c r="I149" i="8" a="1"/>
  <c r="H148" i="8" a="1"/>
  <c r="G148" i="8" a="1"/>
  <c r="F148" i="8" a="1"/>
  <c r="A148" i="8" a="1"/>
  <c r="D148" i="8" a="1"/>
  <c r="E148" i="8" a="1"/>
  <c r="I148" i="8" a="1"/>
  <c r="H147" i="8" a="1"/>
  <c r="G147" i="8" a="1"/>
  <c r="F147" i="8" a="1"/>
  <c r="A147" i="8" a="1"/>
  <c r="D147" i="8" a="1"/>
  <c r="E147" i="8" a="1"/>
  <c r="I147" i="8" a="1"/>
  <c r="H146" i="8" a="1"/>
  <c r="G146" i="8" a="1"/>
  <c r="F146" i="8" a="1"/>
  <c r="A146" i="8" a="1"/>
  <c r="D146" i="8" a="1"/>
  <c r="E146" i="8" a="1"/>
  <c r="I146" i="8" a="1"/>
  <c r="H145" i="8" a="1"/>
  <c r="G145" i="8" a="1"/>
  <c r="F145" i="8" a="1"/>
  <c r="A145" i="8" a="1"/>
  <c r="D145" i="8" a="1"/>
  <c r="E145" i="8" a="1"/>
  <c r="I145" i="8" a="1"/>
  <c r="H144" i="8" a="1"/>
  <c r="G144" i="8" a="1"/>
  <c r="F144" i="8" a="1"/>
  <c r="A144" i="8" a="1"/>
  <c r="D144" i="8" a="1"/>
  <c r="E144" i="8" a="1"/>
  <c r="I144" i="8" a="1"/>
  <c r="H143" i="8" a="1"/>
  <c r="G143" i="8" a="1"/>
  <c r="F143" i="8" a="1"/>
  <c r="A143" i="8" a="1"/>
  <c r="D143" i="8" a="1"/>
  <c r="E143" i="8" a="1"/>
  <c r="I143" i="8" a="1"/>
  <c r="H142" i="8" a="1"/>
  <c r="G142" i="8" a="1"/>
  <c r="F142" i="8" a="1"/>
  <c r="A142" i="8" a="1"/>
  <c r="D142" i="8" a="1"/>
  <c r="E142" i="8" a="1"/>
  <c r="I142" i="8" a="1"/>
  <c r="H141" i="8" a="1"/>
  <c r="G141" i="8" a="1"/>
  <c r="F141" i="8" a="1"/>
  <c r="A141" i="8" a="1"/>
  <c r="D141" i="8" a="1"/>
  <c r="E141" i="8" a="1"/>
  <c r="I141" i="8" a="1"/>
  <c r="H140" i="8" a="1"/>
  <c r="G140" i="8" a="1"/>
  <c r="F140" i="8" a="1"/>
  <c r="A140" i="8" a="1"/>
  <c r="D140" i="8" a="1"/>
  <c r="E140" i="8" a="1"/>
  <c r="I140" i="8" a="1"/>
  <c r="H139" i="8" a="1"/>
  <c r="G139" i="8" a="1"/>
  <c r="F139" i="8" a="1"/>
  <c r="A139" i="8" a="1"/>
  <c r="D139" i="8" a="1"/>
  <c r="E139" i="8" a="1"/>
  <c r="I139" i="8" a="1"/>
  <c r="H138" i="8" a="1"/>
  <c r="G138" i="8" a="1"/>
  <c r="F138" i="8" a="1"/>
  <c r="A138" i="8" a="1"/>
  <c r="D138" i="8" a="1"/>
  <c r="E138" i="8" a="1"/>
  <c r="I138" i="8" a="1"/>
  <c r="H137" i="8" a="1"/>
  <c r="G137" i="8" a="1"/>
  <c r="F137" i="8" a="1"/>
  <c r="A137" i="8" a="1"/>
  <c r="D137" i="8" a="1"/>
  <c r="E137" i="8" a="1"/>
  <c r="I137" i="8" a="1"/>
  <c r="H136" i="8" a="1"/>
  <c r="G136" i="8" a="1"/>
  <c r="F136" i="8" a="1"/>
  <c r="A136" i="8" a="1"/>
  <c r="D136" i="8" a="1"/>
  <c r="E136" i="8" a="1"/>
  <c r="I136" i="8" a="1"/>
  <c r="H135" i="8" a="1"/>
  <c r="G135" i="8" a="1"/>
  <c r="F135" i="8" a="1"/>
  <c r="A135" i="8" a="1"/>
  <c r="D135" i="8" a="1"/>
  <c r="E135" i="8" a="1"/>
  <c r="I135" i="8" a="1"/>
  <c r="H134" i="8" a="1"/>
  <c r="G134" i="8" a="1"/>
  <c r="F134" i="8" a="1"/>
  <c r="A134" i="8" a="1"/>
  <c r="D134" i="8" a="1"/>
  <c r="E134" i="8" a="1"/>
  <c r="I134" i="8" a="1"/>
  <c r="H133" i="8" a="1"/>
  <c r="G133" i="8" a="1"/>
  <c r="F133" i="8" a="1"/>
  <c r="A133" i="8" a="1"/>
  <c r="D133" i="8" a="1"/>
  <c r="E133" i="8" a="1"/>
  <c r="I133" i="8" a="1"/>
  <c r="H132" i="8" a="1"/>
  <c r="G132" i="8" a="1"/>
  <c r="F132" i="8" a="1"/>
  <c r="A132" i="8" a="1"/>
  <c r="D132" i="8" a="1"/>
  <c r="E132" i="8" a="1"/>
  <c r="I132" i="8" a="1"/>
  <c r="H131" i="8" a="1"/>
  <c r="G131" i="8" a="1"/>
  <c r="F131" i="8" a="1"/>
  <c r="A131" i="8" a="1"/>
  <c r="D131" i="8" a="1"/>
  <c r="E131" i="8" a="1"/>
  <c r="I131" i="8" a="1"/>
  <c r="H130" i="8" a="1"/>
  <c r="G130" i="8" a="1"/>
  <c r="F130" i="8" a="1"/>
  <c r="A130" i="8" a="1"/>
  <c r="D130" i="8" a="1"/>
  <c r="E130" i="8" a="1"/>
  <c r="I130" i="8" a="1"/>
  <c r="H129" i="8" a="1"/>
  <c r="G129" i="8" a="1"/>
  <c r="F129" i="8" a="1"/>
  <c r="A129" i="8" a="1"/>
  <c r="D129" i="8" a="1"/>
  <c r="E129" i="8" a="1"/>
  <c r="I129" i="8" a="1"/>
  <c r="H128" i="8" a="1"/>
  <c r="G128" i="8" a="1"/>
  <c r="F128" i="8" a="1"/>
  <c r="A128" i="8" a="1"/>
  <c r="D128" i="8" a="1"/>
  <c r="E128" i="8" a="1"/>
  <c r="I128" i="8" a="1"/>
  <c r="H127" i="8" a="1"/>
  <c r="G127" i="8" a="1"/>
  <c r="F127" i="8" a="1"/>
  <c r="A127" i="8" a="1"/>
  <c r="D127" i="8" a="1"/>
  <c r="E127" i="8" a="1"/>
  <c r="I127" i="8" a="1"/>
  <c r="H126" i="8" a="1"/>
  <c r="G126" i="8" a="1"/>
  <c r="F126" i="8" a="1"/>
  <c r="A126" i="8" a="1"/>
  <c r="D126" i="8" a="1"/>
  <c r="E126" i="8" a="1"/>
  <c r="I126" i="8" a="1"/>
  <c r="H125" i="8" a="1"/>
  <c r="G125" i="8" a="1"/>
  <c r="F125" i="8" a="1"/>
  <c r="A125" i="8" a="1"/>
  <c r="D125" i="8" a="1"/>
  <c r="E125" i="8" a="1"/>
  <c r="I125" i="8" a="1"/>
  <c r="H124" i="8" a="1"/>
  <c r="G124" i="8" a="1"/>
  <c r="F124" i="8" a="1"/>
  <c r="A124" i="8" a="1"/>
  <c r="D124" i="8" a="1"/>
  <c r="E124" i="8" a="1"/>
  <c r="I124" i="8" a="1"/>
  <c r="H123" i="8" a="1"/>
  <c r="G123" i="8" a="1"/>
  <c r="F123" i="8" a="1"/>
  <c r="A123" i="8" a="1"/>
  <c r="D123" i="8" a="1"/>
  <c r="E123" i="8" a="1"/>
  <c r="I123" i="8" a="1"/>
  <c r="H122" i="8" a="1"/>
  <c r="G122" i="8" a="1"/>
  <c r="F122" i="8" a="1"/>
  <c r="A122" i="8" a="1"/>
  <c r="D122" i="8" a="1"/>
  <c r="E122" i="8" a="1"/>
  <c r="I122" i="8" a="1"/>
  <c r="H121" i="8" a="1"/>
  <c r="G121" i="8" a="1"/>
  <c r="F121" i="8" a="1"/>
  <c r="A121" i="8" a="1"/>
  <c r="D121" i="8" a="1"/>
  <c r="E121" i="8" a="1"/>
  <c r="I121" i="8" a="1"/>
  <c r="H120" i="8" a="1"/>
  <c r="G120" i="8" a="1"/>
  <c r="F120" i="8" a="1"/>
  <c r="A120" i="8" a="1"/>
  <c r="D120" i="8" a="1"/>
  <c r="E120" i="8" a="1"/>
  <c r="I120" i="8" a="1"/>
  <c r="H119" i="8" a="1"/>
  <c r="G119" i="8" a="1"/>
  <c r="F119" i="8" a="1"/>
  <c r="A119" i="8" a="1"/>
  <c r="D119" i="8" a="1"/>
  <c r="E119" i="8" a="1"/>
  <c r="I119" i="8" a="1"/>
  <c r="H118" i="8" a="1"/>
  <c r="G118" i="8" a="1"/>
  <c r="F118" i="8" a="1"/>
  <c r="A118" i="8" a="1"/>
  <c r="D118" i="8" a="1"/>
  <c r="E118" i="8" a="1"/>
  <c r="I118" i="8" a="1"/>
  <c r="H117" i="8" a="1"/>
  <c r="G117" i="8" a="1"/>
  <c r="F117" i="8" a="1"/>
  <c r="A117" i="8" a="1"/>
  <c r="D117" i="8" a="1"/>
  <c r="E117" i="8" a="1"/>
  <c r="I117" i="8" a="1"/>
  <c r="H116" i="8" a="1"/>
  <c r="G116" i="8" a="1"/>
  <c r="F116" i="8" a="1"/>
  <c r="A116" i="8" a="1"/>
  <c r="D116" i="8" a="1"/>
  <c r="E116" i="8" a="1"/>
  <c r="I116" i="8" a="1"/>
  <c r="H115" i="8" a="1"/>
  <c r="G115" i="8" a="1"/>
  <c r="F115" i="8" a="1"/>
  <c r="A115" i="8" a="1"/>
  <c r="D115" i="8" a="1"/>
  <c r="E115" i="8" a="1"/>
  <c r="I115" i="8" a="1"/>
  <c r="H114" i="8" a="1"/>
  <c r="G114" i="8" a="1"/>
  <c r="F114" i="8" a="1"/>
  <c r="A114" i="8" a="1"/>
  <c r="D114" i="8" a="1"/>
  <c r="E114" i="8" a="1"/>
  <c r="I114" i="8" a="1"/>
  <c r="H113" i="8" a="1"/>
  <c r="G113" i="8" a="1"/>
  <c r="F113" i="8" a="1"/>
  <c r="A113" i="8" a="1"/>
  <c r="D113" i="8" a="1"/>
  <c r="E113" i="8" a="1"/>
  <c r="I113" i="8" a="1"/>
  <c r="H112" i="8" a="1"/>
  <c r="G112" i="8" a="1"/>
  <c r="F112" i="8" a="1"/>
  <c r="A112" i="8" a="1"/>
  <c r="D112" i="8" a="1"/>
  <c r="E112" i="8" a="1"/>
  <c r="I112" i="8" a="1"/>
  <c r="H111" i="8" a="1"/>
  <c r="G111" i="8" a="1"/>
  <c r="F111" i="8" a="1"/>
  <c r="A111" i="8" a="1"/>
  <c r="D111" i="8" a="1"/>
  <c r="E111" i="8" a="1"/>
  <c r="I111" i="8" a="1"/>
  <c r="H110" i="8" a="1"/>
  <c r="G110" i="8" a="1"/>
  <c r="F110" i="8" a="1"/>
  <c r="A110" i="8" a="1"/>
  <c r="D110" i="8" a="1"/>
  <c r="E110" i="8" a="1"/>
  <c r="I110" i="8" a="1"/>
  <c r="H109" i="8" a="1"/>
  <c r="G109" i="8" a="1"/>
  <c r="F109" i="8" a="1"/>
  <c r="A109" i="8" a="1"/>
  <c r="D109" i="8" a="1"/>
  <c r="E109" i="8" a="1"/>
  <c r="I109" i="8" a="1"/>
  <c r="H108" i="8" a="1"/>
  <c r="G108" i="8" a="1"/>
  <c r="F108" i="8" a="1"/>
  <c r="A108" i="8" a="1"/>
  <c r="D108" i="8" a="1"/>
  <c r="E108" i="8" a="1"/>
  <c r="I108" i="8" a="1"/>
  <c r="H107" i="8" a="1"/>
  <c r="G107" i="8" a="1"/>
  <c r="F107" i="8" a="1"/>
  <c r="A107" i="8" a="1"/>
  <c r="D107" i="8" a="1"/>
  <c r="E107" i="8" a="1"/>
  <c r="I107" i="8" a="1"/>
  <c r="H106" i="8" a="1"/>
  <c r="G106" i="8" a="1"/>
  <c r="F106" i="8" a="1"/>
  <c r="A106" i="8" a="1"/>
  <c r="D106" i="8" a="1"/>
  <c r="E106" i="8" a="1"/>
  <c r="I106" i="8" a="1"/>
  <c r="H105" i="8" a="1"/>
  <c r="G105" i="8" a="1"/>
  <c r="F105" i="8" a="1"/>
  <c r="A105" i="8" a="1"/>
  <c r="D105" i="8" a="1"/>
  <c r="E105" i="8" a="1"/>
  <c r="I105" i="8" a="1"/>
  <c r="H104" i="8" a="1"/>
  <c r="G104" i="8" a="1"/>
  <c r="F104" i="8" a="1"/>
  <c r="A104" i="8" a="1"/>
  <c r="D104" i="8" a="1"/>
  <c r="E104" i="8" a="1"/>
  <c r="I104" i="8" a="1"/>
  <c r="H103" i="8" a="1"/>
  <c r="G103" i="8" a="1"/>
  <c r="F103" i="8" a="1"/>
  <c r="A103" i="8" a="1"/>
  <c r="D103" i="8" a="1"/>
  <c r="E103" i="8" a="1"/>
  <c r="I103" i="8" a="1"/>
  <c r="H102" i="8" a="1"/>
  <c r="G102" i="8" a="1"/>
  <c r="F102" i="8" a="1"/>
  <c r="A102" i="8" a="1"/>
  <c r="D102" i="8" a="1"/>
  <c r="E102" i="8" a="1"/>
  <c r="I102" i="8" a="1"/>
  <c r="H101" i="8" a="1"/>
  <c r="G101" i="8" a="1"/>
  <c r="F101" i="8" a="1"/>
  <c r="A101" i="8" a="1"/>
  <c r="D101" i="8" a="1"/>
  <c r="E101" i="8" a="1"/>
  <c r="I101" i="8" a="1"/>
  <c r="H100" i="8" a="1"/>
  <c r="G100" i="8" a="1"/>
  <c r="F100" i="8" a="1"/>
  <c r="A100" i="8" a="1"/>
  <c r="D100" i="8" a="1"/>
  <c r="E100" i="8" a="1"/>
  <c r="I100" i="8" a="1"/>
  <c r="H99" i="8" a="1"/>
  <c r="G99" i="8" a="1"/>
  <c r="F99" i="8" a="1"/>
  <c r="A99" i="8" a="1"/>
  <c r="D99" i="8" a="1"/>
  <c r="E99" i="8" a="1"/>
  <c r="I99" i="8" a="1"/>
  <c r="H98" i="8" a="1"/>
  <c r="G98" i="8" a="1"/>
  <c r="F98" i="8" a="1"/>
  <c r="A98" i="8" a="1"/>
  <c r="D98" i="8" a="1"/>
  <c r="E98" i="8" a="1"/>
  <c r="I98" i="8" a="1"/>
  <c r="H97" i="8" a="1"/>
  <c r="G97" i="8" a="1"/>
  <c r="F97" i="8" a="1"/>
  <c r="A97" i="8" a="1"/>
  <c r="D97" i="8" a="1"/>
  <c r="E97" i="8" a="1"/>
  <c r="I97" i="8" a="1"/>
  <c r="H96" i="8" a="1"/>
  <c r="G96" i="8" a="1"/>
  <c r="F96" i="8" a="1"/>
  <c r="A96" i="8" a="1"/>
  <c r="D96" i="8" a="1"/>
  <c r="E96" i="8" a="1"/>
  <c r="I96" i="8" a="1"/>
  <c r="H95" i="8" a="1"/>
  <c r="G95" i="8" a="1"/>
  <c r="F95" i="8" a="1"/>
  <c r="A95" i="8" a="1"/>
  <c r="D95" i="8" a="1"/>
  <c r="E95" i="8" a="1"/>
  <c r="I95" i="8" a="1"/>
  <c r="H94" i="8" a="1"/>
  <c r="G94" i="8" a="1"/>
  <c r="F94" i="8" a="1"/>
  <c r="A94" i="8" a="1"/>
  <c r="D94" i="8" a="1"/>
  <c r="E94" i="8" a="1"/>
  <c r="I94" i="8" a="1"/>
  <c r="H93" i="8" a="1"/>
  <c r="G93" i="8" a="1"/>
  <c r="F93" i="8" a="1"/>
  <c r="A93" i="8" a="1"/>
  <c r="D93" i="8" a="1"/>
  <c r="E93" i="8" a="1"/>
  <c r="I93" i="8" a="1"/>
  <c r="H92" i="8" a="1"/>
  <c r="G92" i="8" a="1"/>
  <c r="F92" i="8" a="1"/>
  <c r="A92" i="8" a="1"/>
  <c r="D92" i="8" a="1"/>
  <c r="E92" i="8" a="1"/>
  <c r="I92" i="8" a="1"/>
  <c r="H91" i="8" a="1"/>
  <c r="G91" i="8" a="1"/>
  <c r="F91" i="8" a="1"/>
  <c r="A91" i="8" a="1"/>
  <c r="D91" i="8" a="1"/>
  <c r="E91" i="8" a="1"/>
  <c r="I91" i="8" a="1"/>
  <c r="H90" i="8" a="1"/>
  <c r="G90" i="8" a="1"/>
  <c r="F90" i="8" a="1"/>
  <c r="A90" i="8" a="1"/>
  <c r="D90" i="8" a="1"/>
  <c r="E90" i="8" a="1"/>
  <c r="I90" i="8" a="1"/>
  <c r="H89" i="8" a="1"/>
  <c r="G89" i="8" a="1"/>
  <c r="F89" i="8" a="1"/>
  <c r="A89" i="8" a="1"/>
  <c r="D89" i="8" a="1"/>
  <c r="E89" i="8" a="1"/>
  <c r="I89" i="8" a="1"/>
  <c r="H88" i="8" a="1"/>
  <c r="G88" i="8" a="1"/>
  <c r="F88" i="8" a="1"/>
  <c r="A88" i="8" a="1"/>
  <c r="D88" i="8" a="1"/>
  <c r="E88" i="8" a="1"/>
  <c r="I88" i="8" a="1"/>
  <c r="H87" i="8" a="1"/>
  <c r="G87" i="8" a="1"/>
  <c r="F87" i="8" a="1"/>
  <c r="A87" i="8" a="1"/>
  <c r="D87" i="8" a="1"/>
  <c r="E87" i="8" a="1"/>
  <c r="I87" i="8" a="1"/>
  <c r="H86" i="8" a="1"/>
  <c r="G86" i="8" a="1"/>
  <c r="F86" i="8" a="1"/>
  <c r="A86" i="8" a="1"/>
  <c r="D86" i="8" a="1"/>
  <c r="E86" i="8" a="1"/>
  <c r="I86" i="8" a="1"/>
  <c r="H85" i="8" a="1"/>
  <c r="G85" i="8" a="1"/>
  <c r="F85" i="8" a="1"/>
  <c r="A85" i="8" a="1"/>
  <c r="D85" i="8" a="1"/>
  <c r="E85" i="8" a="1"/>
  <c r="I85" i="8" a="1"/>
  <c r="H84" i="8" a="1"/>
  <c r="G84" i="8" a="1"/>
  <c r="F84" i="8" a="1"/>
  <c r="A84" i="8" a="1"/>
  <c r="D84" i="8" a="1"/>
  <c r="E84" i="8" a="1"/>
  <c r="I84" i="8" a="1"/>
  <c r="H83" i="8" a="1"/>
  <c r="G83" i="8" a="1"/>
  <c r="F83" i="8" a="1"/>
  <c r="A83" i="8" a="1"/>
  <c r="D83" i="8" a="1"/>
  <c r="E83" i="8" a="1"/>
  <c r="I83" i="8" a="1"/>
  <c r="H82" i="8" a="1"/>
  <c r="G82" i="8" a="1"/>
  <c r="F82" i="8" a="1"/>
  <c r="A82" i="8" a="1"/>
  <c r="D82" i="8" a="1"/>
  <c r="E82" i="8" a="1"/>
  <c r="I82" i="8" a="1"/>
  <c r="H81" i="8" a="1"/>
  <c r="G81" i="8" a="1"/>
  <c r="F81" i="8" a="1"/>
  <c r="A81" i="8" a="1"/>
  <c r="D81" i="8" a="1"/>
  <c r="E81" i="8" a="1"/>
  <c r="I81" i="8" a="1"/>
  <c r="H80" i="8" a="1"/>
  <c r="G80" i="8" a="1"/>
  <c r="F80" i="8" a="1"/>
  <c r="A80" i="8" a="1"/>
  <c r="D80" i="8" a="1"/>
  <c r="E80" i="8" a="1"/>
  <c r="I80" i="8" a="1"/>
  <c r="H79" i="8" a="1"/>
  <c r="G79" i="8" a="1"/>
  <c r="F79" i="8" a="1"/>
  <c r="A79" i="8" a="1"/>
  <c r="D79" i="8" a="1"/>
  <c r="E79" i="8" a="1"/>
  <c r="I79" i="8" a="1"/>
  <c r="H78" i="8" a="1"/>
  <c r="G78" i="8" a="1"/>
  <c r="F78" i="8" a="1"/>
  <c r="A78" i="8" a="1"/>
  <c r="D78" i="8" a="1"/>
  <c r="E78" i="8" a="1"/>
  <c r="I78" i="8" a="1"/>
  <c r="H77" i="8" a="1"/>
  <c r="G77" i="8" a="1"/>
  <c r="F77" i="8" a="1"/>
  <c r="A77" i="8" a="1"/>
  <c r="D77" i="8" a="1"/>
  <c r="E77" i="8" a="1"/>
  <c r="I77" i="8" a="1"/>
  <c r="H76" i="8" a="1"/>
  <c r="G76" i="8" a="1"/>
  <c r="F76" i="8" a="1"/>
  <c r="A76" i="8" a="1"/>
  <c r="D76" i="8" a="1"/>
  <c r="E76" i="8" a="1"/>
  <c r="I76" i="8" a="1"/>
  <c r="H75" i="8" a="1"/>
  <c r="G75" i="8" a="1"/>
  <c r="F75" i="8" a="1"/>
  <c r="A75" i="8" a="1"/>
  <c r="D75" i="8" a="1"/>
  <c r="E75" i="8" a="1"/>
  <c r="I75" i="8" a="1"/>
  <c r="H74" i="8" a="1"/>
  <c r="G74" i="8" a="1"/>
  <c r="F74" i="8" a="1"/>
  <c r="A74" i="8" a="1"/>
  <c r="D74" i="8" a="1"/>
  <c r="E74" i="8" a="1"/>
  <c r="I74" i="8" a="1"/>
  <c r="H73" i="8" a="1"/>
  <c r="G73" i="8" a="1"/>
  <c r="F73" i="8" a="1"/>
  <c r="A73" i="8" a="1"/>
  <c r="D73" i="8" a="1"/>
  <c r="E73" i="8" a="1"/>
  <c r="I73" i="8" a="1"/>
  <c r="H72" i="8" a="1"/>
  <c r="G72" i="8" a="1"/>
  <c r="F72" i="8" a="1"/>
  <c r="A72" i="8" a="1"/>
  <c r="D72" i="8" a="1"/>
  <c r="E72" i="8" a="1"/>
  <c r="I72" i="8" a="1"/>
  <c r="H71" i="8" a="1"/>
  <c r="G71" i="8" a="1"/>
  <c r="F71" i="8" a="1"/>
  <c r="A71" i="8" a="1"/>
  <c r="D71" i="8" a="1"/>
  <c r="E71" i="8" a="1"/>
  <c r="I71" i="8" a="1"/>
  <c r="H70" i="8" a="1"/>
  <c r="G70" i="8" a="1"/>
  <c r="F70" i="8" a="1"/>
  <c r="A70" i="8" a="1"/>
  <c r="D70" i="8" a="1"/>
  <c r="E70" i="8" a="1"/>
  <c r="I70" i="8" a="1"/>
  <c r="H69" i="8" a="1"/>
  <c r="G69" i="8" a="1"/>
  <c r="F69" i="8" a="1"/>
  <c r="A69" i="8" a="1"/>
  <c r="D69" i="8" a="1"/>
  <c r="E69" i="8" a="1"/>
  <c r="I69" i="8" a="1"/>
  <c r="H68" i="8" a="1"/>
  <c r="G68" i="8" a="1"/>
  <c r="F68" i="8" a="1"/>
  <c r="A68" i="8" a="1"/>
  <c r="D68" i="8" a="1"/>
  <c r="E68" i="8" a="1"/>
  <c r="I68" i="8" a="1"/>
  <c r="H67" i="8" a="1"/>
  <c r="G67" i="8" a="1"/>
  <c r="F67" i="8" a="1"/>
  <c r="A67" i="8" a="1"/>
  <c r="D67" i="8" a="1"/>
  <c r="E67" i="8" a="1"/>
  <c r="I67" i="8" a="1"/>
  <c r="H66" i="8" a="1"/>
  <c r="G66" i="8" a="1"/>
  <c r="F66" i="8" a="1"/>
  <c r="A66" i="8" a="1"/>
  <c r="D66" i="8" a="1"/>
  <c r="E66" i="8" a="1"/>
  <c r="I66" i="8" a="1"/>
  <c r="H65" i="8" a="1"/>
  <c r="G65" i="8" a="1"/>
  <c r="F65" i="8" a="1"/>
  <c r="A65" i="8" a="1"/>
  <c r="D65" i="8" a="1"/>
  <c r="E65" i="8" a="1"/>
  <c r="I65" i="8" a="1"/>
  <c r="H64" i="8" a="1"/>
  <c r="G64" i="8" a="1"/>
  <c r="F64" i="8" a="1"/>
  <c r="A64" i="8" a="1"/>
  <c r="D64" i="8" a="1"/>
  <c r="E64" i="8" a="1"/>
  <c r="I64" i="8" a="1"/>
  <c r="H63" i="8" a="1"/>
  <c r="G63" i="8" a="1"/>
  <c r="F63" i="8" a="1"/>
  <c r="A63" i="8" a="1"/>
  <c r="D63" i="8" a="1"/>
  <c r="E63" i="8" a="1"/>
  <c r="I63" i="8" a="1"/>
  <c r="H62" i="8" a="1"/>
  <c r="G62" i="8" a="1"/>
  <c r="F62" i="8" a="1"/>
  <c r="A62" i="8" a="1"/>
  <c r="D62" i="8" a="1"/>
  <c r="E62" i="8" a="1"/>
  <c r="I62" i="8" a="1"/>
  <c r="H61" i="8" a="1"/>
  <c r="G61" i="8" a="1"/>
  <c r="F61" i="8" a="1"/>
  <c r="A61" i="8" a="1"/>
  <c r="D61" i="8" a="1"/>
  <c r="E61" i="8" a="1"/>
  <c r="I61" i="8" a="1"/>
  <c r="H60" i="8" a="1"/>
  <c r="G60" i="8" a="1"/>
  <c r="F60" i="8" a="1"/>
  <c r="A60" i="8" a="1"/>
  <c r="D60" i="8" a="1"/>
  <c r="E60" i="8" a="1"/>
  <c r="I60" i="8" a="1"/>
  <c r="H59" i="8" a="1"/>
  <c r="G59" i="8" a="1"/>
  <c r="F59" i="8" a="1"/>
  <c r="A59" i="8" a="1"/>
  <c r="D59" i="8" a="1"/>
  <c r="E59" i="8" a="1"/>
  <c r="I59" i="8" a="1"/>
  <c r="H58" i="8" a="1"/>
  <c r="G58" i="8" a="1"/>
  <c r="F58" i="8" a="1"/>
  <c r="A58" i="8" a="1"/>
  <c r="D58" i="8" a="1"/>
  <c r="E58" i="8" a="1"/>
  <c r="I58" i="8" a="1"/>
  <c r="H57" i="8" a="1"/>
  <c r="G57" i="8" a="1"/>
  <c r="F57" i="8" a="1"/>
  <c r="A57" i="8" a="1"/>
  <c r="D57" i="8" a="1"/>
  <c r="E57" i="8" a="1"/>
  <c r="I57" i="8" a="1"/>
  <c r="H56" i="8" a="1"/>
  <c r="G56" i="8" a="1"/>
  <c r="F56" i="8" a="1"/>
  <c r="A56" i="8" a="1"/>
  <c r="D56" i="8" a="1"/>
  <c r="E56" i="8" a="1"/>
  <c r="I56" i="8" a="1"/>
  <c r="H55" i="8" a="1"/>
  <c r="G55" i="8" a="1"/>
  <c r="F55" i="8" a="1"/>
  <c r="A55" i="8" a="1"/>
  <c r="D55" i="8" a="1"/>
  <c r="E55" i="8" a="1"/>
  <c r="I55" i="8" a="1"/>
  <c r="H54" i="8" a="1"/>
  <c r="G54" i="8" a="1"/>
  <c r="F54" i="8" a="1"/>
  <c r="A54" i="8" a="1"/>
  <c r="D54" i="8" a="1"/>
  <c r="E54" i="8" a="1"/>
  <c r="I54" i="8" a="1"/>
  <c r="H53" i="8" a="1"/>
  <c r="G53" i="8" a="1"/>
  <c r="F53" i="8" a="1"/>
  <c r="A53" i="8" a="1"/>
  <c r="D53" i="8" a="1"/>
  <c r="E53" i="8" a="1"/>
  <c r="I53" i="8" a="1"/>
  <c r="H52" i="8" a="1"/>
  <c r="G52" i="8" a="1"/>
  <c r="F52" i="8" a="1"/>
  <c r="A52" i="8" a="1"/>
  <c r="D52" i="8" a="1"/>
  <c r="E52" i="8" a="1"/>
  <c r="I52" i="8" a="1"/>
  <c r="H51" i="8" a="1"/>
  <c r="G51" i="8" a="1"/>
  <c r="F51" i="8" a="1"/>
  <c r="A51" i="8" a="1"/>
  <c r="D51" i="8" a="1"/>
  <c r="E51" i="8" a="1"/>
  <c r="I51" i="8" a="1"/>
  <c r="H50" i="8" a="1"/>
  <c r="G50" i="8" a="1"/>
  <c r="F50" i="8" a="1"/>
  <c r="A50" i="8" a="1"/>
  <c r="D50" i="8" a="1"/>
  <c r="E50" i="8" a="1"/>
  <c r="I50" i="8" a="1"/>
  <c r="H49" i="8" a="1"/>
  <c r="G49" i="8" a="1"/>
  <c r="F49" i="8" a="1"/>
  <c r="A49" i="8" a="1"/>
  <c r="D49" i="8" a="1"/>
  <c r="E49" i="8" a="1"/>
  <c r="I49" i="8" a="1"/>
  <c r="H48" i="8" a="1"/>
  <c r="G48" i="8" a="1"/>
  <c r="F48" i="8" a="1"/>
  <c r="A48" i="8" a="1"/>
  <c r="D48" i="8" a="1"/>
  <c r="E48" i="8" a="1"/>
  <c r="I48" i="8" a="1"/>
  <c r="H47" i="8" a="1"/>
  <c r="G47" i="8" a="1"/>
  <c r="F47" i="8" a="1"/>
  <c r="A47" i="8" a="1"/>
  <c r="D47" i="8" a="1"/>
  <c r="E47" i="8" a="1"/>
  <c r="I47" i="8" a="1"/>
  <c r="H46" i="8" a="1"/>
  <c r="G46" i="8" a="1"/>
  <c r="F46" i="8" a="1"/>
  <c r="A46" i="8" a="1"/>
  <c r="D46" i="8" a="1"/>
  <c r="E46" i="8" a="1"/>
  <c r="I46" i="8" a="1"/>
  <c r="H45" i="8" a="1"/>
  <c r="G45" i="8" a="1"/>
  <c r="F45" i="8" a="1"/>
  <c r="A45" i="8" a="1"/>
  <c r="D45" i="8" a="1"/>
  <c r="E45" i="8" a="1"/>
  <c r="I45" i="8" a="1"/>
  <c r="H44" i="8" a="1"/>
  <c r="G44" i="8" a="1"/>
  <c r="F44" i="8" a="1"/>
  <c r="A44" i="8" a="1"/>
  <c r="D44" i="8" a="1"/>
  <c r="E44" i="8" a="1"/>
  <c r="I44" i="8" a="1"/>
  <c r="H43" i="8" a="1"/>
  <c r="G43" i="8" a="1"/>
  <c r="F43" i="8" a="1"/>
  <c r="A43" i="8" a="1"/>
  <c r="D43" i="8" a="1"/>
  <c r="E43" i="8" a="1"/>
  <c r="I43" i="8" a="1"/>
  <c r="H42" i="8" a="1"/>
  <c r="G42" i="8" a="1"/>
  <c r="F42" i="8" a="1"/>
  <c r="A42" i="8" a="1"/>
  <c r="D42" i="8" a="1"/>
  <c r="E42" i="8" a="1"/>
  <c r="I42" i="8" a="1"/>
  <c r="H41" i="8" a="1"/>
  <c r="G41" i="8" a="1"/>
  <c r="F41" i="8" a="1"/>
  <c r="A41" i="8" a="1"/>
  <c r="D41" i="8" a="1"/>
  <c r="E41" i="8" a="1"/>
  <c r="I41" i="8" a="1"/>
  <c r="H40" i="8" a="1"/>
  <c r="G40" i="8" a="1"/>
  <c r="F40" i="8" a="1"/>
  <c r="A40" i="8" a="1"/>
  <c r="D40" i="8" a="1"/>
  <c r="E40" i="8" a="1"/>
  <c r="I40" i="8" a="1"/>
  <c r="H39" i="8" a="1"/>
  <c r="G39" i="8" a="1"/>
  <c r="F39" i="8" a="1"/>
  <c r="A39" i="8" a="1"/>
  <c r="D39" i="8" a="1"/>
  <c r="E39" i="8" a="1"/>
  <c r="I39" i="8" a="1"/>
  <c r="H38" i="8" a="1"/>
  <c r="G38" i="8" a="1"/>
  <c r="F38" i="8" a="1"/>
  <c r="A38" i="8" a="1"/>
  <c r="D38" i="8" a="1"/>
  <c r="E38" i="8" a="1"/>
  <c r="I38" i="8" a="1"/>
  <c r="H37" i="8" a="1"/>
  <c r="G37" i="8" a="1"/>
  <c r="F37" i="8" a="1"/>
  <c r="A37" i="8" a="1"/>
  <c r="D37" i="8" a="1"/>
  <c r="E37" i="8" a="1"/>
  <c r="I37" i="8" a="1"/>
  <c r="H36" i="8" a="1"/>
  <c r="G36" i="8" a="1"/>
  <c r="F36" i="8" a="1"/>
  <c r="A36" i="8" a="1"/>
  <c r="D36" i="8" a="1"/>
  <c r="E36" i="8" a="1"/>
  <c r="I36" i="8" a="1"/>
  <c r="H35" i="8" a="1"/>
  <c r="G35" i="8" a="1"/>
  <c r="F35" i="8" a="1"/>
  <c r="A35" i="8" a="1"/>
  <c r="D35" i="8" a="1"/>
  <c r="E35" i="8" a="1"/>
  <c r="I35" i="8" a="1"/>
  <c r="H34" i="8" a="1"/>
  <c r="G34" i="8" a="1"/>
  <c r="F34" i="8" a="1"/>
  <c r="A34" i="8" a="1"/>
  <c r="D34" i="8" a="1"/>
  <c r="E34" i="8" a="1"/>
  <c r="I34" i="8" a="1"/>
  <c r="H33" i="8" a="1"/>
  <c r="G33" i="8" a="1"/>
  <c r="F33" i="8" a="1"/>
  <c r="A33" i="8" a="1"/>
  <c r="D33" i="8" a="1"/>
  <c r="E33" i="8" a="1"/>
  <c r="I33" i="8" a="1"/>
  <c r="H32" i="8" a="1"/>
  <c r="G32" i="8" a="1"/>
  <c r="F32" i="8" a="1"/>
  <c r="A32" i="8" a="1"/>
  <c r="D32" i="8" a="1"/>
  <c r="E32" i="8" a="1"/>
  <c r="I32" i="8" a="1"/>
  <c r="H31" i="8" a="1"/>
  <c r="G31" i="8" a="1"/>
  <c r="F31" i="8" a="1"/>
  <c r="A31" i="8" a="1"/>
  <c r="D31" i="8" a="1"/>
  <c r="E31" i="8" a="1"/>
  <c r="I31" i="8" a="1"/>
  <c r="H30" i="8" a="1"/>
  <c r="G30" i="8" a="1"/>
  <c r="F30" i="8" a="1"/>
  <c r="A30" i="8" a="1"/>
  <c r="D30" i="8" a="1"/>
  <c r="E30" i="8" a="1"/>
  <c r="I30" i="8" a="1"/>
  <c r="H29" i="8" a="1"/>
  <c r="G29" i="8" a="1"/>
  <c r="F29" i="8" a="1"/>
  <c r="A29" i="8" a="1"/>
  <c r="D29" i="8" a="1"/>
  <c r="E29" i="8" a="1"/>
  <c r="I29" i="8" a="1"/>
  <c r="H28" i="8" a="1"/>
  <c r="G28" i="8" a="1"/>
  <c r="F28" i="8" a="1"/>
  <c r="A28" i="8" a="1"/>
  <c r="D28" i="8" a="1"/>
  <c r="E28" i="8" a="1"/>
  <c r="I28" i="8" a="1"/>
  <c r="H27" i="8" a="1"/>
  <c r="G27" i="8" a="1"/>
  <c r="F27" i="8" a="1"/>
  <c r="A27" i="8" a="1"/>
  <c r="D27" i="8" a="1"/>
  <c r="E27" i="8" a="1"/>
  <c r="I27" i="8" a="1"/>
  <c r="H26" i="8" a="1"/>
  <c r="G26" i="8" a="1"/>
  <c r="F26" i="8" a="1"/>
  <c r="A26" i="8" a="1"/>
  <c r="D26" i="8" a="1"/>
  <c r="E26" i="8" a="1"/>
  <c r="I26" i="8" a="1"/>
  <c r="H25" i="8" a="1"/>
  <c r="G25" i="8" a="1"/>
  <c r="F25" i="8" a="1"/>
  <c r="A25" i="8" a="1"/>
  <c r="D25" i="8" a="1"/>
  <c r="E25" i="8" a="1"/>
  <c r="I25" i="8" a="1"/>
  <c r="H24" i="8" a="1"/>
  <c r="G24" i="8" a="1"/>
  <c r="F24" i="8" a="1"/>
  <c r="A24" i="8" a="1"/>
  <c r="D24" i="8" a="1"/>
  <c r="E24" i="8" a="1"/>
  <c r="I24" i="8" a="1"/>
  <c r="H23" i="8" a="1"/>
  <c r="G23" i="8" a="1"/>
  <c r="F23" i="8" a="1"/>
  <c r="A23" i="8" a="1"/>
  <c r="D23" i="8" a="1"/>
  <c r="E23" i="8" a="1"/>
  <c r="I23" i="8" a="1"/>
  <c r="H22" i="8" a="1"/>
  <c r="G22" i="8" a="1"/>
  <c r="F22" i="8" a="1"/>
  <c r="A22" i="8" a="1"/>
  <c r="D22" i="8" a="1"/>
  <c r="E22" i="8" a="1"/>
  <c r="I22" i="8" a="1"/>
  <c r="H21" i="8" a="1"/>
  <c r="G21" i="8" a="1"/>
  <c r="F21" i="8" a="1"/>
  <c r="A21" i="8" a="1"/>
  <c r="D21" i="8" a="1"/>
  <c r="E21" i="8" a="1"/>
  <c r="I21" i="8" a="1"/>
  <c r="H20" i="8" a="1"/>
  <c r="G20" i="8" a="1"/>
  <c r="F20" i="8" a="1"/>
  <c r="A20" i="8" a="1"/>
  <c r="D20" i="8" a="1"/>
  <c r="E20" i="8" a="1"/>
  <c r="I20" i="8" a="1"/>
  <c r="H19" i="8" a="1"/>
  <c r="G19" i="8" a="1"/>
  <c r="F19" i="8" a="1"/>
  <c r="A19" i="8" a="1"/>
  <c r="D19" i="8" a="1"/>
  <c r="E19" i="8" a="1"/>
  <c r="I19" i="8" a="1"/>
  <c r="H18" i="8" a="1"/>
  <c r="G18" i="8" a="1"/>
  <c r="F18" i="8" a="1"/>
  <c r="A18" i="8" a="1"/>
  <c r="D18" i="8" a="1"/>
  <c r="E18" i="8" a="1"/>
  <c r="I18" i="8" a="1"/>
  <c r="H17" i="8" a="1"/>
  <c r="G17" i="8" a="1"/>
  <c r="F17" i="8" a="1"/>
  <c r="A17" i="8" a="1"/>
  <c r="D17" i="8" a="1"/>
  <c r="E17" i="8" a="1"/>
  <c r="I17" i="8" a="1"/>
  <c r="H16" i="8" a="1"/>
  <c r="G16" i="8" a="1"/>
  <c r="F16" i="8" a="1"/>
  <c r="A16" i="8" a="1"/>
  <c r="D16" i="8" a="1"/>
  <c r="E16" i="8" a="1"/>
  <c r="I16" i="8" a="1"/>
  <c r="H15" i="8" a="1"/>
  <c r="G15" i="8" a="1"/>
  <c r="F15" i="8" a="1"/>
  <c r="A15" i="8" a="1"/>
  <c r="D15" i="8" a="1"/>
  <c r="E15" i="8" a="1"/>
  <c r="I15" i="8" a="1"/>
  <c r="H14" i="8" a="1"/>
  <c r="G14" i="8" a="1"/>
  <c r="F14" i="8" a="1"/>
  <c r="A14" i="8" a="1"/>
  <c r="D14" i="8" a="1"/>
  <c r="E14" i="8" a="1"/>
  <c r="I14" i="8" a="1"/>
  <c r="H13" i="8" a="1"/>
  <c r="G13" i="8" a="1"/>
  <c r="F13" i="8" a="1"/>
  <c r="A13" i="8" a="1"/>
  <c r="D13" i="8" a="1"/>
  <c r="E13" i="8" a="1"/>
  <c r="I13" i="8" a="1"/>
  <c r="H12" i="8" a="1"/>
  <c r="G12" i="8" a="1"/>
  <c r="F12" i="8" a="1"/>
  <c r="A12" i="8" a="1"/>
  <c r="D12" i="8" a="1"/>
  <c r="E12" i="8" a="1"/>
  <c r="I12" i="8" a="1"/>
  <c r="H11" i="8" a="1"/>
  <c r="G11" i="8" a="1"/>
  <c r="F11" i="8" a="1"/>
  <c r="A11" i="8" a="1"/>
  <c r="D11" i="8" a="1"/>
  <c r="E11" i="8" a="1"/>
  <c r="I11" i="8" a="1"/>
  <c r="H10" i="8" a="1"/>
  <c r="G10" i="8" a="1"/>
  <c r="F10" i="8" a="1"/>
  <c r="A10" i="8" a="1"/>
  <c r="D10" i="8" a="1"/>
  <c r="E10" i="8" a="1"/>
  <c r="I10" i="8" a="1"/>
  <c r="H9" i="8" a="1"/>
  <c r="G9" i="8" a="1"/>
  <c r="F9" i="8" a="1"/>
  <c r="A9" i="8" a="1"/>
  <c r="D9" i="8" a="1"/>
  <c r="E9" i="8" a="1"/>
  <c r="I9" i="8" a="1"/>
  <c r="H8" i="8" a="1"/>
  <c r="G8" i="8" a="1"/>
  <c r="I897" i="8" a="1"/>
  <c r="H896" i="8" a="1"/>
  <c r="G896" i="8" a="1"/>
  <c r="F896" i="8" a="1"/>
  <c r="A896" i="8" a="1"/>
  <c r="D896" i="8" a="1"/>
  <c r="E896" i="8" a="1"/>
  <c r="I896" i="8" a="1"/>
  <c r="H895" i="8" a="1"/>
  <c r="G895" i="8" a="1"/>
  <c r="F895" i="8" a="1"/>
  <c r="A895" i="8" a="1"/>
  <c r="D895" i="8" a="1"/>
  <c r="E895" i="8" a="1"/>
  <c r="I895" i="8" a="1"/>
  <c r="H894" i="8" a="1"/>
  <c r="G894" i="8" a="1"/>
  <c r="F894" i="8" a="1"/>
  <c r="A894" i="8" a="1"/>
  <c r="D894" i="8" a="1"/>
  <c r="E894" i="8" a="1"/>
  <c r="I894" i="8" a="1"/>
  <c r="H893" i="8" a="1"/>
  <c r="G893" i="8" a="1"/>
  <c r="F893" i="8" a="1"/>
  <c r="A893" i="8" a="1"/>
  <c r="D893" i="8" a="1"/>
  <c r="E893" i="8" a="1"/>
  <c r="I893" i="8" a="1"/>
  <c r="H892" i="8" a="1"/>
  <c r="G892" i="8" a="1"/>
  <c r="F892" i="8" a="1"/>
  <c r="A892" i="8" a="1"/>
  <c r="D892" i="8" a="1"/>
  <c r="E892" i="8" a="1"/>
  <c r="I892" i="8" a="1"/>
  <c r="H891" i="8" a="1"/>
  <c r="G891" i="8" a="1"/>
  <c r="F891" i="8" a="1"/>
  <c r="A891" i="8" a="1"/>
  <c r="D891" i="8" a="1"/>
  <c r="E891" i="8" a="1"/>
  <c r="I891" i="8" a="1"/>
  <c r="H890" i="8" a="1"/>
  <c r="G890" i="8" a="1"/>
  <c r="F890" i="8" a="1"/>
  <c r="A890" i="8" a="1"/>
  <c r="D890" i="8" a="1"/>
  <c r="E890" i="8" a="1"/>
  <c r="I890" i="8" a="1"/>
  <c r="H889" i="8" a="1"/>
  <c r="G889" i="8" a="1"/>
  <c r="F889" i="8" a="1"/>
  <c r="A889" i="8" a="1"/>
  <c r="D889" i="8" a="1"/>
  <c r="E889" i="8" a="1"/>
  <c r="I889" i="8" a="1"/>
  <c r="H888" i="8" a="1"/>
  <c r="G888" i="8" a="1"/>
  <c r="F888" i="8" a="1"/>
  <c r="A888" i="8" a="1"/>
  <c r="D888" i="8" a="1"/>
  <c r="E888" i="8" a="1"/>
  <c r="I888" i="8" a="1"/>
  <c r="H887" i="8" a="1"/>
  <c r="G887" i="8" a="1"/>
  <c r="F887" i="8" a="1"/>
  <c r="A887" i="8" a="1"/>
  <c r="D887" i="8" a="1"/>
  <c r="E887" i="8" a="1"/>
  <c r="I887" i="8" a="1"/>
  <c r="H886" i="8" a="1"/>
  <c r="G886" i="8" a="1"/>
  <c r="F886" i="8" a="1"/>
  <c r="A886" i="8" a="1"/>
  <c r="D886" i="8" a="1"/>
  <c r="E886" i="8" a="1"/>
  <c r="I886" i="8" a="1"/>
  <c r="H885" i="8" a="1"/>
  <c r="G885" i="8" a="1"/>
  <c r="F885" i="8" a="1"/>
  <c r="A885" i="8" a="1"/>
  <c r="D885" i="8" a="1"/>
  <c r="E885" i="8" a="1"/>
  <c r="I885" i="8" a="1"/>
  <c r="H884" i="8" a="1"/>
  <c r="G884" i="8" a="1"/>
  <c r="F884" i="8" a="1"/>
  <c r="A884" i="8" a="1"/>
  <c r="D884" i="8" a="1"/>
  <c r="E884" i="8" a="1"/>
  <c r="I884" i="8" a="1"/>
  <c r="H883" i="8" a="1"/>
  <c r="G883" i="8" a="1"/>
  <c r="F883" i="8" a="1"/>
  <c r="A883" i="8" a="1"/>
  <c r="D883" i="8" a="1"/>
  <c r="E883" i="8" a="1"/>
  <c r="I883" i="8" a="1"/>
  <c r="H882" i="8" a="1"/>
  <c r="G882" i="8" a="1"/>
  <c r="F882" i="8" a="1"/>
  <c r="A882" i="8" a="1"/>
  <c r="D882" i="8" a="1"/>
  <c r="E882" i="8" a="1"/>
  <c r="I882" i="8" a="1"/>
  <c r="H881" i="8" a="1"/>
  <c r="G881" i="8" a="1"/>
  <c r="F881" i="8" a="1"/>
  <c r="A881" i="8" a="1"/>
  <c r="D881" i="8" a="1"/>
  <c r="E881" i="8" a="1"/>
  <c r="I881" i="8" a="1"/>
  <c r="H880" i="8" a="1"/>
  <c r="G880" i="8" a="1"/>
  <c r="F880" i="8" a="1"/>
  <c r="A880" i="8" a="1"/>
  <c r="D880" i="8" a="1"/>
  <c r="E880" i="8" a="1"/>
  <c r="I880" i="8" a="1"/>
  <c r="H879" i="8" a="1"/>
  <c r="G879" i="8" a="1"/>
  <c r="F879" i="8" a="1"/>
  <c r="A879" i="8" a="1"/>
  <c r="D879" i="8" a="1"/>
  <c r="E879" i="8" a="1"/>
  <c r="I879" i="8" a="1"/>
  <c r="H878" i="8" a="1"/>
  <c r="G878" i="8" a="1"/>
  <c r="F878" i="8" a="1"/>
  <c r="A878" i="8" a="1"/>
  <c r="D878" i="8" a="1"/>
  <c r="E878" i="8" a="1"/>
  <c r="I878" i="8" a="1"/>
  <c r="H877" i="8" a="1"/>
  <c r="G877" i="8" a="1"/>
  <c r="F877" i="8" a="1"/>
  <c r="A877" i="8" a="1"/>
  <c r="D877" i="8" a="1"/>
  <c r="E877" i="8" a="1"/>
  <c r="I877" i="8" a="1"/>
  <c r="H876" i="8" a="1"/>
  <c r="G876" i="8" a="1"/>
  <c r="F876" i="8" a="1"/>
  <c r="A876" i="8" a="1"/>
  <c r="D876" i="8" a="1"/>
  <c r="E876" i="8" a="1"/>
  <c r="I876" i="8" a="1"/>
  <c r="H875" i="8" a="1"/>
  <c r="G875" i="8" a="1"/>
  <c r="F875" i="8" a="1"/>
  <c r="A875" i="8" a="1"/>
  <c r="D875" i="8" a="1"/>
  <c r="E875" i="8" a="1"/>
  <c r="I875" i="8" a="1"/>
  <c r="H874" i="8" a="1"/>
  <c r="G874" i="8" a="1"/>
  <c r="F874" i="8" a="1"/>
  <c r="A874" i="8" a="1"/>
  <c r="D874" i="8" a="1"/>
  <c r="E874" i="8" a="1"/>
  <c r="I874" i="8" a="1"/>
  <c r="H873" i="8" a="1"/>
  <c r="G873" i="8" a="1"/>
  <c r="F873" i="8" a="1"/>
  <c r="A873" i="8" a="1"/>
  <c r="D873" i="8" a="1"/>
  <c r="E873" i="8" a="1"/>
  <c r="I873" i="8" a="1"/>
  <c r="H872" i="8" a="1"/>
  <c r="G872" i="8" a="1"/>
  <c r="F872" i="8" a="1"/>
  <c r="A872" i="8" a="1"/>
  <c r="D872" i="8" a="1"/>
  <c r="E872" i="8" a="1"/>
  <c r="I872" i="8" a="1"/>
  <c r="H871" i="8" a="1"/>
  <c r="G871" i="8" a="1"/>
  <c r="F871" i="8" a="1"/>
  <c r="A871" i="8" a="1"/>
  <c r="D871" i="8" a="1"/>
  <c r="E871" i="8" a="1"/>
  <c r="I871" i="8" a="1"/>
  <c r="H870" i="8" a="1"/>
  <c r="G870" i="8" a="1"/>
  <c r="F870" i="8" a="1"/>
  <c r="A870" i="8" a="1"/>
  <c r="D870" i="8" a="1"/>
  <c r="E870" i="8" a="1"/>
  <c r="I870" i="8" a="1"/>
  <c r="H869" i="8" a="1"/>
  <c r="G869" i="8" a="1"/>
  <c r="F869" i="8" a="1"/>
  <c r="A869" i="8" a="1"/>
  <c r="D869" i="8" a="1"/>
  <c r="E869" i="8" a="1"/>
  <c r="I869" i="8" a="1"/>
  <c r="H868" i="8" a="1"/>
  <c r="G868" i="8" a="1"/>
  <c r="F868" i="8" a="1"/>
  <c r="A868" i="8" a="1"/>
  <c r="D868" i="8" a="1"/>
  <c r="E868" i="8" a="1"/>
  <c r="I868" i="8" a="1"/>
  <c r="H867" i="8" a="1"/>
  <c r="G867" i="8" a="1"/>
  <c r="F867" i="8" a="1"/>
  <c r="A867" i="8" a="1"/>
  <c r="D867" i="8" a="1"/>
  <c r="E867" i="8" a="1"/>
  <c r="I867" i="8" a="1"/>
  <c r="H866" i="8" a="1"/>
  <c r="G866" i="8" a="1"/>
  <c r="F866" i="8" a="1"/>
  <c r="A866" i="8" a="1"/>
  <c r="D866" i="8" a="1"/>
  <c r="E866" i="8" a="1"/>
  <c r="I866" i="8" a="1"/>
  <c r="H865" i="8" a="1"/>
  <c r="G865" i="8" a="1"/>
  <c r="F865" i="8" a="1"/>
  <c r="A865" i="8" a="1"/>
  <c r="D865" i="8" a="1"/>
  <c r="E865" i="8" a="1"/>
  <c r="I865" i="8" a="1"/>
  <c r="H864" i="8" a="1"/>
  <c r="G864" i="8" a="1"/>
  <c r="F864" i="8" a="1"/>
  <c r="A864" i="8" a="1"/>
  <c r="D864" i="8" a="1"/>
  <c r="E864" i="8" a="1"/>
  <c r="I864" i="8" a="1"/>
  <c r="H863" i="8" a="1"/>
  <c r="G863" i="8" a="1"/>
  <c r="F863" i="8" a="1"/>
  <c r="A863" i="8" a="1"/>
  <c r="D863" i="8" a="1"/>
  <c r="E863" i="8" a="1"/>
  <c r="I863" i="8" a="1"/>
  <c r="H862" i="8" a="1"/>
  <c r="G862" i="8" a="1"/>
  <c r="F862" i="8" a="1"/>
  <c r="A862" i="8" a="1"/>
  <c r="D862" i="8" a="1"/>
  <c r="E862" i="8" a="1"/>
  <c r="I862" i="8" a="1"/>
  <c r="H861" i="8" a="1"/>
  <c r="G861" i="8" a="1"/>
  <c r="F861" i="8" a="1"/>
  <c r="A861" i="8" a="1"/>
  <c r="D861" i="8" a="1"/>
  <c r="E861" i="8" a="1"/>
  <c r="I861" i="8" a="1"/>
  <c r="H860" i="8" a="1"/>
  <c r="G860" i="8" a="1"/>
  <c r="F860" i="8" a="1"/>
  <c r="A860" i="8" a="1"/>
  <c r="D860" i="8" a="1"/>
  <c r="E860" i="8" a="1"/>
  <c r="I860" i="8" a="1"/>
  <c r="H859" i="8" a="1"/>
  <c r="G859" i="8" a="1"/>
  <c r="F859" i="8" a="1"/>
  <c r="A859" i="8" a="1"/>
  <c r="D859" i="8" a="1"/>
  <c r="E859" i="8" a="1"/>
  <c r="I859" i="8" a="1"/>
  <c r="H858" i="8" a="1"/>
  <c r="G858" i="8" a="1"/>
  <c r="F858" i="8" a="1"/>
  <c r="A858" i="8" a="1"/>
  <c r="D858" i="8" a="1"/>
  <c r="E858" i="8" a="1"/>
  <c r="I858" i="8" a="1"/>
  <c r="H857" i="8" a="1"/>
  <c r="G857" i="8" a="1"/>
  <c r="F857" i="8" a="1"/>
  <c r="A857" i="8" a="1"/>
  <c r="D857" i="8" a="1"/>
  <c r="E857" i="8" a="1"/>
  <c r="I857" i="8" a="1"/>
  <c r="H856" i="8" a="1"/>
  <c r="G856" i="8" a="1"/>
  <c r="F856" i="8" a="1"/>
  <c r="A856" i="8" a="1"/>
  <c r="D856" i="8" a="1"/>
  <c r="E856" i="8" a="1"/>
  <c r="I856" i="8" a="1"/>
  <c r="H855" i="8" a="1"/>
  <c r="G855" i="8" a="1"/>
  <c r="F855" i="8" a="1"/>
  <c r="A855" i="8" a="1"/>
  <c r="D855" i="8" a="1"/>
  <c r="E855" i="8" a="1"/>
  <c r="I855" i="8" a="1"/>
  <c r="H854" i="8" a="1"/>
  <c r="G854" i="8" a="1"/>
  <c r="F854" i="8" a="1"/>
  <c r="A854" i="8" a="1"/>
  <c r="D854" i="8" a="1"/>
  <c r="E854" i="8" a="1"/>
  <c r="I854" i="8" a="1"/>
  <c r="H853" i="8" a="1"/>
  <c r="G853" i="8" a="1"/>
  <c r="F853" i="8" a="1"/>
  <c r="A853" i="8" a="1"/>
  <c r="D853" i="8" a="1"/>
  <c r="E853" i="8" a="1"/>
  <c r="I853" i="8" a="1"/>
  <c r="H852" i="8" a="1"/>
  <c r="G852" i="8" a="1"/>
  <c r="F852" i="8" a="1"/>
  <c r="A852" i="8" a="1"/>
  <c r="D852" i="8" a="1"/>
  <c r="E852" i="8" a="1"/>
  <c r="I852" i="8" a="1"/>
  <c r="H851" i="8" a="1"/>
  <c r="G851" i="8" a="1"/>
  <c r="F851" i="8" a="1"/>
  <c r="A851" i="8" a="1"/>
  <c r="D851" i="8" a="1"/>
  <c r="E851" i="8" a="1"/>
  <c r="I851" i="8" a="1"/>
  <c r="H850" i="8" a="1"/>
  <c r="G850" i="8" a="1"/>
  <c r="F850" i="8" a="1"/>
  <c r="A850" i="8" a="1"/>
  <c r="D850" i="8" a="1"/>
  <c r="E850" i="8" a="1"/>
  <c r="I850" i="8" a="1"/>
  <c r="H849" i="8" a="1"/>
  <c r="G849" i="8" a="1"/>
  <c r="F849" i="8" a="1"/>
  <c r="A849" i="8" a="1"/>
  <c r="D849" i="8" a="1"/>
  <c r="E849" i="8" a="1"/>
  <c r="I849" i="8" a="1"/>
  <c r="H848" i="8" a="1"/>
  <c r="G848" i="8" a="1"/>
  <c r="F848" i="8" a="1"/>
  <c r="A848" i="8" a="1"/>
  <c r="D848" i="8" a="1"/>
  <c r="E848" i="8" a="1"/>
  <c r="I848" i="8" a="1"/>
  <c r="H847" i="8" a="1"/>
  <c r="G847" i="8" a="1"/>
  <c r="F847" i="8" a="1"/>
  <c r="A847" i="8" a="1"/>
  <c r="D847" i="8" a="1"/>
  <c r="E847" i="8" a="1"/>
  <c r="I847" i="8" a="1"/>
  <c r="H846" i="8" a="1"/>
  <c r="G846" i="8" a="1"/>
  <c r="F846" i="8" a="1"/>
  <c r="A846" i="8" a="1"/>
  <c r="D846" i="8" a="1"/>
  <c r="E846" i="8" a="1"/>
  <c r="I846" i="8" a="1"/>
  <c r="H845" i="8" a="1"/>
  <c r="G845" i="8" a="1"/>
  <c r="F845" i="8" a="1"/>
  <c r="A845" i="8" a="1"/>
  <c r="D845" i="8" a="1"/>
  <c r="E845" i="8" a="1"/>
  <c r="I845" i="8" a="1"/>
  <c r="H844" i="8" a="1"/>
  <c r="G844" i="8" a="1"/>
  <c r="F844" i="8" a="1"/>
  <c r="A844" i="8" a="1"/>
  <c r="D844" i="8" a="1"/>
  <c r="E844" i="8" a="1"/>
  <c r="I844" i="8" a="1"/>
  <c r="H843" i="8" a="1"/>
  <c r="G843" i="8" a="1"/>
  <c r="F843" i="8" a="1"/>
  <c r="A843" i="8" a="1"/>
  <c r="D843" i="8" a="1"/>
  <c r="E843" i="8" a="1"/>
  <c r="I843" i="8" a="1"/>
  <c r="H842" i="8" a="1"/>
  <c r="G842" i="8" a="1"/>
  <c r="F842" i="8" a="1"/>
  <c r="A842" i="8" a="1"/>
  <c r="D842" i="8" a="1"/>
  <c r="E842" i="8" a="1"/>
  <c r="I842" i="8" a="1"/>
  <c r="H841" i="8" a="1"/>
  <c r="G841" i="8" a="1"/>
  <c r="F841" i="8" a="1"/>
  <c r="A841" i="8" a="1"/>
  <c r="D841" i="8" a="1"/>
  <c r="E841" i="8" a="1"/>
  <c r="I841" i="8" a="1"/>
  <c r="H840" i="8" a="1"/>
  <c r="G840" i="8" a="1"/>
  <c r="F840" i="8" a="1"/>
  <c r="A840" i="8" a="1"/>
  <c r="D840" i="8" a="1"/>
  <c r="E840" i="8" a="1"/>
  <c r="I840" i="8" a="1"/>
  <c r="H839" i="8" a="1"/>
  <c r="G839" i="8" a="1"/>
  <c r="F839" i="8" a="1"/>
  <c r="A839" i="8" a="1"/>
  <c r="D839" i="8" a="1"/>
  <c r="E839" i="8" a="1"/>
  <c r="I839" i="8" a="1"/>
  <c r="H838" i="8" a="1"/>
  <c r="G838" i="8" a="1"/>
  <c r="F838" i="8" a="1"/>
  <c r="A838" i="8" a="1"/>
  <c r="D838" i="8" a="1"/>
  <c r="E838" i="8" a="1"/>
  <c r="I838" i="8" a="1"/>
  <c r="H837" i="8" a="1"/>
  <c r="G837" i="8" a="1"/>
  <c r="F837" i="8" a="1"/>
  <c r="A837" i="8" a="1"/>
  <c r="D837" i="8" a="1"/>
  <c r="E837" i="8" a="1"/>
  <c r="I837" i="8" a="1"/>
  <c r="H836" i="8" a="1"/>
  <c r="G836" i="8" a="1"/>
  <c r="F836" i="8" a="1"/>
  <c r="A836" i="8" a="1"/>
  <c r="D836" i="8" a="1"/>
  <c r="E836" i="8" a="1"/>
  <c r="I836" i="8" a="1"/>
  <c r="H835" i="8" a="1"/>
  <c r="G835" i="8" a="1"/>
  <c r="F835" i="8" a="1"/>
  <c r="A835" i="8" a="1"/>
  <c r="D835" i="8" a="1"/>
  <c r="E835" i="8" a="1"/>
  <c r="I835" i="8" a="1"/>
  <c r="H834" i="8" a="1"/>
  <c r="G834" i="8" a="1"/>
  <c r="F834" i="8" a="1"/>
  <c r="A834" i="8" a="1"/>
  <c r="D834" i="8" a="1"/>
  <c r="E834" i="8" a="1"/>
  <c r="I834" i="8" a="1"/>
  <c r="H833" i="8" a="1"/>
  <c r="G833" i="8" a="1"/>
  <c r="F833" i="8" a="1"/>
  <c r="A833" i="8" a="1"/>
  <c r="D833" i="8" a="1"/>
  <c r="E833" i="8" a="1"/>
  <c r="I833" i="8" a="1"/>
  <c r="H832" i="8" a="1"/>
  <c r="G832" i="8" a="1"/>
  <c r="F832" i="8" a="1"/>
  <c r="A832" i="8" a="1"/>
  <c r="D832" i="8" a="1"/>
  <c r="E832" i="8" a="1"/>
  <c r="I832" i="8" a="1"/>
  <c r="H831" i="8" a="1"/>
  <c r="G831" i="8" a="1"/>
  <c r="F831" i="8" a="1"/>
  <c r="A831" i="8" a="1"/>
  <c r="D831" i="8" a="1"/>
  <c r="E831" i="8" a="1"/>
  <c r="I831" i="8" a="1"/>
  <c r="H830" i="8" a="1"/>
  <c r="G830" i="8" a="1"/>
  <c r="F830" i="8" a="1"/>
  <c r="A830" i="8" a="1"/>
  <c r="D830" i="8" a="1"/>
  <c r="E830" i="8" a="1"/>
  <c r="I830" i="8" a="1"/>
  <c r="H829" i="8" a="1"/>
  <c r="G829" i="8" a="1"/>
  <c r="F829" i="8" a="1"/>
  <c r="A829" i="8" a="1"/>
  <c r="D829" i="8" a="1"/>
  <c r="E829" i="8" a="1"/>
  <c r="I829" i="8" a="1"/>
  <c r="H828" i="8" a="1"/>
  <c r="G828" i="8" a="1"/>
  <c r="F828" i="8" a="1"/>
  <c r="A828" i="8" a="1"/>
  <c r="D828" i="8" a="1"/>
  <c r="E828" i="8" a="1"/>
  <c r="I828" i="8" a="1"/>
  <c r="H827" i="8" a="1"/>
  <c r="G827" i="8" a="1"/>
  <c r="F827" i="8" a="1"/>
  <c r="A827" i="8" a="1"/>
  <c r="D827" i="8" a="1"/>
  <c r="E827" i="8" a="1"/>
  <c r="I827" i="8" a="1"/>
  <c r="H826" i="8" a="1"/>
  <c r="G826" i="8" a="1"/>
  <c r="F826" i="8" a="1"/>
  <c r="A826" i="8" a="1"/>
  <c r="D826" i="8" a="1"/>
  <c r="E826" i="8" a="1"/>
  <c r="I826" i="8" a="1"/>
  <c r="H825" i="8" a="1"/>
  <c r="G825" i="8" a="1"/>
  <c r="F825" i="8" a="1"/>
  <c r="A825" i="8" a="1"/>
  <c r="D825" i="8" a="1"/>
  <c r="E825" i="8" a="1"/>
  <c r="I825" i="8" a="1"/>
  <c r="H824" i="8" a="1"/>
  <c r="G824" i="8" a="1"/>
  <c r="F824" i="8" a="1"/>
  <c r="A824" i="8" a="1"/>
  <c r="D824" i="8" a="1"/>
  <c r="E824" i="8" a="1"/>
  <c r="I824" i="8" a="1"/>
  <c r="H823" i="8" a="1"/>
  <c r="G823" i="8" a="1"/>
  <c r="F823" i="8" a="1"/>
  <c r="A823" i="8" a="1"/>
  <c r="D823" i="8" a="1"/>
  <c r="E823" i="8" a="1"/>
  <c r="I823" i="8" a="1"/>
  <c r="H822" i="8" a="1"/>
  <c r="G822" i="8" a="1"/>
  <c r="F822" i="8" a="1"/>
  <c r="A822" i="8" a="1"/>
  <c r="D822" i="8" a="1"/>
  <c r="E822" i="8" a="1"/>
  <c r="I822" i="8" a="1"/>
  <c r="H821" i="8" a="1"/>
  <c r="G821" i="8" a="1"/>
  <c r="F821" i="8" a="1"/>
  <c r="A821" i="8" a="1"/>
  <c r="D821" i="8" a="1"/>
  <c r="E821" i="8" a="1"/>
  <c r="I821" i="8" a="1"/>
  <c r="H820" i="8" a="1"/>
  <c r="G820" i="8" a="1"/>
  <c r="F820" i="8" a="1"/>
  <c r="A820" i="8" a="1"/>
  <c r="D820" i="8" a="1"/>
  <c r="E820" i="8" a="1"/>
  <c r="I820" i="8" a="1"/>
  <c r="H819" i="8" a="1"/>
  <c r="G819" i="8" a="1"/>
  <c r="F819" i="8" a="1"/>
  <c r="A819" i="8" a="1"/>
  <c r="D819" i="8" a="1"/>
  <c r="E819" i="8" a="1"/>
  <c r="I819" i="8" a="1"/>
  <c r="H818" i="8" a="1"/>
  <c r="G818" i="8" a="1"/>
  <c r="F818" i="8" a="1"/>
  <c r="A818" i="8" a="1"/>
  <c r="D818" i="8" a="1"/>
  <c r="E818" i="8" a="1"/>
  <c r="I818" i="8" a="1"/>
  <c r="H817" i="8" a="1"/>
  <c r="G817" i="8" a="1"/>
  <c r="F817" i="8" a="1"/>
  <c r="A817" i="8" a="1"/>
  <c r="D817" i="8" a="1"/>
  <c r="E817" i="8" a="1"/>
  <c r="I817" i="8" a="1"/>
  <c r="H816" i="8" a="1"/>
  <c r="G816" i="8" a="1"/>
  <c r="F816" i="8" a="1"/>
  <c r="A816" i="8" a="1"/>
  <c r="D816" i="8" a="1"/>
  <c r="E816" i="8" a="1"/>
  <c r="I816" i="8" a="1"/>
  <c r="H815" i="8" a="1"/>
  <c r="G815" i="8" a="1"/>
  <c r="F815" i="8" a="1"/>
  <c r="A815" i="8" a="1"/>
  <c r="D815" i="8" a="1"/>
  <c r="E815" i="8" a="1"/>
  <c r="I815" i="8" a="1"/>
  <c r="H814" i="8" a="1"/>
  <c r="G814" i="8" a="1"/>
  <c r="F814" i="8" a="1"/>
  <c r="A814" i="8" a="1"/>
  <c r="D814" i="8" a="1"/>
  <c r="E814" i="8" a="1"/>
  <c r="I814" i="8" a="1"/>
  <c r="H813" i="8" a="1"/>
  <c r="G813" i="8" a="1"/>
  <c r="F813" i="8" a="1"/>
  <c r="A813" i="8" a="1"/>
  <c r="D813" i="8" a="1"/>
  <c r="E813" i="8" a="1"/>
  <c r="I813" i="8" a="1"/>
  <c r="H812" i="8" a="1"/>
  <c r="G812" i="8" a="1"/>
  <c r="F812" i="8" a="1"/>
  <c r="A812" i="8" a="1"/>
  <c r="D812" i="8" a="1"/>
  <c r="E812" i="8" a="1"/>
  <c r="I812" i="8" a="1"/>
  <c r="H811" i="8" a="1"/>
  <c r="G811" i="8" a="1"/>
  <c r="F811" i="8" a="1"/>
  <c r="A811" i="8" a="1"/>
  <c r="D811" i="8" a="1"/>
  <c r="E811" i="8" a="1"/>
  <c r="I811" i="8" a="1"/>
  <c r="H810" i="8" a="1"/>
  <c r="G810" i="8" a="1"/>
  <c r="F810" i="8" a="1"/>
  <c r="A810" i="8" a="1"/>
  <c r="D810" i="8" a="1"/>
  <c r="E810" i="8" a="1"/>
  <c r="I810" i="8" a="1"/>
  <c r="H809" i="8" a="1"/>
  <c r="G809" i="8" a="1"/>
  <c r="F809" i="8" a="1"/>
  <c r="A809" i="8" a="1"/>
  <c r="D809" i="8" a="1"/>
  <c r="E809" i="8" a="1"/>
  <c r="I809" i="8" a="1"/>
  <c r="H808" i="8" a="1"/>
  <c r="G808" i="8" a="1"/>
  <c r="F808" i="8" a="1"/>
  <c r="A808" i="8" a="1"/>
  <c r="D808" i="8" a="1"/>
  <c r="E808" i="8" a="1"/>
  <c r="I808" i="8" a="1"/>
  <c r="H807" i="8" a="1"/>
  <c r="G807" i="8" a="1"/>
  <c r="F807" i="8" a="1"/>
  <c r="A807" i="8" a="1"/>
  <c r="D807" i="8" a="1"/>
  <c r="E807" i="8" a="1"/>
  <c r="I807" i="8" a="1"/>
  <c r="H806" i="8" a="1"/>
  <c r="G806" i="8" a="1"/>
  <c r="F806" i="8" a="1"/>
  <c r="A806" i="8" a="1"/>
  <c r="D806" i="8" a="1"/>
  <c r="E806" i="8" a="1"/>
  <c r="I806" i="8" a="1"/>
  <c r="H805" i="8" a="1"/>
  <c r="G805" i="8" a="1"/>
  <c r="F805" i="8" a="1"/>
  <c r="A805" i="8" a="1"/>
  <c r="D805" i="8" a="1"/>
  <c r="E805" i="8" a="1"/>
  <c r="I805" i="8" a="1"/>
  <c r="H804" i="8" a="1"/>
  <c r="G804" i="8" a="1"/>
  <c r="F804" i="8" a="1"/>
  <c r="A804" i="8" a="1"/>
  <c r="D804" i="8" a="1"/>
  <c r="E804" i="8" a="1"/>
  <c r="I804" i="8" a="1"/>
  <c r="H803" i="8" a="1"/>
  <c r="G803" i="8" a="1"/>
  <c r="F803" i="8" a="1"/>
  <c r="A803" i="8" a="1"/>
  <c r="D803" i="8" a="1"/>
  <c r="E803" i="8" a="1"/>
  <c r="I803" i="8" a="1"/>
  <c r="H802" i="8" a="1"/>
  <c r="G802" i="8" a="1"/>
  <c r="F802" i="8" a="1"/>
  <c r="A802" i="8" a="1"/>
  <c r="D802" i="8" a="1"/>
  <c r="E802" i="8" a="1"/>
  <c r="I802" i="8" a="1"/>
  <c r="H801" i="8" a="1"/>
  <c r="G801" i="8" a="1"/>
  <c r="F801" i="8" a="1"/>
  <c r="A801" i="8" a="1"/>
  <c r="D801" i="8" a="1"/>
  <c r="E801" i="8" a="1"/>
  <c r="I801" i="8" a="1"/>
  <c r="H800" i="8" a="1"/>
  <c r="G800" i="8" a="1"/>
  <c r="F800" i="8" a="1"/>
  <c r="A800" i="8" a="1"/>
  <c r="D800" i="8" a="1"/>
  <c r="E800" i="8" a="1"/>
  <c r="I800" i="8" a="1"/>
  <c r="H799" i="8" a="1"/>
  <c r="G799" i="8" a="1"/>
  <c r="F799" i="8" a="1"/>
  <c r="A799" i="8" a="1"/>
  <c r="D799" i="8" a="1"/>
  <c r="E799" i="8" a="1"/>
  <c r="I799" i="8" a="1"/>
  <c r="H798" i="8" a="1"/>
  <c r="G798" i="8" a="1"/>
  <c r="F798" i="8" a="1"/>
  <c r="A798" i="8" a="1"/>
  <c r="D798" i="8" a="1"/>
  <c r="E798" i="8" a="1"/>
  <c r="I798" i="8" a="1"/>
  <c r="H797" i="8" a="1"/>
  <c r="G797" i="8" a="1"/>
  <c r="F797" i="8" a="1"/>
  <c r="A797" i="8" a="1"/>
  <c r="D797" i="8" a="1"/>
  <c r="E797" i="8" a="1"/>
  <c r="I797" i="8" a="1"/>
  <c r="H796" i="8" a="1"/>
  <c r="G796" i="8" a="1"/>
  <c r="F796" i="8" a="1"/>
  <c r="A796" i="8" a="1"/>
  <c r="D796" i="8" a="1"/>
  <c r="E796" i="8" a="1"/>
  <c r="I796" i="8" a="1"/>
  <c r="H795" i="8" a="1"/>
  <c r="G795" i="8" a="1"/>
  <c r="F795" i="8" a="1"/>
  <c r="A795" i="8" a="1"/>
  <c r="D795" i="8" a="1"/>
  <c r="E795" i="8" a="1"/>
  <c r="I795" i="8" a="1"/>
  <c r="H794" i="8" a="1"/>
  <c r="G794" i="8" a="1"/>
  <c r="F794" i="8" a="1"/>
  <c r="A794" i="8" a="1"/>
  <c r="D794" i="8" a="1"/>
  <c r="E794" i="8" a="1"/>
  <c r="I794" i="8" a="1"/>
  <c r="H793" i="8" a="1"/>
  <c r="G793" i="8" a="1"/>
  <c r="F793" i="8" a="1"/>
  <c r="A793" i="8" a="1"/>
  <c r="D793" i="8" a="1"/>
  <c r="E793" i="8" a="1"/>
  <c r="I793" i="8" a="1"/>
  <c r="H792" i="8" a="1"/>
  <c r="G792" i="8" a="1"/>
  <c r="F792" i="8" a="1"/>
  <c r="A792" i="8" a="1"/>
  <c r="D792" i="8" a="1"/>
  <c r="E792" i="8" a="1"/>
  <c r="I792" i="8" a="1"/>
  <c r="H791" i="8" a="1"/>
  <c r="G791" i="8" a="1"/>
  <c r="F791" i="8" a="1"/>
  <c r="A791" i="8" a="1"/>
  <c r="D791" i="8" a="1"/>
  <c r="E791" i="8" a="1"/>
  <c r="I791" i="8" a="1"/>
  <c r="H790" i="8" a="1"/>
  <c r="G790" i="8" a="1"/>
  <c r="F790" i="8" a="1"/>
  <c r="A790" i="8" a="1"/>
  <c r="D790" i="8" a="1"/>
  <c r="E790" i="8" a="1"/>
  <c r="I790" i="8" a="1"/>
  <c r="H789" i="8" a="1"/>
  <c r="G789" i="8" a="1"/>
  <c r="F789" i="8" a="1"/>
  <c r="A789" i="8" a="1"/>
  <c r="D789" i="8" a="1"/>
  <c r="E789" i="8" a="1"/>
  <c r="I789" i="8" a="1"/>
  <c r="H788" i="8" a="1"/>
  <c r="G788" i="8" a="1"/>
  <c r="F788" i="8" a="1"/>
  <c r="A788" i="8" a="1"/>
  <c r="D788" i="8" a="1"/>
  <c r="E788" i="8" a="1"/>
  <c r="I788" i="8" a="1"/>
  <c r="H787" i="8" a="1"/>
  <c r="G787" i="8" a="1"/>
  <c r="F787" i="8" a="1"/>
  <c r="A787" i="8" a="1"/>
  <c r="D787" i="8" a="1"/>
  <c r="E787" i="8" a="1"/>
  <c r="I787" i="8" a="1"/>
  <c r="H786" i="8" a="1"/>
  <c r="G786" i="8" a="1"/>
  <c r="F786" i="8" a="1"/>
  <c r="A786" i="8" a="1"/>
  <c r="D786" i="8" a="1"/>
  <c r="E786" i="8" a="1"/>
  <c r="I786" i="8" a="1"/>
  <c r="H785" i="8" a="1"/>
  <c r="G785" i="8" a="1"/>
  <c r="F785" i="8" a="1"/>
  <c r="A785" i="8" a="1"/>
  <c r="D785" i="8" a="1"/>
  <c r="E785" i="8" a="1"/>
  <c r="I785" i="8" a="1"/>
  <c r="H784" i="8" a="1"/>
  <c r="G784" i="8" a="1"/>
  <c r="F784" i="8" a="1"/>
  <c r="A784" i="8" a="1"/>
  <c r="D784" i="8" a="1"/>
  <c r="E784" i="8" a="1"/>
  <c r="I784" i="8" a="1"/>
  <c r="H783" i="8" a="1"/>
  <c r="G783" i="8" a="1"/>
  <c r="F783" i="8" a="1"/>
  <c r="A783" i="8" a="1"/>
  <c r="D783" i="8" a="1"/>
  <c r="E783" i="8" a="1"/>
  <c r="I783" i="8" a="1"/>
  <c r="H782" i="8" a="1"/>
  <c r="G782" i="8" a="1"/>
  <c r="F782" i="8" a="1"/>
  <c r="A782" i="8" a="1"/>
  <c r="D782" i="8" a="1"/>
  <c r="E782" i="8" a="1"/>
  <c r="I782" i="8" a="1"/>
  <c r="H781" i="8" a="1"/>
  <c r="G781" i="8" a="1"/>
  <c r="F781" i="8" a="1"/>
  <c r="A781" i="8" a="1"/>
  <c r="D781" i="8" a="1"/>
  <c r="E781" i="8" a="1"/>
  <c r="I781" i="8" a="1"/>
  <c r="H780" i="8" a="1"/>
  <c r="G780" i="8" a="1"/>
  <c r="F780" i="8" a="1"/>
  <c r="A780" i="8" a="1"/>
  <c r="D780" i="8" a="1"/>
  <c r="E780" i="8" a="1"/>
  <c r="I780" i="8" a="1"/>
  <c r="H779" i="8" a="1"/>
  <c r="G779" i="8" a="1"/>
  <c r="F779" i="8" a="1"/>
  <c r="A779" i="8" a="1"/>
  <c r="D779" i="8" a="1"/>
  <c r="E779" i="8" a="1"/>
  <c r="I779" i="8" a="1"/>
  <c r="H778" i="8" a="1"/>
  <c r="G778" i="8" a="1"/>
  <c r="F778" i="8" a="1"/>
  <c r="A778" i="8" a="1"/>
  <c r="D778" i="8" a="1"/>
  <c r="E778" i="8" a="1"/>
  <c r="I778" i="8" a="1"/>
  <c r="H777" i="8" a="1"/>
  <c r="G777" i="8" a="1"/>
  <c r="F777" i="8" a="1"/>
  <c r="A777" i="8" a="1"/>
  <c r="D777" i="8" a="1"/>
  <c r="E777" i="8" a="1"/>
  <c r="I777" i="8" a="1"/>
  <c r="H776" i="8" a="1"/>
  <c r="G776" i="8" a="1"/>
  <c r="F776" i="8" a="1"/>
  <c r="A776" i="8" a="1"/>
  <c r="D776" i="8" a="1"/>
  <c r="E776" i="8" a="1"/>
  <c r="I776" i="8" a="1"/>
  <c r="H775" i="8" a="1"/>
  <c r="G775" i="8" a="1"/>
  <c r="F775" i="8" a="1"/>
  <c r="A775" i="8" a="1"/>
  <c r="D775" i="8" a="1"/>
  <c r="E775" i="8" a="1"/>
  <c r="I775" i="8" a="1"/>
  <c r="H774" i="8" a="1"/>
  <c r="G774" i="8" a="1"/>
  <c r="F774" i="8" a="1"/>
  <c r="A774" i="8" a="1"/>
  <c r="D774" i="8" a="1"/>
  <c r="E774" i="8" a="1"/>
  <c r="I774" i="8" a="1"/>
  <c r="H773" i="8" a="1"/>
  <c r="G773" i="8" a="1"/>
  <c r="F773" i="8" a="1"/>
  <c r="A773" i="8" a="1"/>
  <c r="D773" i="8" a="1"/>
  <c r="E773" i="8" a="1"/>
  <c r="I773" i="8" a="1"/>
  <c r="H772" i="8" a="1"/>
  <c r="G772" i="8" a="1"/>
  <c r="F772" i="8" a="1"/>
  <c r="A772" i="8" a="1"/>
  <c r="D772" i="8" a="1"/>
  <c r="E772" i="8" a="1"/>
  <c r="I772" i="8" a="1"/>
  <c r="H771" i="8" a="1"/>
  <c r="G771" i="8" a="1"/>
  <c r="F771" i="8" a="1"/>
  <c r="A771" i="8" a="1"/>
  <c r="D771" i="8" a="1"/>
  <c r="E771" i="8" a="1"/>
  <c r="I771" i="8" a="1"/>
  <c r="H770" i="8" a="1"/>
  <c r="G770" i="8" a="1"/>
  <c r="F770" i="8" a="1"/>
  <c r="A770" i="8" a="1"/>
  <c r="D770" i="8" a="1"/>
  <c r="E770" i="8" a="1"/>
  <c r="I770" i="8" a="1"/>
  <c r="H769" i="8" a="1"/>
  <c r="G769" i="8" a="1"/>
  <c r="F769" i="8" a="1"/>
  <c r="A769" i="8" a="1"/>
  <c r="D769" i="8" a="1"/>
  <c r="E769" i="8" a="1"/>
  <c r="I769" i="8" a="1"/>
  <c r="H768" i="8" a="1"/>
  <c r="G768" i="8" a="1"/>
  <c r="F768" i="8" a="1"/>
  <c r="A768" i="8" a="1"/>
  <c r="D768" i="8" a="1"/>
  <c r="E768" i="8" a="1"/>
  <c r="I768" i="8" a="1"/>
  <c r="H767" i="8" a="1"/>
  <c r="G767" i="8" a="1"/>
  <c r="F767" i="8" a="1"/>
  <c r="A767" i="8" a="1"/>
  <c r="D767" i="8" a="1"/>
  <c r="E767" i="8" a="1"/>
  <c r="I767" i="8" a="1"/>
  <c r="H766" i="8" a="1"/>
  <c r="G766" i="8" a="1"/>
  <c r="F766" i="8" a="1"/>
  <c r="A766" i="8" a="1"/>
  <c r="D766" i="8" a="1"/>
  <c r="E766" i="8" a="1"/>
  <c r="I766" i="8" a="1"/>
  <c r="H765" i="8" a="1"/>
  <c r="G765" i="8" a="1"/>
  <c r="F765" i="8" a="1"/>
  <c r="A765" i="8" a="1"/>
  <c r="D765" i="8" a="1"/>
  <c r="E765" i="8" a="1"/>
  <c r="I765" i="8" a="1"/>
  <c r="H764" i="8" a="1"/>
  <c r="G764" i="8" a="1"/>
  <c r="F764" i="8" a="1"/>
  <c r="A764" i="8" a="1"/>
  <c r="D764" i="8" a="1"/>
  <c r="E764" i="8" a="1"/>
  <c r="I764" i="8" a="1"/>
  <c r="H763" i="8" a="1"/>
  <c r="G763" i="8" a="1"/>
  <c r="F763" i="8" a="1"/>
  <c r="A763" i="8" a="1"/>
  <c r="D763" i="8" a="1"/>
  <c r="E763" i="8" a="1"/>
  <c r="I763" i="8" a="1"/>
  <c r="H762" i="8" a="1"/>
  <c r="G762" i="8" a="1"/>
  <c r="F762" i="8" a="1"/>
  <c r="A762" i="8" a="1"/>
  <c r="D762" i="8" a="1"/>
  <c r="E762" i="8" a="1"/>
  <c r="I762" i="8" a="1"/>
  <c r="H761" i="8" a="1"/>
  <c r="G761" i="8" a="1"/>
  <c r="F761" i="8" a="1"/>
  <c r="A761" i="8" a="1"/>
  <c r="D761" i="8" a="1"/>
  <c r="E761" i="8" a="1"/>
  <c r="I761" i="8" a="1"/>
  <c r="H760" i="8" a="1"/>
  <c r="G760" i="8" a="1"/>
  <c r="F760" i="8" a="1"/>
  <c r="A760" i="8" a="1"/>
  <c r="D760" i="8" a="1"/>
  <c r="E760" i="8" a="1"/>
  <c r="I760" i="8" a="1"/>
  <c r="H759" i="8" a="1"/>
  <c r="G759" i="8" a="1"/>
  <c r="F759" i="8" a="1"/>
  <c r="A759" i="8" a="1"/>
  <c r="D759" i="8" a="1"/>
  <c r="E759" i="8" a="1"/>
  <c r="I759" i="8" a="1"/>
  <c r="H758" i="8" a="1"/>
  <c r="G758" i="8" a="1"/>
  <c r="F758" i="8" a="1"/>
  <c r="A758" i="8" a="1"/>
  <c r="D758" i="8" a="1"/>
  <c r="E758" i="8" a="1"/>
  <c r="I758" i="8" a="1"/>
  <c r="H757" i="8" a="1"/>
  <c r="G757" i="8" a="1"/>
  <c r="F757" i="8" a="1"/>
  <c r="A757" i="8" a="1"/>
  <c r="D757" i="8" a="1"/>
  <c r="E757" i="8" a="1"/>
  <c r="I757" i="8" a="1"/>
  <c r="H756" i="8" a="1"/>
  <c r="G756" i="8" a="1"/>
  <c r="F756" i="8" a="1"/>
  <c r="A756" i="8" a="1"/>
  <c r="D756" i="8" a="1"/>
  <c r="E756" i="8" a="1"/>
  <c r="I756" i="8" a="1"/>
  <c r="H755" i="8" a="1"/>
  <c r="G755" i="8" a="1"/>
  <c r="F755" i="8" a="1"/>
  <c r="A755" i="8" a="1"/>
  <c r="D755" i="8" a="1"/>
  <c r="E755" i="8" a="1"/>
  <c r="I755" i="8" a="1"/>
  <c r="H754" i="8" a="1"/>
  <c r="G754" i="8" a="1"/>
  <c r="F754" i="8" a="1"/>
  <c r="A754" i="8" a="1"/>
  <c r="D754" i="8" a="1"/>
  <c r="E754" i="8" a="1"/>
  <c r="I754" i="8" a="1"/>
  <c r="H753" i="8" a="1"/>
  <c r="G753" i="8" a="1"/>
  <c r="F753" i="8" a="1"/>
  <c r="A753" i="8" a="1"/>
  <c r="D753" i="8" a="1"/>
  <c r="E753" i="8" a="1"/>
  <c r="I753" i="8" a="1"/>
  <c r="H752" i="8" a="1"/>
  <c r="G752" i="8" a="1"/>
  <c r="F752" i="8" a="1"/>
  <c r="A752" i="8" a="1"/>
  <c r="D752" i="8" a="1"/>
  <c r="E752" i="8" a="1"/>
  <c r="I752" i="8" a="1"/>
  <c r="H751" i="8" a="1"/>
  <c r="G751" i="8" a="1"/>
  <c r="F751" i="8" a="1"/>
  <c r="A751" i="8" a="1"/>
  <c r="D751" i="8" a="1"/>
  <c r="E751" i="8" a="1"/>
  <c r="I751" i="8" a="1"/>
  <c r="H750" i="8" a="1"/>
  <c r="G750" i="8" a="1"/>
  <c r="F750" i="8" a="1"/>
  <c r="A750" i="8" a="1"/>
  <c r="D750" i="8" a="1"/>
  <c r="E750" i="8" a="1"/>
  <c r="I750" i="8" a="1"/>
  <c r="H749" i="8" a="1"/>
  <c r="G749" i="8" a="1"/>
  <c r="F749" i="8" a="1"/>
  <c r="A749" i="8" a="1"/>
  <c r="D749" i="8" a="1"/>
  <c r="E749" i="8" a="1"/>
  <c r="I749" i="8" a="1"/>
  <c r="H748" i="8" a="1"/>
  <c r="G748" i="8" a="1"/>
  <c r="F748" i="8" a="1"/>
  <c r="A748" i="8" a="1"/>
  <c r="D748" i="8" a="1"/>
  <c r="E748" i="8" a="1"/>
  <c r="I748" i="8" a="1"/>
  <c r="H747" i="8" a="1"/>
  <c r="G747" i="8" a="1"/>
  <c r="F747" i="8" a="1"/>
  <c r="A747" i="8" a="1"/>
  <c r="D747" i="8" a="1"/>
  <c r="E747" i="8" a="1"/>
  <c r="I747" i="8" a="1"/>
  <c r="H746" i="8" a="1"/>
  <c r="G746" i="8" a="1"/>
  <c r="F746" i="8" a="1"/>
  <c r="A746" i="8" a="1"/>
  <c r="D746" i="8" a="1"/>
  <c r="E746" i="8" a="1"/>
  <c r="I746" i="8" a="1"/>
  <c r="H745" i="8" a="1"/>
  <c r="G745" i="8" a="1"/>
  <c r="F745" i="8" a="1"/>
  <c r="A745" i="8" a="1"/>
  <c r="D745" i="8" a="1"/>
  <c r="E745" i="8" a="1"/>
  <c r="I745" i="8" a="1"/>
  <c r="H744" i="8" a="1"/>
  <c r="G744" i="8" a="1"/>
  <c r="F744" i="8" a="1"/>
  <c r="A744" i="8" a="1"/>
  <c r="D744" i="8" a="1"/>
  <c r="E744" i="8" a="1"/>
  <c r="I744" i="8" a="1"/>
  <c r="H743" i="8" a="1"/>
  <c r="G743" i="8" a="1"/>
  <c r="F743" i="8" a="1"/>
  <c r="A743" i="8" a="1"/>
  <c r="H600" i="8" a="1"/>
  <c r="G600" i="8" a="1"/>
  <c r="F600" i="8" a="1"/>
  <c r="A600" i="8" a="1"/>
  <c r="D600" i="8" a="1"/>
  <c r="E600" i="8" a="1"/>
  <c r="I600" i="8" a="1"/>
  <c r="H599" i="8" a="1"/>
  <c r="G599" i="8" a="1"/>
  <c r="F599" i="8" a="1"/>
  <c r="A599" i="8" a="1"/>
  <c r="D599" i="8" a="1"/>
  <c r="E599" i="8" a="1"/>
  <c r="I599" i="8" a="1"/>
  <c r="H598" i="8" a="1"/>
  <c r="G598" i="8" a="1"/>
  <c r="F598" i="8" a="1"/>
  <c r="A598" i="8" a="1"/>
  <c r="D598" i="8" a="1"/>
  <c r="E598" i="8" a="1"/>
  <c r="I598" i="8" a="1"/>
  <c r="H597" i="8" a="1"/>
  <c r="G597" i="8" a="1"/>
  <c r="F597" i="8" a="1"/>
  <c r="A597" i="8" a="1"/>
  <c r="D597" i="8" a="1"/>
  <c r="E597" i="8" a="1"/>
  <c r="I597" i="8" a="1"/>
  <c r="H596" i="8" a="1"/>
  <c r="G596" i="8" a="1"/>
  <c r="F596" i="8" a="1"/>
  <c r="A596" i="8" a="1"/>
  <c r="D596" i="8" a="1"/>
  <c r="E596" i="8" a="1"/>
  <c r="I596" i="8" a="1"/>
  <c r="H595" i="8" a="1"/>
  <c r="G595" i="8" a="1"/>
  <c r="F595" i="8" a="1"/>
  <c r="A595" i="8" a="1"/>
  <c r="D595" i="8" a="1"/>
  <c r="E595" i="8" a="1"/>
  <c r="I595" i="8" a="1"/>
  <c r="H594" i="8" a="1"/>
  <c r="G594" i="8" a="1"/>
  <c r="F594" i="8" a="1"/>
  <c r="A594" i="8" a="1"/>
  <c r="D594" i="8" a="1"/>
  <c r="E594" i="8" a="1"/>
  <c r="I594" i="8" a="1"/>
  <c r="H593" i="8" a="1"/>
  <c r="G593" i="8" a="1"/>
  <c r="F593" i="8" a="1"/>
  <c r="A593" i="8" a="1"/>
  <c r="D593" i="8" a="1"/>
  <c r="E593" i="8" a="1"/>
  <c r="I593" i="8" a="1"/>
  <c r="H592" i="8" a="1"/>
  <c r="G592" i="8" a="1"/>
  <c r="F592" i="8" a="1"/>
  <c r="A592" i="8" a="1"/>
  <c r="D592" i="8" a="1"/>
  <c r="E592" i="8" a="1"/>
  <c r="I592" i="8" a="1"/>
  <c r="H591" i="8" a="1"/>
  <c r="G591" i="8" a="1"/>
  <c r="F591" i="8" a="1"/>
  <c r="A591" i="8" a="1"/>
  <c r="D591" i="8" a="1"/>
  <c r="E591" i="8" a="1"/>
  <c r="I591" i="8" a="1"/>
  <c r="H590" i="8" a="1"/>
  <c r="G590" i="8" a="1"/>
  <c r="F590" i="8" a="1"/>
  <c r="A590" i="8" a="1"/>
  <c r="D590" i="8" a="1"/>
  <c r="E590" i="8" a="1"/>
  <c r="I590" i="8" a="1"/>
  <c r="H589" i="8" a="1"/>
  <c r="G589" i="8" a="1"/>
  <c r="F589" i="8" a="1"/>
  <c r="A589" i="8" a="1"/>
  <c r="D589" i="8" a="1"/>
  <c r="E589" i="8" a="1"/>
  <c r="I589" i="8" a="1"/>
  <c r="H588" i="8" a="1"/>
  <c r="G588" i="8" a="1"/>
  <c r="F588" i="8" a="1"/>
  <c r="A588" i="8" a="1"/>
  <c r="D588" i="8" a="1"/>
  <c r="E588" i="8" a="1"/>
  <c r="I588" i="8" a="1"/>
  <c r="H587" i="8" a="1"/>
  <c r="G587" i="8" a="1"/>
  <c r="F587" i="8" a="1"/>
  <c r="A587" i="8" a="1"/>
  <c r="D587" i="8" a="1"/>
  <c r="E587" i="8" a="1"/>
  <c r="I587" i="8" a="1"/>
  <c r="H586" i="8" a="1"/>
  <c r="G586" i="8" a="1"/>
  <c r="F586" i="8" a="1"/>
  <c r="A586" i="8" a="1"/>
  <c r="D586" i="8" a="1"/>
  <c r="E586" i="8" a="1"/>
  <c r="I586" i="8" a="1"/>
  <c r="H585" i="8" a="1"/>
  <c r="G585" i="8" a="1"/>
  <c r="F585" i="8" a="1"/>
  <c r="A585" i="8" a="1"/>
  <c r="D585" i="8" a="1"/>
  <c r="E585" i="8" a="1"/>
  <c r="I585" i="8" a="1"/>
  <c r="H584" i="8" a="1"/>
  <c r="G584" i="8" a="1"/>
  <c r="F584" i="8" a="1"/>
  <c r="A584" i="8" a="1"/>
  <c r="D584" i="8" a="1"/>
  <c r="E584" i="8" a="1"/>
  <c r="I584" i="8" a="1"/>
  <c r="H583" i="8" a="1"/>
  <c r="G583" i="8" a="1"/>
  <c r="F583" i="8" a="1"/>
  <c r="A583" i="8" a="1"/>
  <c r="D583" i="8" a="1"/>
  <c r="E583" i="8" a="1"/>
  <c r="I583" i="8" a="1"/>
  <c r="H582" i="8" a="1"/>
  <c r="G582" i="8" a="1"/>
  <c r="F582" i="8" a="1"/>
  <c r="A582" i="8" a="1"/>
  <c r="D582" i="8" a="1"/>
  <c r="E582" i="8" a="1"/>
  <c r="I582" i="8" a="1"/>
  <c r="H581" i="8" a="1"/>
  <c r="G581" i="8" a="1"/>
  <c r="F581" i="8" a="1"/>
  <c r="A581" i="8" a="1"/>
  <c r="D581" i="8" a="1"/>
  <c r="E581" i="8" a="1"/>
  <c r="I581" i="8" a="1"/>
  <c r="H580" i="8" a="1"/>
  <c r="G580" i="8" a="1"/>
  <c r="F580" i="8" a="1"/>
  <c r="A580" i="8" a="1"/>
  <c r="D580" i="8" a="1"/>
  <c r="E580" i="8" a="1"/>
  <c r="I580" i="8" a="1"/>
  <c r="H579" i="8" a="1"/>
  <c r="G579" i="8" a="1"/>
  <c r="F579" i="8" a="1"/>
  <c r="A579" i="8" a="1"/>
  <c r="D579" i="8" a="1"/>
  <c r="E579" i="8" a="1"/>
  <c r="I579" i="8" a="1"/>
  <c r="H578" i="8" a="1"/>
  <c r="G578" i="8" a="1"/>
  <c r="F578" i="8" a="1"/>
  <c r="A578" i="8" a="1"/>
  <c r="D578" i="8" a="1"/>
  <c r="E578" i="8" a="1"/>
  <c r="I578" i="8" a="1"/>
  <c r="H577" i="8" a="1"/>
  <c r="G577" i="8" a="1"/>
  <c r="F577" i="8" a="1"/>
  <c r="A577" i="8" a="1"/>
  <c r="D577" i="8" a="1"/>
  <c r="E577" i="8" a="1"/>
  <c r="I577" i="8" a="1"/>
  <c r="H576" i="8" a="1"/>
  <c r="G576" i="8" a="1"/>
  <c r="F576" i="8" a="1"/>
  <c r="A576" i="8" a="1"/>
  <c r="D576" i="8" a="1"/>
  <c r="E576" i="8" a="1"/>
  <c r="I576" i="8" a="1"/>
  <c r="H575" i="8" a="1"/>
  <c r="G575" i="8" a="1"/>
  <c r="F575" i="8" a="1"/>
  <c r="A575" i="8" a="1"/>
  <c r="D575" i="8" a="1"/>
  <c r="E575" i="8" a="1"/>
  <c r="I575" i="8" a="1"/>
  <c r="H574" i="8" a="1"/>
  <c r="G574" i="8" a="1"/>
  <c r="F574" i="8" a="1"/>
  <c r="A574" i="8" a="1"/>
  <c r="D574" i="8" a="1"/>
  <c r="E574" i="8" a="1"/>
  <c r="I574" i="8" a="1"/>
  <c r="H573" i="8" a="1"/>
  <c r="G573" i="8" a="1"/>
  <c r="F573" i="8" a="1"/>
  <c r="A573" i="8" a="1"/>
  <c r="D573" i="8" a="1"/>
  <c r="E573" i="8" a="1"/>
  <c r="I573" i="8" a="1"/>
  <c r="H572" i="8" a="1"/>
  <c r="G572" i="8" a="1"/>
  <c r="F572" i="8" a="1"/>
  <c r="A572" i="8" a="1"/>
  <c r="D572" i="8" a="1"/>
  <c r="E572" i="8" a="1"/>
  <c r="I572" i="8" a="1"/>
  <c r="H571" i="8" a="1"/>
  <c r="G571" i="8" a="1"/>
  <c r="F571" i="8" a="1"/>
  <c r="A571" i="8" a="1"/>
  <c r="D571" i="8" a="1"/>
  <c r="E571" i="8" a="1"/>
  <c r="I571" i="8" a="1"/>
  <c r="H570" i="8" a="1"/>
  <c r="G570" i="8" a="1"/>
  <c r="F570" i="8" a="1"/>
  <c r="A570" i="8" a="1"/>
  <c r="D570" i="8" a="1"/>
  <c r="E570" i="8" a="1"/>
  <c r="I570" i="8" a="1"/>
  <c r="H569" i="8" a="1"/>
  <c r="G569" i="8" a="1"/>
  <c r="F569" i="8" a="1"/>
  <c r="A569" i="8" a="1"/>
  <c r="D569" i="8" a="1"/>
  <c r="E569" i="8" a="1"/>
  <c r="I569" i="8" a="1"/>
  <c r="H568" i="8" a="1"/>
  <c r="G568" i="8" a="1"/>
  <c r="F568" i="8" a="1"/>
  <c r="A568" i="8" a="1"/>
  <c r="D568" i="8" a="1"/>
  <c r="E568" i="8" a="1"/>
  <c r="I568" i="8" a="1"/>
  <c r="H567" i="8" a="1"/>
  <c r="G567" i="8" a="1"/>
  <c r="F567" i="8" a="1"/>
  <c r="A567" i="8" a="1"/>
  <c r="D567" i="8" a="1"/>
  <c r="E567" i="8" a="1"/>
  <c r="I567" i="8" a="1"/>
  <c r="H566" i="8" a="1"/>
  <c r="G566" i="8" a="1"/>
  <c r="F566" i="8" a="1"/>
  <c r="A566" i="8" a="1"/>
  <c r="D566" i="8" a="1"/>
  <c r="E566" i="8" a="1"/>
  <c r="I566" i="8" a="1"/>
  <c r="H565" i="8" a="1"/>
  <c r="G565" i="8" a="1"/>
  <c r="F565" i="8" a="1"/>
  <c r="A565" i="8" a="1"/>
  <c r="D565" i="8" a="1"/>
  <c r="E565" i="8" a="1"/>
  <c r="I565" i="8" a="1"/>
  <c r="H564" i="8" a="1"/>
  <c r="G564" i="8" a="1"/>
  <c r="F564" i="8" a="1"/>
  <c r="A564" i="8" a="1"/>
  <c r="D564" i="8" a="1"/>
  <c r="E564" i="8" a="1"/>
  <c r="I564" i="8" a="1"/>
  <c r="H563" i="8" a="1"/>
  <c r="G563" i="8" a="1"/>
  <c r="F563" i="8" a="1"/>
  <c r="A563" i="8" a="1"/>
  <c r="D563" i="8" a="1"/>
  <c r="E563" i="8" a="1"/>
  <c r="I563" i="8" a="1"/>
  <c r="H562" i="8" a="1"/>
  <c r="G562" i="8" a="1"/>
  <c r="F562" i="8" a="1"/>
  <c r="A562" i="8" a="1"/>
  <c r="D562" i="8" a="1"/>
  <c r="E562" i="8" a="1"/>
  <c r="I562" i="8" a="1"/>
  <c r="H561" i="8" a="1"/>
  <c r="G561" i="8" a="1"/>
  <c r="F561" i="8" a="1"/>
  <c r="A561" i="8" a="1"/>
  <c r="D561" i="8" a="1"/>
  <c r="E561" i="8" a="1"/>
  <c r="I561" i="8" a="1"/>
  <c r="H560" i="8" a="1"/>
  <c r="G560" i="8" a="1"/>
  <c r="F560" i="8" a="1"/>
  <c r="A560" i="8" a="1"/>
  <c r="D560" i="8" a="1"/>
  <c r="E560" i="8" a="1"/>
  <c r="I560" i="8" a="1"/>
  <c r="H559" i="8" a="1"/>
  <c r="G559" i="8" a="1"/>
  <c r="F559" i="8" a="1"/>
  <c r="A559" i="8" a="1"/>
  <c r="D559" i="8" a="1"/>
  <c r="E559" i="8" a="1"/>
  <c r="I559" i="8" a="1"/>
  <c r="H558" i="8" a="1"/>
  <c r="G558" i="8" a="1"/>
  <c r="F558" i="8" a="1"/>
  <c r="A558" i="8" a="1"/>
  <c r="D558" i="8" a="1"/>
  <c r="E558" i="8" a="1"/>
  <c r="I558" i="8" a="1"/>
  <c r="H557" i="8" a="1"/>
  <c r="G557" i="8" a="1"/>
  <c r="F557" i="8" a="1"/>
  <c r="A557" i="8" a="1"/>
  <c r="D557" i="8" a="1"/>
  <c r="E557" i="8" a="1"/>
  <c r="I557" i="8" a="1"/>
  <c r="H556" i="8" a="1"/>
  <c r="G556" i="8" a="1"/>
  <c r="F556" i="8" a="1"/>
  <c r="A556" i="8" a="1"/>
  <c r="D556" i="8" a="1"/>
  <c r="E556" i="8" a="1"/>
  <c r="I556" i="8" a="1"/>
  <c r="H555" i="8" a="1"/>
  <c r="G555" i="8" a="1"/>
  <c r="F555" i="8" a="1"/>
  <c r="A555" i="8" a="1"/>
  <c r="D555" i="8" a="1"/>
  <c r="E555" i="8" a="1"/>
  <c r="I555" i="8" a="1"/>
  <c r="H554" i="8" a="1"/>
  <c r="G554" i="8" a="1"/>
  <c r="F554" i="8" a="1"/>
  <c r="A554" i="8" a="1"/>
  <c r="D554" i="8" a="1"/>
  <c r="E554" i="8" a="1"/>
  <c r="I554" i="8" a="1"/>
  <c r="H553" i="8" a="1"/>
  <c r="G553" i="8" a="1"/>
  <c r="F553" i="8" a="1"/>
  <c r="A553" i="8" a="1"/>
  <c r="D553" i="8" a="1"/>
  <c r="E553" i="8" a="1"/>
  <c r="I553" i="8" a="1"/>
  <c r="H552" i="8" a="1"/>
  <c r="G552" i="8" a="1"/>
  <c r="F552" i="8" a="1"/>
  <c r="A552" i="8" a="1"/>
  <c r="D552" i="8" a="1"/>
  <c r="E552" i="8" a="1"/>
  <c r="I552" i="8" a="1"/>
  <c r="H551" i="8" a="1"/>
  <c r="G551" i="8" a="1"/>
  <c r="F551" i="8" a="1"/>
  <c r="A551" i="8" a="1"/>
  <c r="D551" i="8" a="1"/>
  <c r="E551" i="8" a="1"/>
  <c r="I551" i="8" a="1"/>
  <c r="H550" i="8" a="1"/>
  <c r="G550" i="8" a="1"/>
  <c r="F550" i="8" a="1"/>
  <c r="A550" i="8" a="1"/>
  <c r="D550" i="8" a="1"/>
  <c r="E550" i="8" a="1"/>
  <c r="I550" i="8" a="1"/>
  <c r="H549" i="8" a="1"/>
  <c r="G549" i="8" a="1"/>
  <c r="F549" i="8" a="1"/>
  <c r="A549" i="8" a="1"/>
  <c r="D549" i="8" a="1"/>
  <c r="E549" i="8" a="1"/>
  <c r="I549" i="8" a="1"/>
  <c r="H548" i="8" a="1"/>
  <c r="G548" i="8" a="1"/>
  <c r="F548" i="8" a="1"/>
  <c r="A548" i="8" a="1"/>
  <c r="D548" i="8" a="1"/>
  <c r="E548" i="8" a="1"/>
  <c r="I548" i="8" a="1"/>
  <c r="H547" i="8" a="1"/>
  <c r="G547" i="8" a="1"/>
  <c r="F547" i="8" a="1"/>
  <c r="A547" i="8" a="1"/>
  <c r="D547" i="8" a="1"/>
  <c r="E547" i="8" a="1"/>
  <c r="I547" i="8" a="1"/>
  <c r="H546" i="8" a="1"/>
  <c r="G546" i="8" a="1"/>
  <c r="F546" i="8" a="1"/>
  <c r="A546" i="8" a="1"/>
  <c r="D546" i="8" a="1"/>
  <c r="E546" i="8" a="1"/>
  <c r="I546" i="8" a="1"/>
  <c r="H545" i="8" a="1"/>
  <c r="G545" i="8" a="1"/>
  <c r="F545" i="8" a="1"/>
  <c r="A545" i="8" a="1"/>
  <c r="D545" i="8" a="1"/>
  <c r="E545" i="8" a="1"/>
  <c r="I545" i="8" a="1"/>
  <c r="H544" i="8" a="1"/>
  <c r="G544" i="8" a="1"/>
  <c r="F544" i="8" a="1"/>
  <c r="A544" i="8" a="1"/>
  <c r="D544" i="8" a="1"/>
  <c r="E544" i="8" a="1"/>
  <c r="I544" i="8" a="1"/>
  <c r="H543" i="8" a="1"/>
  <c r="G543" i="8" a="1"/>
  <c r="F543" i="8" a="1"/>
  <c r="A543" i="8" a="1"/>
  <c r="D543" i="8" a="1"/>
  <c r="E543" i="8" a="1"/>
  <c r="I543" i="8" a="1"/>
  <c r="H542" i="8" a="1"/>
  <c r="G542" i="8" a="1"/>
  <c r="F542" i="8" a="1"/>
  <c r="A542" i="8" a="1"/>
  <c r="D542" i="8" a="1"/>
  <c r="E542" i="8" a="1"/>
  <c r="I542" i="8" a="1"/>
  <c r="H541" i="8" a="1"/>
  <c r="G541" i="8" a="1"/>
  <c r="F541" i="8" a="1"/>
  <c r="A541" i="8" a="1"/>
  <c r="D541" i="8" a="1"/>
  <c r="E541" i="8" a="1"/>
  <c r="I541" i="8" a="1"/>
  <c r="H540" i="8" a="1"/>
  <c r="G540" i="8" a="1"/>
  <c r="F540" i="8" a="1"/>
  <c r="A540" i="8" a="1"/>
  <c r="D540" i="8" a="1"/>
  <c r="E540" i="8" a="1"/>
  <c r="I540" i="8" a="1"/>
  <c r="H539" i="8" a="1"/>
  <c r="G539" i="8" a="1"/>
  <c r="F539" i="8" a="1"/>
  <c r="A539" i="8" a="1"/>
  <c r="D539" i="8" a="1"/>
  <c r="E539" i="8" a="1"/>
  <c r="I539" i="8" a="1"/>
  <c r="H538" i="8" a="1"/>
  <c r="G538" i="8" a="1"/>
  <c r="F538" i="8" a="1"/>
  <c r="A538" i="8" a="1"/>
  <c r="D538" i="8" a="1"/>
  <c r="E538" i="8" a="1"/>
  <c r="I538" i="8" a="1"/>
  <c r="H537" i="8" a="1"/>
  <c r="G537" i="8" a="1"/>
  <c r="F537" i="8" a="1"/>
  <c r="A537" i="8" a="1"/>
  <c r="D537" i="8" a="1"/>
  <c r="E537" i="8" a="1"/>
  <c r="I537" i="8" a="1"/>
  <c r="H536" i="8" a="1"/>
  <c r="G536" i="8" a="1"/>
  <c r="F536" i="8" a="1"/>
  <c r="A536" i="8" a="1"/>
  <c r="D536" i="8" a="1"/>
  <c r="E536" i="8" a="1"/>
  <c r="I536" i="8" a="1"/>
  <c r="H535" i="8" a="1"/>
  <c r="G535" i="8" a="1"/>
  <c r="F535" i="8" a="1"/>
  <c r="A535" i="8" a="1"/>
  <c r="D535" i="8" a="1"/>
  <c r="E535" i="8" a="1"/>
  <c r="I535" i="8" a="1"/>
  <c r="H534" i="8" a="1"/>
  <c r="G534" i="8" a="1"/>
  <c r="F534" i="8" a="1"/>
  <c r="A534" i="8" a="1"/>
  <c r="D534" i="8" a="1"/>
  <c r="E534" i="8" a="1"/>
  <c r="I534" i="8" a="1"/>
  <c r="H533" i="8" a="1"/>
  <c r="G533" i="8" a="1"/>
  <c r="F533" i="8" a="1"/>
  <c r="A533" i="8" a="1"/>
  <c r="D533" i="8" a="1"/>
  <c r="E533" i="8" a="1"/>
  <c r="I533" i="8" a="1"/>
  <c r="H532" i="8" a="1"/>
  <c r="G532" i="8" a="1"/>
  <c r="F532" i="8" a="1"/>
  <c r="A532" i="8" a="1"/>
  <c r="D532" i="8" a="1"/>
  <c r="E532" i="8" a="1"/>
  <c r="I532" i="8" a="1"/>
  <c r="H531" i="8" a="1"/>
  <c r="G531" i="8" a="1"/>
  <c r="F531" i="8" a="1"/>
  <c r="A531" i="8" a="1"/>
  <c r="D531" i="8" a="1"/>
  <c r="E531" i="8" a="1"/>
  <c r="I531" i="8" a="1"/>
  <c r="H530" i="8" a="1"/>
  <c r="G530" i="8" a="1"/>
  <c r="F530" i="8" a="1"/>
  <c r="A530" i="8" a="1"/>
  <c r="D530" i="8" a="1"/>
  <c r="E530" i="8" a="1"/>
  <c r="I530" i="8" a="1"/>
  <c r="H529" i="8" a="1"/>
  <c r="G529" i="8" a="1"/>
  <c r="F529" i="8" a="1"/>
  <c r="A529" i="8" a="1"/>
  <c r="D529" i="8" a="1"/>
  <c r="E529" i="8" a="1"/>
  <c r="I529" i="8" a="1"/>
  <c r="H528" i="8" a="1"/>
  <c r="G528" i="8" a="1"/>
  <c r="F528" i="8" a="1"/>
  <c r="A528" i="8" a="1"/>
  <c r="D528" i="8" a="1"/>
  <c r="E528" i="8" a="1"/>
  <c r="I528" i="8" a="1"/>
  <c r="H527" i="8" a="1"/>
  <c r="G527" i="8" a="1"/>
  <c r="F527" i="8" a="1"/>
  <c r="A527" i="8" a="1"/>
  <c r="D527" i="8" a="1"/>
  <c r="E527" i="8" a="1"/>
  <c r="I527" i="8" a="1"/>
  <c r="H526" i="8" a="1"/>
  <c r="G526" i="8" a="1"/>
  <c r="F526" i="8" a="1"/>
  <c r="A526" i="8" a="1"/>
  <c r="D526" i="8" a="1"/>
  <c r="E526" i="8" a="1"/>
  <c r="I526" i="8" a="1"/>
  <c r="H525" i="8" a="1"/>
  <c r="G525" i="8" a="1"/>
  <c r="F525" i="8" a="1"/>
  <c r="A525" i="8" a="1"/>
  <c r="D525" i="8" a="1"/>
  <c r="E525" i="8" a="1"/>
  <c r="I525" i="8" a="1"/>
  <c r="H524" i="8" a="1"/>
  <c r="G524" i="8" a="1"/>
  <c r="F524" i="8" a="1"/>
  <c r="A524" i="8" a="1"/>
  <c r="D524" i="8" a="1"/>
  <c r="E524" i="8" a="1"/>
  <c r="I524" i="8" a="1"/>
  <c r="H523" i="8" a="1"/>
  <c r="G523" i="8" a="1"/>
  <c r="F523" i="8" a="1"/>
  <c r="A523" i="8" a="1"/>
  <c r="D523" i="8" a="1"/>
  <c r="E523" i="8" a="1"/>
  <c r="I523" i="8" a="1"/>
  <c r="H522" i="8" a="1"/>
  <c r="G522" i="8" a="1"/>
  <c r="F522" i="8" a="1"/>
  <c r="A522" i="8" a="1"/>
  <c r="D522" i="8" a="1"/>
  <c r="E522" i="8" a="1"/>
  <c r="I522" i="8" a="1"/>
  <c r="H521" i="8" a="1"/>
  <c r="G521" i="8" a="1"/>
  <c r="F521" i="8" a="1"/>
  <c r="A521" i="8" a="1"/>
  <c r="D521" i="8" a="1"/>
  <c r="E521" i="8" a="1"/>
  <c r="I521" i="8" a="1"/>
  <c r="H520" i="8" a="1"/>
  <c r="G520" i="8" a="1"/>
  <c r="F520" i="8" a="1"/>
  <c r="A520" i="8" a="1"/>
  <c r="D520" i="8" a="1"/>
  <c r="E520" i="8" a="1"/>
  <c r="I520" i="8" a="1"/>
  <c r="H519" i="8" a="1"/>
  <c r="G519" i="8" a="1"/>
  <c r="F519" i="8" a="1"/>
  <c r="A519" i="8" a="1"/>
  <c r="D519" i="8" a="1"/>
  <c r="E519" i="8" a="1"/>
  <c r="I519" i="8" a="1"/>
  <c r="H518" i="8" a="1"/>
  <c r="G518" i="8" a="1"/>
  <c r="F518" i="8" a="1"/>
  <c r="A518" i="8" a="1"/>
  <c r="D518" i="8" a="1"/>
  <c r="E518" i="8" a="1"/>
  <c r="I518" i="8" a="1"/>
  <c r="H517" i="8" a="1"/>
  <c r="G517" i="8" a="1"/>
  <c r="F517" i="8" a="1"/>
  <c r="A517" i="8" a="1"/>
  <c r="D517" i="8" a="1"/>
  <c r="E517" i="8" a="1"/>
  <c r="I517" i="8" a="1"/>
  <c r="H516" i="8" a="1"/>
  <c r="G516" i="8" a="1"/>
  <c r="F516" i="8" a="1"/>
  <c r="A516" i="8" a="1"/>
  <c r="D516" i="8" a="1"/>
  <c r="E516" i="8" a="1"/>
  <c r="I516" i="8" a="1"/>
  <c r="H515" i="8" a="1"/>
  <c r="G515" i="8" a="1"/>
  <c r="F515" i="8" a="1"/>
  <c r="A515" i="8" a="1"/>
  <c r="D515" i="8" a="1"/>
  <c r="E515" i="8" a="1"/>
  <c r="I515" i="8" a="1"/>
  <c r="H514" i="8" a="1"/>
  <c r="G514" i="8" a="1"/>
  <c r="F514" i="8" a="1"/>
  <c r="A514" i="8" a="1"/>
  <c r="D514" i="8" a="1"/>
  <c r="E514" i="8" a="1"/>
  <c r="I514" i="8" a="1"/>
  <c r="H513" i="8" a="1"/>
  <c r="G513" i="8" a="1"/>
  <c r="F513" i="8" a="1"/>
  <c r="A513" i="8" a="1"/>
  <c r="D513" i="8" a="1"/>
  <c r="E513" i="8" a="1"/>
  <c r="I513" i="8" a="1"/>
  <c r="H512" i="8" a="1"/>
  <c r="G512" i="8" a="1"/>
  <c r="F512" i="8" a="1"/>
  <c r="A512" i="8" a="1"/>
  <c r="D512" i="8" a="1"/>
  <c r="E512" i="8" a="1"/>
  <c r="I512" i="8" a="1"/>
  <c r="H511" i="8" a="1"/>
  <c r="G511" i="8" a="1"/>
  <c r="F511" i="8" a="1"/>
  <c r="A511" i="8" a="1"/>
  <c r="D511" i="8" a="1"/>
  <c r="E511" i="8" a="1"/>
  <c r="I511" i="8" a="1"/>
  <c r="H510" i="8" a="1"/>
  <c r="G510" i="8" a="1"/>
  <c r="F510" i="8" a="1"/>
  <c r="A510" i="8" a="1"/>
  <c r="D510" i="8" a="1"/>
  <c r="E510" i="8" a="1"/>
  <c r="I510" i="8" a="1"/>
  <c r="H509" i="8" a="1"/>
  <c r="G509" i="8" a="1"/>
  <c r="F509" i="8" a="1"/>
  <c r="A509" i="8" a="1"/>
  <c r="D509" i="8" a="1"/>
  <c r="E509" i="8" a="1"/>
  <c r="I509" i="8" a="1"/>
  <c r="H508" i="8" a="1"/>
  <c r="G508" i="8" a="1"/>
  <c r="F508" i="8" a="1"/>
  <c r="A508" i="8" a="1"/>
  <c r="D508" i="8" a="1"/>
  <c r="E508" i="8" a="1"/>
  <c r="I508" i="8" a="1"/>
  <c r="H507" i="8" a="1"/>
  <c r="G507" i="8" a="1"/>
  <c r="F507" i="8" a="1"/>
  <c r="A507" i="8" a="1"/>
  <c r="D507" i="8" a="1"/>
  <c r="E507" i="8" a="1"/>
  <c r="I507" i="8" a="1"/>
  <c r="H506" i="8" a="1"/>
  <c r="G506" i="8" a="1"/>
  <c r="F506" i="8" a="1"/>
  <c r="A506" i="8" a="1"/>
  <c r="D506" i="8" a="1"/>
  <c r="E506" i="8" a="1"/>
  <c r="I506" i="8" a="1"/>
  <c r="H505" i="8" a="1"/>
  <c r="G505" i="8" a="1"/>
  <c r="F505" i="8" a="1"/>
  <c r="A505" i="8" a="1"/>
  <c r="D505" i="8" a="1"/>
  <c r="E505" i="8" a="1"/>
  <c r="I505" i="8" a="1"/>
  <c r="H504" i="8" a="1"/>
  <c r="G504" i="8" a="1"/>
  <c r="F504" i="8" a="1"/>
  <c r="A504" i="8" a="1"/>
  <c r="D504" i="8" a="1"/>
  <c r="E504" i="8" a="1"/>
  <c r="I504" i="8" a="1"/>
  <c r="H503" i="8" a="1"/>
  <c r="G503" i="8" a="1"/>
  <c r="F503" i="8" a="1"/>
  <c r="A503" i="8" a="1"/>
  <c r="D503" i="8" a="1"/>
  <c r="E503" i="8" a="1"/>
  <c r="I503" i="8" a="1"/>
  <c r="H502" i="8" a="1"/>
  <c r="G502" i="8" a="1"/>
  <c r="F502" i="8" a="1"/>
  <c r="A502" i="8" a="1"/>
  <c r="D502" i="8" a="1"/>
  <c r="E502" i="8" a="1"/>
  <c r="I502" i="8" a="1"/>
  <c r="H501" i="8" a="1"/>
  <c r="G501" i="8" a="1"/>
  <c r="F501" i="8" a="1"/>
  <c r="A501" i="8" a="1"/>
  <c r="D501" i="8" a="1"/>
  <c r="E501" i="8" a="1"/>
  <c r="I501" i="8" a="1"/>
  <c r="H500" i="8" a="1"/>
  <c r="G500" i="8" a="1"/>
  <c r="F500" i="8" a="1"/>
  <c r="A500" i="8" a="1"/>
  <c r="D500" i="8" a="1"/>
  <c r="E500" i="8" a="1"/>
  <c r="I500" i="8" a="1"/>
  <c r="H499" i="8" a="1"/>
  <c r="G499" i="8" a="1"/>
  <c r="F499" i="8" a="1"/>
  <c r="A499" i="8" a="1"/>
  <c r="D499" i="8" a="1"/>
  <c r="E499" i="8" a="1"/>
  <c r="I499" i="8" a="1"/>
  <c r="H498" i="8" a="1"/>
  <c r="G498" i="8" a="1"/>
  <c r="F498" i="8" a="1"/>
  <c r="A498" i="8" a="1"/>
  <c r="D498" i="8" a="1"/>
  <c r="E498" i="8" a="1"/>
  <c r="I498" i="8" a="1"/>
  <c r="H497" i="8" a="1"/>
  <c r="G497" i="8" a="1"/>
  <c r="F497" i="8" a="1"/>
  <c r="A497" i="8" a="1"/>
  <c r="D497" i="8" a="1"/>
  <c r="E497" i="8" a="1"/>
  <c r="I497" i="8" a="1"/>
  <c r="H496" i="8" a="1"/>
  <c r="G496" i="8" a="1"/>
  <c r="F496" i="8" a="1"/>
  <c r="A496" i="8" a="1"/>
  <c r="D496" i="8" a="1"/>
  <c r="E496" i="8" a="1"/>
  <c r="I496" i="8" a="1"/>
  <c r="H495" i="8" a="1"/>
  <c r="G495" i="8" a="1"/>
  <c r="F495" i="8" a="1"/>
  <c r="A495" i="8" a="1"/>
  <c r="D495" i="8" a="1"/>
  <c r="E495" i="8" a="1"/>
  <c r="I495" i="8" a="1"/>
  <c r="H494" i="8" a="1"/>
  <c r="G494" i="8" a="1"/>
  <c r="F494" i="8" a="1"/>
  <c r="A494" i="8" a="1"/>
  <c r="D494" i="8" a="1"/>
  <c r="E494" i="8" a="1"/>
  <c r="I494" i="8" a="1"/>
  <c r="H493" i="8" a="1"/>
  <c r="G493" i="8" a="1"/>
  <c r="F493" i="8" a="1"/>
  <c r="A493" i="8" a="1"/>
  <c r="D493" i="8" a="1"/>
  <c r="E493" i="8" a="1"/>
  <c r="I493" i="8" a="1"/>
  <c r="H492" i="8" a="1"/>
  <c r="G492" i="8" a="1"/>
  <c r="F492" i="8" a="1"/>
  <c r="A492" i="8" a="1"/>
  <c r="D492" i="8" a="1"/>
  <c r="E492" i="8" a="1"/>
  <c r="I492" i="8" a="1"/>
  <c r="H491" i="8" a="1"/>
  <c r="G491" i="8" a="1"/>
  <c r="F491" i="8" a="1"/>
  <c r="A491" i="8" a="1"/>
  <c r="D491" i="8" a="1"/>
  <c r="E491" i="8" a="1"/>
  <c r="I491" i="8" a="1"/>
  <c r="H490" i="8" a="1"/>
  <c r="G490" i="8" a="1"/>
  <c r="F490" i="8" a="1"/>
  <c r="A490" i="8" a="1"/>
  <c r="D490" i="8" a="1"/>
  <c r="E490" i="8" a="1"/>
  <c r="I490" i="8" a="1"/>
  <c r="H489" i="8" a="1"/>
  <c r="G489" i="8" a="1"/>
  <c r="F489" i="8" a="1"/>
  <c r="A489" i="8" a="1"/>
  <c r="D489" i="8" a="1"/>
  <c r="E489" i="8" a="1"/>
  <c r="I489" i="8" a="1"/>
  <c r="H488" i="8" a="1"/>
  <c r="G488" i="8" a="1"/>
  <c r="F488" i="8" a="1"/>
  <c r="A488" i="8" a="1"/>
  <c r="D488" i="8" a="1"/>
  <c r="E488" i="8" a="1"/>
  <c r="I488" i="8" a="1"/>
  <c r="H487" i="8" a="1"/>
  <c r="G487" i="8" a="1"/>
  <c r="F487" i="8" a="1"/>
  <c r="A487" i="8" a="1"/>
  <c r="D487" i="8" a="1"/>
  <c r="E487" i="8" a="1"/>
  <c r="I487" i="8" a="1"/>
  <c r="H486" i="8" a="1"/>
  <c r="G486" i="8" a="1"/>
  <c r="F486" i="8" a="1"/>
  <c r="A486" i="8" a="1"/>
  <c r="D486" i="8" a="1"/>
  <c r="E486" i="8" a="1"/>
  <c r="I486" i="8" a="1"/>
  <c r="H485" i="8" a="1"/>
  <c r="G485" i="8" a="1"/>
  <c r="F485" i="8" a="1"/>
  <c r="A485" i="8" a="1"/>
  <c r="D485" i="8" a="1"/>
  <c r="E485" i="8" a="1"/>
  <c r="I485" i="8" a="1"/>
  <c r="H484" i="8" a="1"/>
  <c r="G484" i="8" a="1"/>
  <c r="F484" i="8" a="1"/>
  <c r="A484" i="8" a="1"/>
  <c r="D484" i="8" a="1"/>
  <c r="E484" i="8" a="1"/>
  <c r="I484" i="8" a="1"/>
  <c r="H483" i="8" a="1"/>
  <c r="G483" i="8" a="1"/>
  <c r="F483" i="8" a="1"/>
  <c r="A483" i="8" a="1"/>
  <c r="D483" i="8" a="1"/>
  <c r="E483" i="8" a="1"/>
  <c r="I483" i="8" a="1"/>
  <c r="H482" i="8" a="1"/>
  <c r="G482" i="8" a="1"/>
  <c r="F482" i="8" a="1"/>
  <c r="A482" i="8" a="1"/>
  <c r="D482" i="8" a="1"/>
  <c r="E482" i="8" a="1"/>
  <c r="I482" i="8" a="1"/>
  <c r="H481" i="8" a="1"/>
  <c r="G481" i="8" a="1"/>
  <c r="F481" i="8" a="1"/>
  <c r="A481" i="8" a="1"/>
  <c r="D481" i="8" a="1"/>
  <c r="E481" i="8" a="1"/>
  <c r="I481" i="8" a="1"/>
  <c r="H480" i="8" a="1"/>
  <c r="G480" i="8" a="1"/>
  <c r="F480" i="8" a="1"/>
  <c r="A480" i="8" a="1"/>
  <c r="D480" i="8" a="1"/>
  <c r="E480" i="8" a="1"/>
  <c r="I480" i="8" a="1"/>
  <c r="H479" i="8" a="1"/>
  <c r="G479" i="8" a="1"/>
  <c r="F479" i="8" a="1"/>
  <c r="A479" i="8" a="1"/>
  <c r="D479" i="8" a="1"/>
  <c r="E479" i="8" a="1"/>
  <c r="I479" i="8" a="1"/>
  <c r="H478" i="8" a="1"/>
  <c r="G478" i="8" a="1"/>
  <c r="F478" i="8" a="1"/>
  <c r="A478" i="8" a="1"/>
  <c r="D478" i="8" a="1"/>
  <c r="E478" i="8" a="1"/>
  <c r="I478" i="8" a="1"/>
  <c r="H477" i="8" a="1"/>
  <c r="G477" i="8" a="1"/>
  <c r="F477" i="8" a="1"/>
  <c r="A477" i="8" a="1"/>
  <c r="D477" i="8" a="1"/>
  <c r="E477" i="8" a="1"/>
  <c r="I477" i="8" a="1"/>
  <c r="H476" i="8" a="1"/>
  <c r="G476" i="8" a="1"/>
  <c r="F476" i="8" a="1"/>
  <c r="A476" i="8" a="1"/>
  <c r="D476" i="8" a="1"/>
  <c r="E476" i="8" a="1"/>
  <c r="I476" i="8" a="1"/>
  <c r="H475" i="8" a="1"/>
  <c r="G475" i="8" a="1"/>
  <c r="F475" i="8" a="1"/>
  <c r="A475" i="8" a="1"/>
  <c r="D475" i="8" a="1"/>
  <c r="E475" i="8" a="1"/>
  <c r="I475" i="8" a="1"/>
  <c r="H474" i="8" a="1"/>
  <c r="G474" i="8" a="1"/>
  <c r="F474" i="8" a="1"/>
  <c r="A474" i="8" a="1"/>
  <c r="D474" i="8" a="1"/>
  <c r="E474" i="8" a="1"/>
  <c r="I474" i="8" a="1"/>
  <c r="H473" i="8" a="1"/>
  <c r="G473" i="8" a="1"/>
  <c r="F473" i="8" a="1"/>
  <c r="A473" i="8" a="1"/>
  <c r="D473" i="8" a="1"/>
  <c r="E473" i="8" a="1"/>
  <c r="I473" i="8" a="1"/>
  <c r="H472" i="8" a="1"/>
  <c r="G472" i="8" a="1"/>
  <c r="F472" i="8" a="1"/>
  <c r="A472" i="8" a="1"/>
  <c r="D472" i="8" a="1"/>
  <c r="E472" i="8" a="1"/>
  <c r="I472" i="8" a="1"/>
  <c r="H471" i="8" a="1"/>
  <c r="G471" i="8" a="1"/>
  <c r="F471" i="8" a="1"/>
  <c r="A471" i="8" a="1"/>
  <c r="D471" i="8" a="1"/>
  <c r="E471" i="8" a="1"/>
  <c r="I471" i="8" a="1"/>
  <c r="H470" i="8" a="1"/>
  <c r="G470" i="8" a="1"/>
  <c r="F470" i="8" a="1"/>
  <c r="A470" i="8" a="1"/>
  <c r="D470" i="8" a="1"/>
  <c r="E470" i="8" a="1"/>
  <c r="I470" i="8" a="1"/>
  <c r="H469" i="8" a="1"/>
  <c r="G469" i="8" a="1"/>
  <c r="F469" i="8" a="1"/>
  <c r="A469" i="8" a="1"/>
  <c r="D469" i="8" a="1"/>
  <c r="E469" i="8" a="1"/>
  <c r="I469" i="8" a="1"/>
  <c r="H468" i="8" a="1"/>
  <c r="G468" i="8" a="1"/>
  <c r="F468" i="8" a="1"/>
  <c r="A468" i="8" a="1"/>
  <c r="D468" i="8" a="1"/>
  <c r="E468" i="8" a="1"/>
  <c r="I468" i="8" a="1"/>
  <c r="H467" i="8" a="1"/>
  <c r="G467" i="8" a="1"/>
  <c r="F467" i="8" a="1"/>
  <c r="A467" i="8" a="1"/>
  <c r="D467" i="8" a="1"/>
  <c r="E467" i="8" a="1"/>
  <c r="I467" i="8" a="1"/>
  <c r="H466" i="8" a="1"/>
  <c r="G466" i="8" a="1"/>
  <c r="F466" i="8" a="1"/>
  <c r="A466" i="8" a="1"/>
  <c r="D466" i="8" a="1"/>
  <c r="E466" i="8" a="1"/>
  <c r="I466" i="8" a="1"/>
  <c r="H465" i="8" a="1"/>
  <c r="G465" i="8" a="1"/>
  <c r="F465" i="8" a="1"/>
  <c r="A465" i="8" a="1"/>
  <c r="D465" i="8" a="1"/>
  <c r="E465" i="8" a="1"/>
  <c r="I465" i="8" a="1"/>
  <c r="H464" i="8" a="1"/>
  <c r="G464" i="8" a="1"/>
  <c r="F464" i="8" a="1"/>
  <c r="A464" i="8" a="1"/>
  <c r="D464" i="8" a="1"/>
  <c r="E464" i="8" a="1"/>
  <c r="I464" i="8" a="1"/>
  <c r="H463" i="8" a="1"/>
  <c r="G463" i="8" a="1"/>
  <c r="F463" i="8" a="1"/>
  <c r="A463" i="8" a="1"/>
  <c r="D463" i="8" a="1"/>
  <c r="E463" i="8" a="1"/>
  <c r="I463" i="8" a="1"/>
  <c r="H462" i="8" a="1"/>
  <c r="G462" i="8" a="1"/>
  <c r="F462" i="8" a="1"/>
  <c r="A462" i="8" a="1"/>
  <c r="D462" i="8" a="1"/>
  <c r="E462" i="8" a="1"/>
  <c r="I462" i="8" a="1"/>
  <c r="H461" i="8" a="1"/>
  <c r="G461" i="8" a="1"/>
  <c r="F461" i="8" a="1"/>
  <c r="A461" i="8" a="1"/>
  <c r="D461" i="8" a="1"/>
  <c r="E461" i="8" a="1"/>
  <c r="I461" i="8" a="1"/>
  <c r="H460" i="8" a="1"/>
  <c r="G460" i="8" a="1"/>
  <c r="F460" i="8" a="1"/>
  <c r="A460" i="8" a="1"/>
  <c r="D460" i="8" a="1"/>
  <c r="E460" i="8" a="1"/>
  <c r="I460" i="8" a="1"/>
  <c r="H459" i="8" a="1"/>
  <c r="G459" i="8" a="1"/>
  <c r="F459" i="8" a="1"/>
  <c r="A459" i="8" a="1"/>
  <c r="D459" i="8" a="1"/>
  <c r="E459" i="8" a="1"/>
  <c r="I459" i="8" a="1"/>
  <c r="H458" i="8" a="1"/>
  <c r="G458" i="8" a="1"/>
  <c r="F458" i="8" a="1"/>
  <c r="A458" i="8" a="1"/>
  <c r="D458" i="8" a="1"/>
  <c r="E458" i="8" a="1"/>
  <c r="I458" i="8" a="1"/>
  <c r="H457" i="8" a="1"/>
  <c r="G457" i="8" a="1"/>
  <c r="F457" i="8" a="1"/>
  <c r="A457" i="8" a="1"/>
  <c r="D457" i="8" a="1"/>
  <c r="E457" i="8" a="1"/>
  <c r="I457" i="8" a="1"/>
  <c r="H456" i="8" a="1"/>
  <c r="G456" i="8" a="1"/>
  <c r="F456" i="8" a="1"/>
  <c r="A456" i="8" a="1"/>
  <c r="D456" i="8" a="1"/>
  <c r="E456" i="8" a="1"/>
  <c r="I456" i="8" a="1"/>
  <c r="H455" i="8" a="1"/>
  <c r="G455" i="8" a="1"/>
  <c r="F455" i="8" a="1"/>
  <c r="A455" i="8" a="1"/>
  <c r="D455" i="8" a="1"/>
  <c r="E455" i="8" a="1"/>
  <c r="I455" i="8" a="1"/>
  <c r="H454" i="8" a="1"/>
  <c r="G454" i="8" a="1"/>
  <c r="F454" i="8" a="1"/>
  <c r="A454" i="8" a="1"/>
  <c r="D454" i="8" a="1"/>
  <c r="E454" i="8" a="1"/>
  <c r="I454" i="8" a="1"/>
  <c r="H453" i="8" a="1"/>
  <c r="G453" i="8" a="1"/>
  <c r="F453" i="8" a="1"/>
  <c r="A453" i="8" a="1"/>
  <c r="D453" i="8" a="1"/>
  <c r="E453" i="8" a="1"/>
  <c r="I453" i="8" a="1"/>
  <c r="H452" i="8" a="1"/>
  <c r="G452" i="8" a="1"/>
  <c r="F452" i="8" a="1"/>
  <c r="A452" i="8" a="1"/>
  <c r="D452" i="8" a="1"/>
  <c r="E452" i="8" a="1"/>
  <c r="I452" i="8" a="1"/>
  <c r="H451" i="8" a="1"/>
  <c r="G451" i="8" a="1"/>
  <c r="F451" i="8" a="1"/>
  <c r="A451" i="8" a="1"/>
  <c r="D451" i="8" a="1"/>
  <c r="E451" i="8" a="1"/>
  <c r="I451" i="8" a="1"/>
  <c r="H450" i="8" a="1"/>
  <c r="G450" i="8" a="1"/>
  <c r="F450" i="8" a="1"/>
  <c r="A450" i="8" a="1"/>
  <c r="D450" i="8" a="1"/>
  <c r="E450" i="8" a="1"/>
  <c r="I450" i="8" a="1"/>
  <c r="H449" i="8" a="1"/>
  <c r="G449" i="8" a="1"/>
  <c r="F449" i="8" a="1"/>
  <c r="A449" i="8" a="1"/>
  <c r="D449" i="8" a="1"/>
  <c r="E449" i="8" a="1"/>
  <c r="I449" i="8" a="1"/>
  <c r="H448" i="8" a="1"/>
  <c r="G448" i="8" a="1"/>
  <c r="F448" i="8" a="1"/>
  <c r="A448" i="8" a="1"/>
  <c r="D448" i="8" a="1"/>
  <c r="E448" i="8" a="1"/>
  <c r="I448" i="8" a="1"/>
  <c r="H447" i="8" a="1"/>
  <c r="G447" i="8" a="1"/>
  <c r="F447" i="8" a="1"/>
  <c r="A447" i="8" a="1"/>
  <c r="D447" i="8" a="1"/>
  <c r="E447" i="8" a="1"/>
  <c r="I447" i="8" a="1"/>
  <c r="H446" i="8" a="1"/>
  <c r="G446" i="8" a="1"/>
  <c r="F446" i="8" a="1"/>
  <c r="A446" i="8" a="1"/>
  <c r="D446" i="8" a="1"/>
  <c r="E446" i="8" a="1"/>
  <c r="I446" i="8" a="1"/>
  <c r="H445" i="8" a="1"/>
  <c r="G445" i="8" a="1"/>
  <c r="F445" i="8" a="1"/>
  <c r="A445" i="8" a="1"/>
  <c r="D445" i="8" a="1"/>
  <c r="E445" i="8" a="1"/>
  <c r="I445" i="8" a="1"/>
  <c r="H444" i="8" a="1"/>
  <c r="G444" i="8" a="1"/>
  <c r="F444" i="8" a="1"/>
  <c r="A444" i="8" a="1"/>
  <c r="D444" i="8" a="1"/>
  <c r="E444" i="8" a="1"/>
  <c r="I444" i="8" a="1"/>
  <c r="H443" i="8" a="1"/>
  <c r="G443" i="8" a="1"/>
  <c r="F443" i="8" a="1"/>
  <c r="A443" i="8" a="1"/>
  <c r="D443" i="8" a="1"/>
  <c r="E443" i="8" a="1"/>
  <c r="I443" i="8" a="1"/>
  <c r="H442" i="8" a="1"/>
  <c r="G442" i="8" a="1"/>
  <c r="F442" i="8" a="1"/>
  <c r="A442" i="8" a="1"/>
  <c r="D442" i="8" a="1"/>
  <c r="E442" i="8" a="1"/>
  <c r="I442" i="8" a="1"/>
  <c r="H441" i="8" a="1"/>
  <c r="G441" i="8" a="1"/>
  <c r="F441" i="8" a="1"/>
  <c r="A441" i="8" a="1"/>
  <c r="D441" i="8" a="1"/>
  <c r="E441" i="8" a="1"/>
  <c r="I441" i="8" a="1"/>
  <c r="H440" i="8" a="1"/>
  <c r="G440" i="8" a="1"/>
  <c r="F440" i="8" a="1"/>
  <c r="A440" i="8" a="1"/>
  <c r="D440" i="8" a="1"/>
  <c r="E440" i="8" a="1"/>
  <c r="I440" i="8" a="1"/>
  <c r="H439" i="8" a="1"/>
  <c r="G439" i="8" a="1"/>
  <c r="F439" i="8" a="1"/>
  <c r="A439" i="8" a="1"/>
  <c r="D439" i="8" a="1"/>
  <c r="E439" i="8" a="1"/>
  <c r="I439" i="8" a="1"/>
  <c r="H438" i="8" a="1"/>
  <c r="G438" i="8" a="1"/>
  <c r="F438" i="8" a="1"/>
  <c r="A438" i="8" a="1"/>
  <c r="D438" i="8" a="1"/>
  <c r="E438" i="8" a="1"/>
  <c r="I438" i="8" a="1"/>
  <c r="H437" i="8" a="1"/>
  <c r="G437" i="8" a="1"/>
  <c r="F437" i="8" a="1"/>
  <c r="A437" i="8" a="1"/>
  <c r="D437" i="8" a="1"/>
  <c r="G304" i="8" a="1"/>
  <c r="F304" i="8" a="1"/>
  <c r="A304" i="8" a="1"/>
  <c r="D304" i="8" a="1"/>
  <c r="E304" i="8" a="1"/>
  <c r="I304" i="8" a="1"/>
  <c r="H303" i="8" a="1"/>
  <c r="G303" i="8" a="1"/>
  <c r="F303" i="8" a="1"/>
  <c r="A303" i="8" a="1"/>
  <c r="D303" i="8" a="1"/>
  <c r="E303" i="8" a="1"/>
  <c r="I303" i="8" a="1"/>
  <c r="H302" i="8" a="1"/>
  <c r="G302" i="8" a="1"/>
  <c r="F302" i="8" a="1"/>
  <c r="A302" i="8" a="1"/>
  <c r="D302" i="8" a="1"/>
  <c r="E302" i="8" a="1"/>
  <c r="I302" i="8" a="1"/>
  <c r="H301" i="8" a="1"/>
  <c r="G301" i="8" a="1"/>
  <c r="F301" i="8" a="1"/>
  <c r="A301" i="8" a="1"/>
  <c r="D301" i="8" a="1"/>
  <c r="E301" i="8" a="1"/>
  <c r="I301" i="8" a="1"/>
  <c r="H300" i="8" a="1"/>
  <c r="G300" i="8" a="1"/>
  <c r="F300" i="8" a="1"/>
  <c r="A300" i="8" a="1"/>
  <c r="D300" i="8" a="1"/>
  <c r="E300" i="8" a="1"/>
  <c r="I300" i="8" a="1"/>
  <c r="H299" i="8" a="1"/>
  <c r="G299" i="8" a="1"/>
  <c r="F299" i="8" a="1"/>
  <c r="A299" i="8" a="1"/>
  <c r="D299" i="8" a="1"/>
  <c r="E299" i="8" a="1"/>
  <c r="I299" i="8" a="1"/>
  <c r="H298" i="8" a="1"/>
  <c r="G298" i="8" a="1"/>
  <c r="F298" i="8" a="1"/>
  <c r="A298" i="8" a="1"/>
  <c r="D298" i="8" a="1"/>
  <c r="E298" i="8" a="1"/>
  <c r="I298" i="8" a="1"/>
  <c r="H297" i="8" a="1"/>
  <c r="G297" i="8" a="1"/>
  <c r="F297" i="8" a="1"/>
  <c r="A297" i="8" a="1"/>
  <c r="D297" i="8" a="1"/>
  <c r="E297" i="8" a="1"/>
  <c r="I297" i="8" a="1"/>
  <c r="H296" i="8" a="1"/>
  <c r="G296" i="8" a="1"/>
  <c r="F296" i="8" a="1"/>
  <c r="A296" i="8" a="1"/>
  <c r="D296" i="8" a="1"/>
  <c r="E296" i="8" a="1"/>
  <c r="I296" i="8" a="1"/>
  <c r="H295" i="8" a="1"/>
  <c r="G295" i="8" a="1"/>
  <c r="F295" i="8" a="1"/>
  <c r="A295" i="8" a="1"/>
  <c r="D295" i="8" a="1"/>
  <c r="E295" i="8" a="1"/>
  <c r="I295" i="8" a="1"/>
  <c r="H294" i="8" a="1"/>
  <c r="G294" i="8" a="1"/>
  <c r="F294" i="8" a="1"/>
  <c r="A294" i="8" a="1"/>
  <c r="D294" i="8" a="1"/>
  <c r="E294" i="8" a="1"/>
  <c r="I294" i="8" a="1"/>
  <c r="H293" i="8" a="1"/>
  <c r="G293" i="8" a="1"/>
  <c r="F293" i="8" a="1"/>
  <c r="A293" i="8" a="1"/>
  <c r="D293" i="8" a="1"/>
  <c r="E293" i="8" a="1"/>
  <c r="I293" i="8" a="1"/>
  <c r="H292" i="8" a="1"/>
  <c r="G292" i="8" a="1"/>
  <c r="F292" i="8" a="1"/>
  <c r="A292" i="8" a="1"/>
  <c r="D292" i="8" a="1"/>
  <c r="E292" i="8" a="1"/>
  <c r="I292" i="8" a="1"/>
  <c r="H291" i="8" a="1"/>
  <c r="G291" i="8" a="1"/>
  <c r="F291" i="8" a="1"/>
  <c r="A291" i="8" a="1"/>
  <c r="D291" i="8" a="1"/>
  <c r="E291" i="8" a="1"/>
  <c r="I291" i="8" a="1"/>
  <c r="H290" i="8" a="1"/>
  <c r="G290" i="8" a="1"/>
  <c r="F290" i="8" a="1"/>
  <c r="A290" i="8" a="1"/>
  <c r="D290" i="8" a="1"/>
  <c r="E290" i="8" a="1"/>
  <c r="I290" i="8" a="1"/>
  <c r="H289" i="8" a="1"/>
  <c r="G289" i="8" a="1"/>
  <c r="F289" i="8" a="1"/>
  <c r="A289" i="8" a="1"/>
  <c r="D289" i="8" a="1"/>
  <c r="E289" i="8" a="1"/>
  <c r="I289" i="8" a="1"/>
  <c r="H288" i="8" a="1"/>
  <c r="G288" i="8" a="1"/>
  <c r="F288" i="8" a="1"/>
  <c r="A288" i="8" a="1"/>
  <c r="D288" i="8" a="1"/>
  <c r="E288" i="8" a="1"/>
  <c r="I288" i="8" a="1"/>
  <c r="H287" i="8" a="1"/>
  <c r="G287" i="8" a="1"/>
  <c r="F287" i="8" a="1"/>
  <c r="A287" i="8" a="1"/>
  <c r="D287" i="8" a="1"/>
  <c r="E287" i="8" a="1"/>
  <c r="I287" i="8" a="1"/>
  <c r="H286" i="8" a="1"/>
  <c r="G286" i="8" a="1"/>
  <c r="F286" i="8" a="1"/>
  <c r="A286" i="8" a="1"/>
  <c r="D286" i="8" a="1"/>
  <c r="E286" i="8" a="1"/>
  <c r="I286" i="8" a="1"/>
  <c r="H285" i="8" a="1"/>
  <c r="G285" i="8" a="1"/>
  <c r="F285" i="8" a="1"/>
  <c r="A285" i="8" a="1"/>
  <c r="D285" i="8" a="1"/>
  <c r="E285" i="8" a="1"/>
  <c r="I285" i="8" a="1"/>
  <c r="H284" i="8" a="1"/>
  <c r="G284" i="8" a="1"/>
  <c r="F284" i="8" a="1"/>
  <c r="A284" i="8" a="1"/>
  <c r="D284" i="8" a="1"/>
  <c r="E284" i="8" a="1"/>
  <c r="I284" i="8" a="1"/>
  <c r="H283" i="8" a="1"/>
  <c r="G283" i="8" a="1"/>
  <c r="F283" i="8" a="1"/>
  <c r="A283" i="8" a="1"/>
  <c r="D283" i="8" a="1"/>
  <c r="E283" i="8" a="1"/>
  <c r="I283" i="8" a="1"/>
  <c r="H282" i="8" a="1"/>
  <c r="G282" i="8" a="1"/>
  <c r="F282" i="8" a="1"/>
  <c r="A282" i="8" a="1"/>
  <c r="D282" i="8" a="1"/>
  <c r="E282" i="8" a="1"/>
  <c r="I282" i="8" a="1"/>
  <c r="H281" i="8" a="1"/>
  <c r="G281" i="8" a="1"/>
  <c r="F281" i="8" a="1"/>
  <c r="A281" i="8" a="1"/>
  <c r="D281" i="8" a="1"/>
  <c r="E281" i="8" a="1"/>
  <c r="I281" i="8" a="1"/>
  <c r="H280" i="8" a="1"/>
  <c r="G280" i="8" a="1"/>
  <c r="F280" i="8" a="1"/>
  <c r="A280" i="8" a="1"/>
  <c r="D280" i="8" a="1"/>
  <c r="E280" i="8" a="1"/>
  <c r="I280" i="8" a="1"/>
  <c r="H279" i="8" a="1"/>
  <c r="G279" i="8" a="1"/>
  <c r="F279" i="8" a="1"/>
  <c r="A279" i="8" a="1"/>
  <c r="D279" i="8" a="1"/>
  <c r="E279" i="8" a="1"/>
  <c r="I279" i="8" a="1"/>
  <c r="H278" i="8" a="1"/>
  <c r="G278" i="8" a="1"/>
  <c r="F278" i="8" a="1"/>
  <c r="A278" i="8" a="1"/>
  <c r="D278" i="8" a="1"/>
  <c r="E278" i="8" a="1"/>
  <c r="I278" i="8" a="1"/>
  <c r="H277" i="8" a="1"/>
  <c r="G277" i="8" a="1"/>
  <c r="F277" i="8" a="1"/>
  <c r="A277" i="8" a="1"/>
  <c r="D277" i="8" a="1"/>
  <c r="E277" i="8" a="1"/>
  <c r="I277" i="8" a="1"/>
  <c r="H276" i="8" a="1"/>
  <c r="G276" i="8" a="1"/>
  <c r="F276" i="8" a="1"/>
  <c r="A276" i="8" a="1"/>
  <c r="D276" i="8" a="1"/>
  <c r="E276" i="8" a="1"/>
  <c r="I276" i="8" a="1"/>
  <c r="H275" i="8" a="1"/>
  <c r="G275" i="8" a="1"/>
  <c r="F275" i="8" a="1"/>
  <c r="A275" i="8" a="1"/>
  <c r="D275" i="8" a="1"/>
  <c r="E275" i="8" a="1"/>
  <c r="I275" i="8" a="1"/>
  <c r="H274" i="8" a="1"/>
  <c r="G274" i="8" a="1"/>
  <c r="F274" i="8" a="1"/>
  <c r="A274" i="8" a="1"/>
  <c r="D274" i="8" a="1"/>
  <c r="E274" i="8" a="1"/>
  <c r="I274" i="8" a="1"/>
  <c r="H273" i="8" a="1"/>
  <c r="G273" i="8" a="1"/>
  <c r="F273" i="8" a="1"/>
  <c r="A273" i="8" a="1"/>
  <c r="D273" i="8" a="1"/>
  <c r="E273" i="8" a="1"/>
  <c r="I273" i="8" a="1"/>
  <c r="H272" i="8" a="1"/>
  <c r="G272" i="8" a="1"/>
  <c r="F272" i="8" a="1"/>
  <c r="A272" i="8" a="1"/>
  <c r="D272" i="8" a="1"/>
  <c r="E272" i="8" a="1"/>
  <c r="I272" i="8" a="1"/>
  <c r="H271" i="8" a="1"/>
  <c r="G271" i="8" a="1"/>
  <c r="F271" i="8" a="1"/>
  <c r="A271" i="8" a="1"/>
  <c r="D271" i="8" a="1"/>
  <c r="E271" i="8" a="1"/>
  <c r="I271" i="8" a="1"/>
  <c r="H270" i="8" a="1"/>
  <c r="G270" i="8" a="1"/>
  <c r="F270" i="8" a="1"/>
  <c r="A270" i="8" a="1"/>
  <c r="D270" i="8" a="1"/>
  <c r="E270" i="8" a="1"/>
  <c r="I270" i="8" a="1"/>
  <c r="H269" i="8" a="1"/>
  <c r="G269" i="8" a="1"/>
  <c r="F269" i="8" a="1"/>
  <c r="A269" i="8" a="1"/>
  <c r="D269" i="8" a="1"/>
  <c r="E269" i="8" a="1"/>
  <c r="I269" i="8" a="1"/>
  <c r="H268" i="8" a="1"/>
  <c r="G268" i="8" a="1"/>
  <c r="F268" i="8" a="1"/>
  <c r="A268" i="8" a="1"/>
  <c r="D268" i="8" a="1"/>
  <c r="E268" i="8" a="1"/>
  <c r="I268" i="8" a="1"/>
  <c r="H267" i="8" a="1"/>
  <c r="G267" i="8" a="1"/>
  <c r="F267" i="8" a="1"/>
  <c r="A267" i="8" a="1"/>
  <c r="D267" i="8" a="1"/>
  <c r="E267" i="8" a="1"/>
  <c r="I267" i="8" a="1"/>
  <c r="H266" i="8" a="1"/>
  <c r="G266" i="8" a="1"/>
  <c r="F266" i="8" a="1"/>
  <c r="A266" i="8" a="1"/>
  <c r="D266" i="8" a="1"/>
  <c r="E266" i="8" a="1"/>
  <c r="I266" i="8" a="1"/>
  <c r="H265" i="8" a="1"/>
  <c r="G265" i="8" a="1"/>
  <c r="F265" i="8" a="1"/>
  <c r="A265" i="8" a="1"/>
  <c r="D265" i="8" a="1"/>
  <c r="E265" i="8" a="1"/>
  <c r="I265" i="8" a="1"/>
  <c r="H264" i="8" a="1"/>
  <c r="G264" i="8" a="1"/>
  <c r="F264" i="8" a="1"/>
  <c r="A264" i="8" a="1"/>
  <c r="D264" i="8" a="1"/>
  <c r="E264" i="8" a="1"/>
  <c r="I264" i="8" a="1"/>
  <c r="H263" i="8" a="1"/>
  <c r="G263" i="8" a="1"/>
  <c r="F263" i="8" a="1"/>
  <c r="A263" i="8" a="1"/>
  <c r="D263" i="8" a="1"/>
  <c r="E263" i="8" a="1"/>
  <c r="I263" i="8" a="1"/>
  <c r="H262" i="8" a="1"/>
  <c r="G262" i="8" a="1"/>
  <c r="F262" i="8" a="1"/>
  <c r="A262" i="8" a="1"/>
  <c r="D262" i="8" a="1"/>
  <c r="E262" i="8" a="1"/>
  <c r="I262" i="8" a="1"/>
  <c r="H261" i="8" a="1"/>
  <c r="G261" i="8" a="1"/>
  <c r="F261" i="8" a="1"/>
  <c r="A261" i="8" a="1"/>
  <c r="D261" i="8" a="1"/>
  <c r="E261" i="8" a="1"/>
  <c r="I261" i="8" a="1"/>
  <c r="H260" i="8" a="1"/>
  <c r="G260" i="8" a="1"/>
  <c r="F260" i="8" a="1"/>
  <c r="A260" i="8" a="1"/>
  <c r="D260" i="8" a="1"/>
  <c r="E260" i="8" a="1"/>
  <c r="I260" i="8" a="1"/>
  <c r="H259" i="8" a="1"/>
  <c r="G259" i="8" a="1"/>
  <c r="F259" i="8" a="1"/>
  <c r="A259" i="8" a="1"/>
  <c r="D259" i="8" a="1"/>
  <c r="E259" i="8" a="1"/>
  <c r="I259" i="8" a="1"/>
  <c r="H258" i="8" a="1"/>
  <c r="G258" i="8" a="1"/>
  <c r="F258" i="8" a="1"/>
  <c r="A258" i="8" a="1"/>
  <c r="D258" i="8" a="1"/>
  <c r="E258" i="8" a="1"/>
  <c r="I258" i="8" a="1"/>
  <c r="H257" i="8" a="1"/>
  <c r="G257" i="8" a="1"/>
  <c r="F257" i="8" a="1"/>
  <c r="A257" i="8" a="1"/>
  <c r="D257" i="8" a="1"/>
  <c r="E257" i="8" a="1"/>
  <c r="I257" i="8" a="1"/>
  <c r="H256" i="8" a="1"/>
  <c r="G256" i="8" a="1"/>
  <c r="F256" i="8" a="1"/>
  <c r="A256" i="8" a="1"/>
  <c r="D256" i="8" a="1"/>
  <c r="E256" i="8" a="1"/>
  <c r="I256" i="8" a="1"/>
  <c r="H255" i="8" a="1"/>
  <c r="G255" i="8" a="1"/>
  <c r="F255" i="8" a="1"/>
  <c r="A255" i="8" a="1"/>
  <c r="D255" i="8" a="1"/>
  <c r="E255" i="8" a="1"/>
  <c r="I255" i="8" a="1"/>
  <c r="H254" i="8" a="1"/>
  <c r="G254" i="8" a="1"/>
  <c r="F254" i="8" a="1"/>
  <c r="A254" i="8" a="1"/>
  <c r="D254" i="8" a="1"/>
  <c r="E254" i="8" a="1"/>
  <c r="I254" i="8" a="1"/>
  <c r="H253" i="8" a="1"/>
  <c r="G253" i="8" a="1"/>
  <c r="F253" i="8" a="1"/>
  <c r="A253" i="8" a="1"/>
  <c r="D253" i="8" a="1"/>
  <c r="E253" i="8" a="1"/>
  <c r="I253" i="8" a="1"/>
  <c r="H252" i="8" a="1"/>
  <c r="G252" i="8" a="1"/>
  <c r="F252" i="8" a="1"/>
  <c r="A252" i="8" a="1"/>
  <c r="D252" i="8" a="1"/>
  <c r="E252" i="8" a="1"/>
  <c r="I252" i="8" a="1"/>
  <c r="H251" i="8" a="1"/>
  <c r="G251" i="8" a="1"/>
  <c r="F251" i="8" a="1"/>
  <c r="A251" i="8" a="1"/>
  <c r="D251" i="8" a="1"/>
  <c r="E251" i="8" a="1"/>
  <c r="I251" i="8" a="1"/>
  <c r="H250" i="8" a="1"/>
  <c r="G250" i="8" a="1"/>
  <c r="F250" i="8" a="1"/>
  <c r="A250" i="8" a="1"/>
  <c r="D250" i="8" a="1"/>
  <c r="E250" i="8" a="1"/>
  <c r="I250" i="8" a="1"/>
  <c r="H249" i="8" a="1"/>
  <c r="G249" i="8" a="1"/>
  <c r="F249" i="8" a="1"/>
  <c r="A249" i="8" a="1"/>
  <c r="D249" i="8" a="1"/>
  <c r="E249" i="8" a="1"/>
  <c r="I249" i="8" a="1"/>
  <c r="H248" i="8" a="1"/>
  <c r="G248" i="8" a="1"/>
  <c r="F248" i="8" a="1"/>
  <c r="A248" i="8" a="1"/>
  <c r="D248" i="8" a="1"/>
  <c r="E248" i="8" a="1"/>
  <c r="I248" i="8" a="1"/>
  <c r="H247" i="8" a="1"/>
  <c r="G247" i="8" a="1"/>
  <c r="F247" i="8" a="1"/>
  <c r="A247" i="8" a="1"/>
  <c r="D247" i="8" a="1"/>
  <c r="E247" i="8" a="1"/>
  <c r="I247" i="8" a="1"/>
  <c r="H246" i="8" a="1"/>
  <c r="G246" i="8" a="1"/>
  <c r="F246" i="8" a="1"/>
  <c r="A246" i="8" a="1"/>
  <c r="D246" i="8" a="1"/>
  <c r="E246" i="8" a="1"/>
  <c r="I246" i="8" a="1"/>
  <c r="H245" i="8" a="1"/>
  <c r="G245" i="8" a="1"/>
  <c r="F245" i="8" a="1"/>
  <c r="A245" i="8" a="1"/>
  <c r="D245" i="8" a="1"/>
  <c r="E245" i="8" a="1"/>
  <c r="I245" i="8" a="1"/>
  <c r="H244" i="8" a="1"/>
  <c r="G244" i="8" a="1"/>
  <c r="F244" i="8" a="1"/>
  <c r="A244" i="8" a="1"/>
  <c r="D244" i="8" a="1"/>
  <c r="E244" i="8" a="1"/>
  <c r="I244" i="8" a="1"/>
  <c r="H243" i="8" a="1"/>
  <c r="G243" i="8" a="1"/>
  <c r="F243" i="8" a="1"/>
  <c r="A243" i="8" a="1"/>
  <c r="D243" i="8" a="1"/>
  <c r="E243" i="8" a="1"/>
  <c r="I243" i="8" a="1"/>
  <c r="H242" i="8" a="1"/>
  <c r="G242" i="8" a="1"/>
  <c r="F242" i="8" a="1"/>
  <c r="A242" i="8" a="1"/>
  <c r="D242" i="8" a="1"/>
  <c r="E242" i="8" a="1"/>
  <c r="I242" i="8" a="1"/>
  <c r="H241" i="8" a="1"/>
  <c r="G241" i="8" a="1"/>
  <c r="F241" i="8" a="1"/>
  <c r="A241" i="8" a="1"/>
  <c r="D241" i="8" a="1"/>
  <c r="E241" i="8" a="1"/>
  <c r="I241" i="8" a="1"/>
  <c r="H240" i="8" a="1"/>
  <c r="G240" i="8" a="1"/>
  <c r="F240" i="8" a="1"/>
  <c r="A240" i="8" a="1"/>
  <c r="D240" i="8" a="1"/>
  <c r="E240" i="8" a="1"/>
  <c r="I240" i="8" a="1"/>
  <c r="H239" i="8" a="1"/>
  <c r="G239" i="8" a="1"/>
  <c r="F239" i="8" a="1"/>
  <c r="A239" i="8" a="1"/>
  <c r="D239" i="8" a="1"/>
  <c r="E239" i="8" a="1"/>
  <c r="I239" i="8" a="1"/>
  <c r="H238" i="8" a="1"/>
  <c r="G238" i="8" a="1"/>
  <c r="F238" i="8" a="1"/>
  <c r="A238" i="8" a="1"/>
  <c r="D238" i="8" a="1"/>
  <c r="E238" i="8" a="1"/>
  <c r="I238" i="8" a="1"/>
  <c r="H237" i="8" a="1"/>
  <c r="G237" i="8" a="1"/>
  <c r="F237" i="8" a="1"/>
  <c r="A237" i="8" a="1"/>
  <c r="D237" i="8" a="1"/>
  <c r="E237" i="8" a="1"/>
  <c r="I237" i="8" a="1"/>
  <c r="H236" i="8" a="1"/>
  <c r="G236" i="8" a="1"/>
  <c r="F236" i="8" a="1"/>
  <c r="A236" i="8" a="1"/>
  <c r="D236" i="8" a="1"/>
  <c r="E236" i="8" a="1"/>
  <c r="I236" i="8" a="1"/>
  <c r="H235" i="8" a="1"/>
  <c r="G235" i="8" a="1"/>
  <c r="F235" i="8" a="1"/>
  <c r="A235" i="8" a="1"/>
  <c r="D235" i="8" a="1"/>
  <c r="E235" i="8" a="1"/>
  <c r="I235" i="8" a="1"/>
  <c r="H234" i="8" a="1"/>
  <c r="G234" i="8" a="1"/>
  <c r="F234" i="8" a="1"/>
  <c r="A234" i="8" a="1"/>
  <c r="D234" i="8" a="1"/>
  <c r="E234" i="8" a="1"/>
  <c r="I234" i="8" a="1"/>
  <c r="H233" i="8" a="1"/>
  <c r="G233" i="8" a="1"/>
  <c r="F233" i="8" a="1"/>
  <c r="A233" i="8" a="1"/>
  <c r="D233" i="8" a="1"/>
  <c r="E233" i="8" a="1"/>
  <c r="I233" i="8" a="1"/>
  <c r="H232" i="8" a="1"/>
  <c r="G232" i="8" a="1"/>
  <c r="F232" i="8" a="1"/>
  <c r="A232" i="8" a="1"/>
  <c r="D232" i="8" a="1"/>
  <c r="E232" i="8" a="1"/>
  <c r="I232" i="8" a="1"/>
  <c r="H231" i="8" a="1"/>
  <c r="G231" i="8" a="1"/>
  <c r="F231" i="8" a="1"/>
  <c r="A231" i="8" a="1"/>
  <c r="D231" i="8" a="1"/>
  <c r="E231" i="8" a="1"/>
  <c r="I231" i="8" a="1"/>
  <c r="H230" i="8" a="1"/>
  <c r="G230" i="8" a="1"/>
  <c r="F230" i="8" a="1"/>
  <c r="A230" i="8" a="1"/>
  <c r="D230" i="8" a="1"/>
  <c r="E230" i="8" a="1"/>
  <c r="I230" i="8" a="1"/>
  <c r="H229" i="8" a="1"/>
  <c r="G229" i="8" a="1"/>
  <c r="F229" i="8" a="1"/>
  <c r="A229" i="8" a="1"/>
  <c r="D229" i="8" a="1"/>
  <c r="E229" i="8" a="1"/>
  <c r="I229" i="8" a="1"/>
  <c r="H228" i="8" a="1"/>
  <c r="G228" i="8" a="1"/>
  <c r="F228" i="8" a="1"/>
  <c r="A228" i="8" a="1"/>
  <c r="D228" i="8" a="1"/>
  <c r="E228" i="8" a="1"/>
  <c r="I228" i="8" a="1"/>
  <c r="H227" i="8" a="1"/>
  <c r="G227" i="8" a="1"/>
  <c r="F227" i="8" a="1"/>
  <c r="A227" i="8" a="1"/>
  <c r="D227" i="8" a="1"/>
  <c r="E227" i="8" a="1"/>
  <c r="I227" i="8" a="1"/>
  <c r="H226" i="8" a="1"/>
  <c r="G226" i="8" a="1"/>
  <c r="F226" i="8" a="1"/>
  <c r="A226" i="8" a="1"/>
  <c r="D226" i="8" a="1"/>
  <c r="E226" i="8" a="1"/>
  <c r="I226" i="8" a="1"/>
  <c r="H225" i="8" a="1"/>
  <c r="G225" i="8" a="1"/>
  <c r="F225" i="8" a="1"/>
  <c r="A225" i="8" a="1"/>
  <c r="D225" i="8" a="1"/>
  <c r="E225" i="8" a="1"/>
  <c r="I225" i="8" a="1"/>
  <c r="H224" i="8" a="1"/>
  <c r="G224" i="8" a="1"/>
  <c r="F224" i="8" a="1"/>
  <c r="A224" i="8" a="1"/>
  <c r="D224" i="8" a="1"/>
  <c r="E224" i="8" a="1"/>
  <c r="I224" i="8" a="1"/>
  <c r="H223" i="8" a="1"/>
  <c r="G223" i="8" a="1"/>
  <c r="F223" i="8" a="1"/>
  <c r="A223" i="8" a="1"/>
  <c r="D223" i="8" a="1"/>
  <c r="E223" i="8" a="1"/>
  <c r="I223" i="8" a="1"/>
  <c r="H222" i="8" a="1"/>
  <c r="G222" i="8" a="1"/>
  <c r="F222" i="8" a="1"/>
  <c r="A222" i="8" a="1"/>
  <c r="D222" i="8" a="1"/>
  <c r="E222" i="8" a="1"/>
  <c r="I222" i="8" a="1"/>
  <c r="H221" i="8" a="1"/>
  <c r="G221" i="8" a="1"/>
  <c r="F221" i="8" a="1"/>
  <c r="A221" i="8" a="1"/>
  <c r="D221" i="8" a="1"/>
  <c r="E221" i="8" a="1"/>
  <c r="I221" i="8" a="1"/>
  <c r="H220" i="8" a="1"/>
  <c r="G220" i="8" a="1"/>
  <c r="F220" i="8" a="1"/>
  <c r="A220" i="8" a="1"/>
  <c r="D220" i="8" a="1"/>
  <c r="E220" i="8" a="1"/>
  <c r="I220" i="8" a="1"/>
  <c r="H219" i="8" a="1"/>
  <c r="G219" i="8" a="1"/>
  <c r="F219" i="8" a="1"/>
  <c r="A219" i="8" a="1"/>
  <c r="D219" i="8" a="1"/>
  <c r="E219" i="8" a="1"/>
  <c r="I219" i="8" a="1"/>
  <c r="H218" i="8" a="1"/>
  <c r="G218" i="8" a="1"/>
  <c r="F218" i="8" a="1"/>
  <c r="A218" i="8" a="1"/>
  <c r="D218" i="8" a="1"/>
  <c r="E218" i="8" a="1"/>
  <c r="I218" i="8" a="1"/>
  <c r="H217" i="8" a="1"/>
  <c r="G217" i="8" a="1"/>
  <c r="F217" i="8" a="1"/>
  <c r="A217" i="8" a="1"/>
  <c r="D217" i="8" a="1"/>
  <c r="E217" i="8" a="1"/>
  <c r="I217" i="8" a="1"/>
  <c r="H216" i="8" a="1"/>
  <c r="G216" i="8" a="1"/>
  <c r="F216" i="8" a="1"/>
  <c r="A216" i="8" a="1"/>
  <c r="D216" i="8" a="1"/>
  <c r="E216" i="8" a="1"/>
  <c r="I216" i="8" a="1"/>
  <c r="H215" i="8" a="1"/>
  <c r="G215" i="8" a="1"/>
  <c r="F215" i="8" a="1"/>
  <c r="A215" i="8" a="1"/>
  <c r="D215" i="8" a="1"/>
  <c r="E215" i="8" a="1"/>
  <c r="I215" i="8" a="1"/>
  <c r="H214" i="8" a="1"/>
  <c r="G214" i="8" a="1"/>
  <c r="F214" i="8" a="1"/>
  <c r="A214" i="8" a="1"/>
  <c r="D214" i="8" a="1"/>
  <c r="E214" i="8" a="1"/>
  <c r="I214" i="8" a="1"/>
  <c r="H213" i="8" a="1"/>
  <c r="G213" i="8" a="1"/>
  <c r="F213" i="8" a="1"/>
  <c r="A213" i="8" a="1"/>
  <c r="D213" i="8" a="1"/>
  <c r="E213" i="8" a="1"/>
  <c r="I213" i="8" a="1"/>
  <c r="H212" i="8" a="1"/>
  <c r="G212" i="8" a="1"/>
  <c r="F212" i="8" a="1"/>
  <c r="A212" i="8" a="1"/>
  <c r="D212" i="8" a="1"/>
  <c r="E212" i="8" a="1"/>
  <c r="I212" i="8" a="1"/>
  <c r="H211" i="8" a="1"/>
  <c r="G211" i="8" a="1"/>
  <c r="F211" i="8" a="1"/>
  <c r="A211" i="8" a="1"/>
  <c r="D211" i="8" a="1"/>
  <c r="E211" i="8" a="1"/>
  <c r="I211" i="8" a="1"/>
  <c r="H210" i="8" a="1"/>
  <c r="G210" i="8" a="1"/>
  <c r="F210" i="8" a="1"/>
  <c r="A210" i="8" a="1"/>
  <c r="D210" i="8" a="1"/>
  <c r="E210" i="8" a="1"/>
  <c r="I210" i="8" a="1"/>
  <c r="H209" i="8" a="1"/>
  <c r="G209" i="8" a="1"/>
  <c r="F209" i="8" a="1"/>
  <c r="A209" i="8" a="1"/>
  <c r="D209" i="8" a="1"/>
  <c r="E209" i="8" a="1"/>
  <c r="I209" i="8" a="1"/>
  <c r="H208" i="8" a="1"/>
  <c r="G208" i="8" a="1"/>
  <c r="F208" i="8" a="1"/>
  <c r="A208" i="8" a="1"/>
  <c r="D208" i="8" a="1"/>
  <c r="E208" i="8" a="1"/>
  <c r="I208" i="8" a="1"/>
  <c r="H207" i="8" a="1"/>
  <c r="G207" i="8" a="1"/>
  <c r="F207" i="8" a="1"/>
  <c r="A207" i="8" a="1"/>
  <c r="D207" i="8" a="1"/>
  <c r="E207" i="8" a="1"/>
  <c r="I207" i="8" a="1"/>
  <c r="H206" i="8" a="1"/>
  <c r="G206" i="8" a="1"/>
  <c r="F206" i="8" a="1"/>
  <c r="A206" i="8" a="1"/>
  <c r="D206" i="8" a="1"/>
  <c r="E206" i="8" a="1"/>
  <c r="I206" i="8" a="1"/>
  <c r="H205" i="8" a="1"/>
  <c r="G205" i="8" a="1"/>
  <c r="F205" i="8" a="1"/>
  <c r="A205" i="8" a="1"/>
  <c r="D205" i="8" a="1"/>
  <c r="E205" i="8" a="1"/>
  <c r="I205" i="8" a="1"/>
  <c r="H204" i="8" a="1"/>
  <c r="G204" i="8" a="1"/>
  <c r="F204" i="8" a="1"/>
  <c r="A204" i="8" a="1"/>
  <c r="D204" i="8" a="1"/>
  <c r="E204" i="8" a="1"/>
  <c r="I204" i="8" a="1"/>
  <c r="H203" i="8" a="1"/>
  <c r="G203" i="8" a="1"/>
  <c r="F203" i="8" a="1"/>
  <c r="A203" i="8" a="1"/>
  <c r="D203" i="8" a="1"/>
  <c r="E203" i="8" a="1"/>
  <c r="I203" i="8" a="1"/>
  <c r="H202" i="8" a="1"/>
  <c r="G202" i="8" a="1"/>
  <c r="F202" i="8" a="1"/>
  <c r="A202" i="8" a="1"/>
  <c r="D202" i="8" a="1"/>
  <c r="E202" i="8" a="1"/>
  <c r="I202" i="8" a="1"/>
  <c r="H201" i="8" a="1"/>
  <c r="G201" i="8" a="1"/>
  <c r="F201" i="8" a="1"/>
  <c r="A201" i="8" a="1"/>
  <c r="D201" i="8" a="1"/>
  <c r="E201" i="8" a="1"/>
  <c r="I201" i="8" a="1"/>
  <c r="H200" i="8" a="1"/>
  <c r="G200" i="8" a="1"/>
  <c r="F200" i="8" a="1"/>
  <c r="A200" i="8" a="1"/>
  <c r="D200" i="8" a="1"/>
  <c r="E200" i="8" a="1"/>
  <c r="I200" i="8" a="1"/>
  <c r="H199" i="8" a="1"/>
  <c r="G199" i="8" a="1"/>
  <c r="F199" i="8" a="1"/>
  <c r="A199" i="8" a="1"/>
  <c r="D199" i="8" a="1"/>
  <c r="E199" i="8" a="1"/>
  <c r="I199" i="8" a="1"/>
  <c r="H198" i="8" a="1"/>
  <c r="G198" i="8" a="1"/>
  <c r="F198" i="8" a="1"/>
  <c r="A198" i="8" a="1"/>
  <c r="D198" i="8" a="1"/>
  <c r="E198" i="8" a="1"/>
  <c r="I198" i="8" a="1"/>
  <c r="H197" i="8" a="1"/>
  <c r="G197" i="8" a="1"/>
  <c r="F197" i="8" a="1"/>
  <c r="A197" i="8" a="1"/>
  <c r="D197" i="8" a="1"/>
  <c r="E197" i="8" a="1"/>
  <c r="I197" i="8" a="1"/>
  <c r="H196" i="8" a="1"/>
  <c r="G196" i="8" a="1"/>
  <c r="F196" i="8" a="1"/>
  <c r="A196" i="8" a="1"/>
  <c r="D196" i="8" a="1"/>
  <c r="E196" i="8" a="1"/>
  <c r="I196" i="8" a="1"/>
  <c r="H195" i="8" a="1"/>
  <c r="G195" i="8" a="1"/>
  <c r="F195" i="8" a="1"/>
  <c r="A195" i="8" a="1"/>
  <c r="D195" i="8" a="1"/>
  <c r="E195" i="8" a="1"/>
  <c r="I195" i="8" a="1"/>
  <c r="H194" i="8" a="1"/>
  <c r="G194" i="8" a="1"/>
  <c r="F194" i="8" a="1"/>
  <c r="A194" i="8" a="1"/>
  <c r="D194" i="8" a="1"/>
  <c r="E194" i="8" a="1"/>
  <c r="I194" i="8" a="1"/>
  <c r="H193" i="8" a="1"/>
  <c r="G193" i="8" a="1"/>
  <c r="F193" i="8" a="1"/>
  <c r="A193" i="8" a="1"/>
  <c r="D193" i="8" a="1"/>
  <c r="E193" i="8" a="1"/>
  <c r="I193" i="8" a="1"/>
  <c r="H192" i="8" a="1"/>
  <c r="G192" i="8" a="1"/>
  <c r="F192" i="8" a="1"/>
  <c r="A192" i="8" a="1"/>
  <c r="D192" i="8" a="1"/>
  <c r="E192" i="8" a="1"/>
  <c r="I192" i="8" a="1"/>
  <c r="H191" i="8" a="1"/>
  <c r="G191" i="8" a="1"/>
  <c r="F191" i="8" a="1"/>
  <c r="A191" i="8" a="1"/>
  <c r="D191" i="8" a="1"/>
  <c r="E191" i="8" a="1"/>
  <c r="I191" i="8" a="1"/>
  <c r="H190" i="8" a="1"/>
  <c r="G190" i="8" a="1"/>
  <c r="F190" i="8" a="1"/>
  <c r="A190" i="8" a="1"/>
  <c r="D190" i="8" a="1"/>
  <c r="E190" i="8" a="1"/>
  <c r="I190" i="8" a="1"/>
  <c r="H189" i="8" a="1"/>
  <c r="G189" i="8" a="1"/>
  <c r="F189" i="8" a="1"/>
  <c r="A189" i="8" a="1"/>
  <c r="D189" i="8" a="1"/>
  <c r="E189" i="8" a="1"/>
  <c r="I189" i="8" a="1"/>
  <c r="H188" i="8" a="1"/>
  <c r="G188" i="8" a="1"/>
  <c r="F188" i="8" a="1"/>
  <c r="A188" i="8" a="1"/>
  <c r="D188" i="8" a="1"/>
  <c r="E188" i="8" a="1"/>
  <c r="I188" i="8" a="1"/>
  <c r="H187" i="8" a="1"/>
  <c r="G187" i="8" a="1"/>
  <c r="F187" i="8" a="1"/>
  <c r="A187" i="8" a="1"/>
  <c r="D187" i="8" a="1"/>
  <c r="E187" i="8" a="1"/>
  <c r="I187" i="8" a="1"/>
  <c r="H186" i="8" a="1"/>
  <c r="G186" i="8" a="1"/>
  <c r="F186" i="8" a="1"/>
  <c r="A186" i="8" a="1"/>
  <c r="D186" i="8" a="1"/>
  <c r="E186" i="8" a="1"/>
  <c r="I186" i="8" a="1"/>
  <c r="H185" i="8" a="1"/>
  <c r="G185" i="8" a="1"/>
  <c r="F185" i="8" a="1"/>
  <c r="A185" i="8" a="1"/>
  <c r="D185" i="8" a="1"/>
  <c r="E185" i="8" a="1"/>
  <c r="I185" i="8" a="1"/>
  <c r="H184" i="8" a="1"/>
  <c r="G184" i="8" a="1"/>
  <c r="F184" i="8" a="1"/>
  <c r="A184" i="8" a="1"/>
  <c r="D184" i="8" a="1"/>
  <c r="E184" i="8" a="1"/>
  <c r="I184" i="8" a="1"/>
  <c r="H183" i="8" a="1"/>
  <c r="G183" i="8" a="1"/>
  <c r="F183" i="8" a="1"/>
  <c r="A183" i="8" a="1"/>
  <c r="D183" i="8" a="1"/>
  <c r="E183" i="8" a="1"/>
  <c r="I183" i="8" a="1"/>
  <c r="H182" i="8" a="1"/>
  <c r="G182" i="8" a="1"/>
  <c r="F182" i="8" a="1"/>
  <c r="A182" i="8" a="1"/>
  <c r="D182" i="8" a="1"/>
  <c r="E182" i="8" a="1"/>
  <c r="I182" i="8" a="1"/>
  <c r="H181" i="8" a="1"/>
  <c r="G181" i="8" a="1"/>
  <c r="F181" i="8" a="1"/>
  <c r="A181" i="8" a="1"/>
  <c r="D181" i="8" a="1"/>
  <c r="E181" i="8" a="1"/>
  <c r="I181" i="8" a="1"/>
  <c r="H180" i="8" a="1"/>
  <c r="G180" i="8" a="1"/>
  <c r="F180" i="8" a="1"/>
  <c r="A180" i="8" a="1"/>
  <c r="D180" i="8" a="1"/>
  <c r="E180" i="8" a="1"/>
  <c r="I180" i="8" a="1"/>
  <c r="H179" i="8" a="1"/>
  <c r="G179" i="8" a="1"/>
  <c r="F179" i="8" a="1"/>
  <c r="A179" i="8" a="1"/>
  <c r="D179" i="8" a="1"/>
  <c r="E179" i="8" a="1"/>
  <c r="I179" i="8" a="1"/>
  <c r="H178" i="8" a="1"/>
  <c r="G178" i="8" a="1"/>
  <c r="F178" i="8" a="1"/>
  <c r="A178" i="8" a="1"/>
  <c r="D178" i="8" a="1"/>
  <c r="E178" i="8" a="1"/>
  <c r="I178" i="8" a="1"/>
  <c r="H177" i="8" a="1"/>
  <c r="G177" i="8" a="1"/>
  <c r="F177" i="8" a="1"/>
  <c r="A177" i="8" a="1"/>
  <c r="D177" i="8" a="1"/>
  <c r="E177" i="8" a="1"/>
  <c r="I177" i="8" a="1"/>
  <c r="H176" i="8" a="1"/>
  <c r="G176" i="8" a="1"/>
  <c r="F176" i="8" a="1"/>
  <c r="A176" i="8" a="1"/>
  <c r="D176" i="8" a="1"/>
  <c r="E176" i="8" a="1"/>
  <c r="I176" i="8" a="1"/>
  <c r="H175" i="8" a="1"/>
  <c r="G175" i="8" a="1"/>
  <c r="F175" i="8" a="1"/>
  <c r="A175" i="8" a="1"/>
  <c r="D175" i="8" a="1"/>
  <c r="E175" i="8" a="1"/>
  <c r="I175" i="8" a="1"/>
  <c r="H174" i="8" a="1"/>
  <c r="G174" i="8" a="1"/>
  <c r="F174" i="8" a="1"/>
  <c r="A174" i="8" a="1"/>
  <c r="D174" i="8" a="1"/>
  <c r="E174" i="8" a="1"/>
  <c r="I174" i="8" a="1"/>
  <c r="H173" i="8" a="1"/>
  <c r="G173" i="8" a="1"/>
  <c r="F173" i="8" a="1"/>
  <c r="A173" i="8" a="1"/>
  <c r="D173" i="8" a="1"/>
  <c r="E173" i="8" a="1"/>
  <c r="I173" i="8" a="1"/>
  <c r="H172" i="8" a="1"/>
  <c r="G172" i="8" a="1"/>
  <c r="F172" i="8" a="1"/>
  <c r="A172" i="8" a="1"/>
  <c r="D172" i="8" a="1"/>
  <c r="E172" i="8" a="1"/>
  <c r="I172" i="8" a="1"/>
  <c r="H171" i="8" a="1"/>
  <c r="G171" i="8" a="1"/>
  <c r="F171" i="8" a="1"/>
  <c r="A171" i="8" a="1"/>
  <c r="D171" i="8" a="1"/>
  <c r="E171" i="8" a="1"/>
  <c r="I171" i="8" a="1"/>
  <c r="H170" i="8" a="1"/>
  <c r="G170" i="8" a="1"/>
  <c r="F170" i="8" a="1"/>
  <c r="A170" i="8" a="1"/>
  <c r="D170" i="8" a="1"/>
  <c r="E170" i="8" a="1"/>
  <c r="I170" i="8" a="1"/>
  <c r="H169" i="8" a="1"/>
  <c r="G169" i="8" a="1"/>
  <c r="F169" i="8" a="1"/>
  <c r="A169" i="8" a="1"/>
  <c r="D169" i="8" a="1"/>
  <c r="E169" i="8" a="1"/>
  <c r="I169" i="8" a="1"/>
  <c r="H168" i="8" a="1"/>
  <c r="G168" i="8" a="1"/>
  <c r="F168" i="8" a="1"/>
  <c r="A168" i="8" a="1"/>
  <c r="D168" i="8" a="1"/>
  <c r="E168" i="8" a="1"/>
  <c r="I168" i="8" a="1"/>
  <c r="H167" i="8" a="1"/>
  <c r="G167" i="8" a="1"/>
  <c r="F167" i="8" a="1"/>
  <c r="A167" i="8" a="1"/>
  <c r="D167" i="8" a="1"/>
  <c r="E167" i="8" a="1"/>
  <c r="I167" i="8" a="1"/>
  <c r="H166" i="8" a="1"/>
  <c r="G166" i="8" a="1"/>
  <c r="F166" i="8" a="1"/>
  <c r="A166" i="8" a="1"/>
  <c r="D166" i="8" a="1"/>
  <c r="E166" i="8" a="1"/>
  <c r="I166" i="8" a="1"/>
  <c r="H165" i="8" a="1"/>
  <c r="G165" i="8" a="1"/>
  <c r="F165" i="8" a="1"/>
  <c r="A165" i="8" a="1"/>
  <c r="D165" i="8" a="1"/>
  <c r="E165" i="8" a="1"/>
  <c r="I165" i="8" a="1"/>
  <c r="H164" i="8" a="1"/>
  <c r="G164" i="8" a="1"/>
  <c r="F164" i="8" a="1"/>
  <c r="A164" i="8" a="1"/>
  <c r="D164" i="8" a="1"/>
  <c r="E164" i="8" a="1"/>
  <c r="I164" i="8" a="1"/>
  <c r="H163" i="8" a="1"/>
  <c r="G163" i="8" a="1"/>
  <c r="F163" i="8" a="1"/>
  <c r="A163" i="8" a="1"/>
  <c r="D163" i="8" a="1"/>
  <c r="E163" i="8" a="1"/>
  <c r="I163" i="8" a="1"/>
  <c r="H162" i="8" a="1"/>
  <c r="G162" i="8" a="1"/>
  <c r="F162" i="8" a="1"/>
  <c r="A162" i="8" a="1"/>
  <c r="D162" i="8" a="1"/>
  <c r="E162" i="8" a="1"/>
  <c r="I162" i="8" a="1"/>
  <c r="H161" i="8" a="1"/>
  <c r="G161" i="8" a="1"/>
  <c r="F161" i="8" a="1"/>
  <c r="A161" i="8" a="1"/>
  <c r="D161" i="8" a="1"/>
  <c r="E161" i="8" a="1"/>
  <c r="I161" i="8" a="1"/>
  <c r="H160" i="8" a="1"/>
  <c r="G160" i="8" a="1"/>
  <c r="F160" i="8" a="1"/>
  <c r="A160" i="8" a="1"/>
  <c r="D160" i="8" a="1"/>
  <c r="E160" i="8" a="1"/>
  <c r="I160" i="8" a="1"/>
  <c r="H159" i="8" a="1"/>
  <c r="G159" i="8" a="1"/>
  <c r="F159" i="8" a="1"/>
  <c r="A159" i="8" a="1"/>
  <c r="D159" i="8" a="1"/>
  <c r="E159" i="8" a="1"/>
  <c r="I159" i="8" a="1"/>
  <c r="H158" i="8" a="1"/>
  <c r="G158" i="8" a="1"/>
  <c r="F158" i="8" a="1"/>
  <c r="A158" i="8" a="1"/>
  <c r="D158" i="8" a="1"/>
  <c r="E158" i="8" a="1"/>
  <c r="I158" i="8" a="1"/>
  <c r="H157" i="8" a="1"/>
  <c r="G157" i="8" a="1"/>
  <c r="F157" i="8" a="1"/>
  <c r="A157" i="8" a="1"/>
  <c r="D157" i="8" a="1"/>
  <c r="E157" i="8" a="1"/>
  <c r="I157" i="8" a="1"/>
  <c r="H156" i="8" a="1"/>
  <c r="G156" i="8" a="1"/>
  <c r="F156" i="8" a="1"/>
  <c r="A156" i="8" a="1"/>
  <c r="D156" i="8" a="1"/>
  <c r="E156" i="8" a="1"/>
  <c r="I156" i="8" a="1"/>
  <c r="H155" i="8" a="1"/>
  <c r="G155" i="8" a="1"/>
  <c r="F155" i="8" a="1"/>
  <c r="A155" i="8" a="1"/>
  <c r="D155" i="8" a="1"/>
  <c r="E155" i="8" a="1"/>
  <c r="I155" i="8" a="1"/>
  <c r="H154" i="8" a="1"/>
  <c r="G154" i="8" a="1"/>
  <c r="F154" i="8" a="1"/>
  <c r="A154" i="8" a="1"/>
  <c r="D154" i="8" a="1"/>
  <c r="E154" i="8" a="1"/>
  <c r="I154" i="8" a="1"/>
  <c r="H153" i="8" a="1"/>
  <c r="G153" i="8" a="1"/>
  <c r="F153" i="8" a="1"/>
  <c r="A153" i="8" a="1"/>
  <c r="D153" i="8" a="1"/>
  <c r="E153" i="8" a="1"/>
  <c r="I153" i="8" a="1"/>
  <c r="H152" i="8" a="1"/>
  <c r="G152" i="8" a="1"/>
  <c r="F152" i="8" a="1"/>
  <c r="A152" i="8" a="1"/>
  <c r="D152" i="8" a="1"/>
  <c r="E152" i="8" a="1"/>
  <c r="I152" i="8" a="1"/>
  <c r="H151" i="8" a="1"/>
  <c r="G151" i="8" a="1"/>
  <c r="F151" i="8" a="1"/>
  <c r="A151" i="8" a="1"/>
  <c r="D151" i="8" a="1"/>
  <c r="E151" i="8" a="1"/>
  <c r="I151" i="8" a="1"/>
  <c r="H150" i="8" a="1"/>
  <c r="G150" i="8" a="1"/>
  <c r="F150" i="8" a="1"/>
  <c r="A150" i="8" a="1"/>
  <c r="D150" i="8" a="1"/>
  <c r="E150" i="8" a="1"/>
  <c r="I150" i="8" a="1"/>
  <c r="H149" i="8" a="1"/>
  <c r="G149" i="8" a="1"/>
  <c r="F8" i="8" a="1"/>
  <c r="A8" i="8" a="1"/>
  <c r="D8" i="8" a="1"/>
  <c r="E8" i="8" a="1"/>
  <c r="I8" i="8" a="1"/>
  <c r="H7" i="8" a="1"/>
  <c r="G7" i="8" a="1"/>
  <c r="F7" i="8" a="1"/>
  <c r="A7" i="8" a="1"/>
  <c r="D7" i="8" a="1"/>
  <c r="E7" i="8" a="1"/>
  <c r="I7" i="8" a="1"/>
  <c r="H6" i="8" a="1"/>
  <c r="G6" i="8" a="1"/>
  <c r="F6" i="8" a="1"/>
  <c r="A6" i="8" a="1"/>
  <c r="D6" i="8" a="1"/>
  <c r="E6" i="8" a="1"/>
  <c r="I6" i="8" a="1"/>
  <c r="H5" i="8" a="1"/>
  <c r="G5" i="8" a="1"/>
  <c r="F5" i="8" a="1"/>
  <c r="A5" i="8" a="1"/>
  <c r="D5" i="8" a="1"/>
  <c r="E5" i="8" a="1"/>
  <c r="I5" i="8" a="1"/>
  <c r="AI43" i="3"/>
  <c r="V43" i="3"/>
  <c r="AD43" i="3"/>
  <c r="N43" i="3"/>
  <c r="I6" i="3"/>
  <c r="J6" i="3" s="1"/>
  <c r="H9" i="3"/>
  <c r="J19" i="3"/>
  <c r="I19" i="3"/>
  <c r="H19" i="3"/>
  <c r="J14" i="3"/>
  <c r="I14" i="3"/>
  <c r="H14" i="3"/>
  <c r="J9" i="3"/>
  <c r="I9" i="3"/>
  <c r="J39" i="3"/>
  <c r="I39" i="3"/>
  <c r="H39" i="3"/>
  <c r="J34" i="3"/>
  <c r="I34" i="3"/>
  <c r="H34" i="3"/>
  <c r="J29" i="3"/>
  <c r="I29" i="3"/>
  <c r="H29" i="3"/>
  <c r="J24" i="3"/>
  <c r="I24" i="3"/>
  <c r="H24" i="3"/>
  <c r="T50" i="11" a="1"/>
  <c r="D11" i="11" a="1"/>
  <c r="T12" i="11" a="1"/>
  <c r="T15" i="11" a="1"/>
  <c r="T19" i="11" a="1"/>
  <c r="T28" i="11" a="1"/>
  <c r="T44" i="11" a="1"/>
  <c r="T4" i="11" a="1"/>
  <c r="T8" i="11" a="1"/>
  <c r="T36" i="11" a="1"/>
  <c r="T40" i="11" a="1"/>
  <c r="T52" i="11" a="1"/>
  <c r="L7" i="11" a="1"/>
  <c r="T18" i="11" a="1"/>
  <c r="T21" i="11" a="1"/>
  <c r="T24" i="11" a="1"/>
  <c r="T30" i="11" a="1"/>
  <c r="T33" i="11" a="1"/>
  <c r="T39" i="11" a="1"/>
  <c r="T46" i="11" a="1"/>
  <c r="T49" i="11" a="1"/>
  <c r="T3" i="11" a="1"/>
  <c r="T7" i="11" a="1"/>
  <c r="T11" i="11" a="1"/>
  <c r="T14" i="11" a="1"/>
  <c r="T27" i="11" a="1"/>
  <c r="T43" i="11" a="1"/>
  <c r="T6" i="11" a="1"/>
  <c r="T23" i="11" a="1"/>
  <c r="T32" i="11" a="1"/>
  <c r="T35" i="11" a="1"/>
  <c r="T38" i="11" a="1"/>
  <c r="T48" i="11" a="1"/>
  <c r="T51" i="11" a="1"/>
  <c r="T10" i="11" a="1"/>
  <c r="T17" i="11" a="1"/>
  <c r="T20" i="11" a="1"/>
  <c r="T26" i="11" a="1"/>
  <c r="T29" i="11" a="1"/>
  <c r="T42" i="11" a="1"/>
  <c r="T45" i="11" a="1"/>
  <c r="T5" i="11" a="1"/>
  <c r="T9" i="11" a="1"/>
  <c r="T13" i="11" a="1"/>
  <c r="T16" i="11" a="1"/>
  <c r="T37" i="11" a="1"/>
  <c r="T41" i="11" a="1"/>
  <c r="T22" i="11" a="1"/>
  <c r="T25" i="11" a="1"/>
  <c r="T31" i="11" a="1"/>
  <c r="T34" i="11" a="1"/>
  <c r="T47" i="11" a="1"/>
  <c r="A43" i="11"/>
  <c r="B42" i="11" a="1"/>
  <c r="C42" i="11" a="1"/>
  <c r="D42" i="11" a="1"/>
  <c r="N29" i="11"/>
  <c r="O38" i="11"/>
  <c r="J27" i="11"/>
  <c r="L36" i="11"/>
  <c r="O25" i="11"/>
  <c r="K27" i="11"/>
  <c r="M28" i="11"/>
  <c r="O29" i="11"/>
  <c r="K31" i="11"/>
  <c r="M32" i="11"/>
  <c r="O33" i="11"/>
  <c r="K35" i="11"/>
  <c r="M36" i="11"/>
  <c r="O37" i="11"/>
  <c r="L28" i="11"/>
  <c r="N37" i="11"/>
  <c r="J26" i="11"/>
  <c r="L27" i="11"/>
  <c r="N28" i="11"/>
  <c r="J30" i="11"/>
  <c r="L31" i="11"/>
  <c r="N32" i="11"/>
  <c r="J34" i="11"/>
  <c r="L35" i="11"/>
  <c r="N36" i="11"/>
  <c r="J38" i="11"/>
  <c r="N33" i="11"/>
  <c r="K26" i="11"/>
  <c r="M27" i="11"/>
  <c r="O28" i="11"/>
  <c r="K30" i="11"/>
  <c r="M31" i="11"/>
  <c r="O32" i="11"/>
  <c r="K34" i="11"/>
  <c r="M35" i="11"/>
  <c r="O36" i="11"/>
  <c r="K38" i="11"/>
  <c r="J35" i="11"/>
  <c r="J25" i="11"/>
  <c r="L26" i="11"/>
  <c r="N27" i="11"/>
  <c r="J29" i="11"/>
  <c r="L30" i="11"/>
  <c r="N31" i="11"/>
  <c r="J33" i="11"/>
  <c r="L34" i="11"/>
  <c r="N35" i="11"/>
  <c r="J37" i="11"/>
  <c r="L38" i="11"/>
  <c r="N25" i="11"/>
  <c r="J31" i="11"/>
  <c r="K25" i="11"/>
  <c r="M26" i="11"/>
  <c r="O27" i="11"/>
  <c r="K29" i="11"/>
  <c r="M30" i="11"/>
  <c r="O31" i="11"/>
  <c r="K33" i="11"/>
  <c r="M34" i="11"/>
  <c r="O35" i="11"/>
  <c r="K37" i="11"/>
  <c r="M38" i="11"/>
  <c r="L32" i="11"/>
  <c r="L25" i="11"/>
  <c r="N26" i="11"/>
  <c r="J28" i="11"/>
  <c r="L29" i="11"/>
  <c r="N30" i="11"/>
  <c r="J32" i="11"/>
  <c r="L33" i="11"/>
  <c r="N34" i="11"/>
  <c r="J36" i="11"/>
  <c r="L37" i="11"/>
  <c r="N38" i="11"/>
  <c r="M25" i="11"/>
  <c r="O26" i="11"/>
  <c r="K28" i="11"/>
  <c r="M29" i="11"/>
  <c r="O30" i="11"/>
  <c r="K32" i="11"/>
  <c r="M33" i="11"/>
  <c r="O34" i="11"/>
  <c r="K36" i="11"/>
  <c r="M37" i="11"/>
  <c r="N24" i="11"/>
  <c r="O24" i="11"/>
  <c r="M24" i="11"/>
  <c r="L24" i="11"/>
  <c r="K24" i="11"/>
  <c r="J24" i="11"/>
  <c r="Z7" i="10"/>
  <c r="Z5" i="10"/>
  <c r="C5" i="8" a="1"/>
  <c r="C6" i="8" a="1"/>
  <c r="C7" i="8" a="1"/>
  <c r="C8" i="8" a="1"/>
  <c r="C9" i="8" a="1"/>
  <c r="C10" i="8" a="1"/>
  <c r="C11" i="8" a="1"/>
  <c r="C12" i="8" a="1"/>
  <c r="C13" i="8" a="1"/>
  <c r="C14" i="8" a="1"/>
  <c r="C15" i="8" a="1"/>
  <c r="C16" i="8" a="1"/>
  <c r="C17" i="8" a="1"/>
  <c r="C18" i="8" a="1"/>
  <c r="C19" i="8" a="1"/>
  <c r="C20" i="8" a="1"/>
  <c r="C21" i="8" a="1"/>
  <c r="C22" i="8" a="1"/>
  <c r="C23" i="8" a="1"/>
  <c r="C24" i="8" a="1"/>
  <c r="C25" i="8" a="1"/>
  <c r="C26" i="8" a="1"/>
  <c r="C27" i="8" a="1"/>
  <c r="C28" i="8" a="1"/>
  <c r="C29" i="8" a="1"/>
  <c r="C30" i="8" a="1"/>
  <c r="C31" i="8" a="1"/>
  <c r="C32" i="8" a="1"/>
  <c r="C33" i="8" a="1"/>
  <c r="C34" i="8" a="1"/>
  <c r="C35" i="8" a="1"/>
  <c r="C36" i="8" a="1"/>
  <c r="C37" i="8" a="1"/>
  <c r="C38" i="8" a="1"/>
  <c r="C39" i="8" a="1"/>
  <c r="C40" i="8" a="1"/>
  <c r="C41" i="8" a="1"/>
  <c r="C42" i="8" a="1"/>
  <c r="C43" i="8" a="1"/>
  <c r="C44" i="8" a="1"/>
  <c r="C45" i="8" a="1"/>
  <c r="C46" i="8" a="1"/>
  <c r="C47" i="8" a="1"/>
  <c r="C48" i="8" a="1"/>
  <c r="C49" i="8" a="1"/>
  <c r="C50" i="8" a="1"/>
  <c r="C51" i="8" a="1"/>
  <c r="C52" i="8" a="1"/>
  <c r="C53" i="8" a="1"/>
  <c r="C54" i="8" a="1"/>
  <c r="C55" i="8" a="1"/>
  <c r="C56" i="8" a="1"/>
  <c r="C57" i="8" a="1"/>
  <c r="C58" i="8" a="1"/>
  <c r="C59" i="8" a="1"/>
  <c r="C60" i="8" a="1"/>
  <c r="C61" i="8" a="1"/>
  <c r="C62" i="8" a="1"/>
  <c r="C63" i="8" a="1"/>
  <c r="C64" i="8" a="1"/>
  <c r="C65" i="8" a="1"/>
  <c r="C66" i="8" a="1"/>
  <c r="C67" i="8" a="1"/>
  <c r="C68" i="8" a="1"/>
  <c r="C69" i="8" a="1"/>
  <c r="C70" i="8" a="1"/>
  <c r="C71" i="8" a="1"/>
  <c r="C72" i="8" a="1"/>
  <c r="C73" i="8" a="1"/>
  <c r="C74" i="8" a="1"/>
  <c r="C75" i="8" a="1"/>
  <c r="C76" i="8" a="1"/>
  <c r="C77" i="8" a="1"/>
  <c r="C78" i="8" a="1"/>
  <c r="C79" i="8" a="1"/>
  <c r="C80" i="8" a="1"/>
  <c r="C81" i="8" a="1"/>
  <c r="C82" i="8" a="1"/>
  <c r="C83" i="8" a="1"/>
  <c r="C84" i="8" a="1"/>
  <c r="C85" i="8" a="1"/>
  <c r="C86" i="8" a="1"/>
  <c r="C87" i="8" a="1"/>
  <c r="C88" i="8" a="1"/>
  <c r="C89" i="8" a="1"/>
  <c r="C90" i="8" a="1"/>
  <c r="C91" i="8" a="1"/>
  <c r="C92" i="8" a="1"/>
  <c r="C93" i="8" a="1"/>
  <c r="C94" i="8" a="1"/>
  <c r="C95" i="8" a="1"/>
  <c r="C96" i="8" a="1"/>
  <c r="C97" i="8" a="1"/>
  <c r="C98" i="8" a="1"/>
  <c r="C99" i="8" a="1"/>
  <c r="C100" i="8" a="1"/>
  <c r="C101" i="8" a="1"/>
  <c r="C102" i="8" a="1"/>
  <c r="C103" i="8" a="1"/>
  <c r="C104" i="8" a="1"/>
  <c r="C105" i="8" a="1"/>
  <c r="C106" i="8" a="1"/>
  <c r="C107" i="8" a="1"/>
  <c r="C108" i="8" a="1"/>
  <c r="C109" i="8" a="1"/>
  <c r="C110" i="8" a="1"/>
  <c r="C111" i="8" a="1"/>
  <c r="C112" i="8" a="1"/>
  <c r="C113" i="8" a="1"/>
  <c r="C114" i="8" a="1"/>
  <c r="C115" i="8" a="1"/>
  <c r="C116" i="8" a="1"/>
  <c r="C117" i="8" a="1"/>
  <c r="C118" i="8" a="1"/>
  <c r="C119" i="8" a="1"/>
  <c r="C120" i="8" a="1"/>
  <c r="C121" i="8" a="1"/>
  <c r="C122" i="8" a="1"/>
  <c r="C123" i="8" a="1"/>
  <c r="C124" i="8" a="1"/>
  <c r="C125" i="8" a="1"/>
  <c r="C126" i="8" a="1"/>
  <c r="C127" i="8" a="1"/>
  <c r="C128" i="8" a="1"/>
  <c r="C129" i="8" a="1"/>
  <c r="C130" i="8" a="1"/>
  <c r="C131" i="8" a="1"/>
  <c r="C132" i="8" a="1"/>
  <c r="C133" i="8" a="1"/>
  <c r="C134" i="8" a="1"/>
  <c r="C135" i="8" a="1"/>
  <c r="C136" i="8" a="1"/>
  <c r="C137" i="8" a="1"/>
  <c r="C138" i="8" a="1"/>
  <c r="C139" i="8" a="1"/>
  <c r="C140" i="8" a="1"/>
  <c r="C141" i="8" a="1"/>
  <c r="C142" i="8" a="1"/>
  <c r="C143" i="8" a="1"/>
  <c r="C144" i="8" a="1"/>
  <c r="C145" i="8" a="1"/>
  <c r="C146" i="8" a="1"/>
  <c r="C147" i="8" a="1"/>
  <c r="C148" i="8" a="1"/>
  <c r="C149" i="8" a="1"/>
  <c r="C150" i="8" a="1"/>
  <c r="C151" i="8" a="1"/>
  <c r="C152" i="8" a="1"/>
  <c r="C153" i="8" a="1"/>
  <c r="C154" i="8" a="1"/>
  <c r="C155" i="8" a="1"/>
  <c r="C156" i="8" a="1"/>
  <c r="C157" i="8" a="1"/>
  <c r="C158" i="8" a="1"/>
  <c r="C159" i="8" a="1"/>
  <c r="C160" i="8" a="1"/>
  <c r="C161" i="8" a="1"/>
  <c r="C162" i="8" a="1"/>
  <c r="C163" i="8" a="1"/>
  <c r="C164" i="8" a="1"/>
  <c r="C165" i="8" a="1"/>
  <c r="C166" i="8" a="1"/>
  <c r="C167" i="8" a="1"/>
  <c r="C168" i="8" a="1"/>
  <c r="C169" i="8" a="1"/>
  <c r="C170" i="8" a="1"/>
  <c r="C171" i="8" a="1"/>
  <c r="C172" i="8" a="1"/>
  <c r="C173" i="8" a="1"/>
  <c r="C174" i="8" a="1"/>
  <c r="C175" i="8" a="1"/>
  <c r="C176" i="8" a="1"/>
  <c r="C177" i="8" a="1"/>
  <c r="C178" i="8" a="1"/>
  <c r="C179" i="8" a="1"/>
  <c r="C180" i="8" a="1"/>
  <c r="C181" i="8" a="1"/>
  <c r="C182" i="8" a="1"/>
  <c r="C183" i="8" a="1"/>
  <c r="C184" i="8" a="1"/>
  <c r="C185" i="8" a="1"/>
  <c r="C186" i="8" a="1"/>
  <c r="C187" i="8" a="1"/>
  <c r="C188" i="8" a="1"/>
  <c r="C189" i="8" a="1"/>
  <c r="C190" i="8" a="1"/>
  <c r="C191" i="8" a="1"/>
  <c r="C192" i="8" a="1"/>
  <c r="C193" i="8" a="1"/>
  <c r="C194" i="8" a="1"/>
  <c r="C195" i="8" a="1"/>
  <c r="C196" i="8" a="1"/>
  <c r="C197" i="8" a="1"/>
  <c r="C198" i="8" a="1"/>
  <c r="C199" i="8" a="1"/>
  <c r="C200" i="8" a="1"/>
  <c r="C201" i="8" a="1"/>
  <c r="C202" i="8" a="1"/>
  <c r="C203" i="8" a="1"/>
  <c r="C204" i="8" a="1"/>
  <c r="C205" i="8" a="1"/>
  <c r="C206" i="8" a="1"/>
  <c r="C207" i="8" a="1"/>
  <c r="C208" i="8" a="1"/>
  <c r="C209" i="8" a="1"/>
  <c r="C210" i="8" a="1"/>
  <c r="C211" i="8" a="1"/>
  <c r="C212" i="8" a="1"/>
  <c r="C213" i="8" a="1"/>
  <c r="C214" i="8" a="1"/>
  <c r="C215" i="8" a="1"/>
  <c r="C216" i="8" a="1"/>
  <c r="C217" i="8" a="1"/>
  <c r="C218" i="8" a="1"/>
  <c r="C219" i="8" a="1"/>
  <c r="C220" i="8" a="1"/>
  <c r="C221" i="8" a="1"/>
  <c r="C222" i="8" a="1"/>
  <c r="C223" i="8" a="1"/>
  <c r="C224" i="8" a="1"/>
  <c r="C225" i="8" a="1"/>
  <c r="C226" i="8" a="1"/>
  <c r="C227" i="8" a="1"/>
  <c r="C228" i="8" a="1"/>
  <c r="C229" i="8" a="1"/>
  <c r="C230" i="8" a="1"/>
  <c r="C231" i="8" a="1"/>
  <c r="C232" i="8" a="1"/>
  <c r="C233" i="8" a="1"/>
  <c r="C234" i="8" a="1"/>
  <c r="C235" i="8" a="1"/>
  <c r="C236" i="8" a="1"/>
  <c r="C237" i="8" a="1"/>
  <c r="C238" i="8" a="1"/>
  <c r="C239" i="8" a="1"/>
  <c r="C240" i="8" a="1"/>
  <c r="C241" i="8" a="1"/>
  <c r="C242" i="8" a="1"/>
  <c r="C243" i="8" a="1"/>
  <c r="C244" i="8" a="1"/>
  <c r="C245" i="8" a="1"/>
  <c r="C246" i="8" a="1"/>
  <c r="C247" i="8" a="1"/>
  <c r="C248" i="8" a="1"/>
  <c r="C249" i="8" a="1"/>
  <c r="C250" i="8" a="1"/>
  <c r="C251" i="8" a="1"/>
  <c r="C252" i="8" a="1"/>
  <c r="C253" i="8" a="1"/>
  <c r="C254" i="8" a="1"/>
  <c r="C255" i="8" a="1"/>
  <c r="C256" i="8" a="1"/>
  <c r="C257" i="8" a="1"/>
  <c r="C258" i="8" a="1"/>
  <c r="C259" i="8" a="1"/>
  <c r="C260" i="8" a="1"/>
  <c r="C261" i="8" a="1"/>
  <c r="C262" i="8" a="1"/>
  <c r="C263" i="8" a="1"/>
  <c r="C264" i="8" a="1"/>
  <c r="C265" i="8" a="1"/>
  <c r="C266" i="8" a="1"/>
  <c r="C267" i="8" a="1"/>
  <c r="C268" i="8" a="1"/>
  <c r="C269" i="8" a="1"/>
  <c r="C270" i="8" a="1"/>
  <c r="C271" i="8" a="1"/>
  <c r="C272" i="8" a="1"/>
  <c r="C273" i="8" a="1"/>
  <c r="C274" i="8" a="1"/>
  <c r="C275" i="8" a="1"/>
  <c r="C276" i="8" a="1"/>
  <c r="C277" i="8" a="1"/>
  <c r="C278" i="8" a="1"/>
  <c r="C279" i="8" a="1"/>
  <c r="C280" i="8" a="1"/>
  <c r="C281" i="8" a="1"/>
  <c r="C282" i="8" a="1"/>
  <c r="C283" i="8" a="1"/>
  <c r="C284" i="8" a="1"/>
  <c r="C285" i="8" a="1"/>
  <c r="C286" i="8" a="1"/>
  <c r="C287" i="8" a="1"/>
  <c r="C288" i="8" a="1"/>
  <c r="C289" i="8" a="1"/>
  <c r="C290" i="8" a="1"/>
  <c r="C291" i="8" a="1"/>
  <c r="C292" i="8" a="1"/>
  <c r="C293" i="8" a="1"/>
  <c r="C294" i="8" a="1"/>
  <c r="C295" i="8" a="1"/>
  <c r="C296" i="8" a="1"/>
  <c r="C297" i="8" a="1"/>
  <c r="C298" i="8" a="1"/>
  <c r="C299" i="8" a="1"/>
  <c r="C300" i="8" a="1"/>
  <c r="C301" i="8" a="1"/>
  <c r="C302" i="8" a="1"/>
  <c r="C303" i="8" a="1"/>
  <c r="C304" i="8" a="1"/>
  <c r="C305" i="8" a="1"/>
  <c r="C306" i="8" a="1"/>
  <c r="C307" i="8" a="1"/>
  <c r="C308" i="8" a="1"/>
  <c r="C309" i="8" a="1"/>
  <c r="C310" i="8" a="1"/>
  <c r="C311" i="8" a="1"/>
  <c r="C312" i="8" a="1"/>
  <c r="C313" i="8" a="1"/>
  <c r="C314" i="8" a="1"/>
  <c r="C315" i="8" a="1"/>
  <c r="C316" i="8" a="1"/>
  <c r="C317" i="8" a="1"/>
  <c r="C318" i="8" a="1"/>
  <c r="C319" i="8" a="1"/>
  <c r="C320" i="8" a="1"/>
  <c r="C321" i="8" a="1"/>
  <c r="C322" i="8" a="1"/>
  <c r="C323" i="8" a="1"/>
  <c r="C324" i="8" a="1"/>
  <c r="C325" i="8" a="1"/>
  <c r="C326" i="8" a="1"/>
  <c r="C327" i="8" a="1"/>
  <c r="C328" i="8" a="1"/>
  <c r="C329" i="8" a="1"/>
  <c r="C330" i="8" a="1"/>
  <c r="C331" i="8" a="1"/>
  <c r="C332" i="8" a="1"/>
  <c r="C333" i="8" a="1"/>
  <c r="C334" i="8" a="1"/>
  <c r="C335" i="8" a="1"/>
  <c r="C336" i="8" a="1"/>
  <c r="C337" i="8" a="1"/>
  <c r="C338" i="8" a="1"/>
  <c r="C339" i="8" a="1"/>
  <c r="C340" i="8" a="1"/>
  <c r="C341" i="8" a="1"/>
  <c r="C342" i="8" a="1"/>
  <c r="C343" i="8" a="1"/>
  <c r="C344" i="8" a="1"/>
  <c r="C345" i="8" a="1"/>
  <c r="C346" i="8" a="1"/>
  <c r="C347" i="8" a="1"/>
  <c r="C348" i="8" a="1"/>
  <c r="C349" i="8" a="1"/>
  <c r="C350" i="8" a="1"/>
  <c r="C351" i="8" a="1"/>
  <c r="C352" i="8" a="1"/>
  <c r="C353" i="8" a="1"/>
  <c r="C354" i="8" a="1"/>
  <c r="C355" i="8" a="1"/>
  <c r="C356" i="8" a="1"/>
  <c r="C357" i="8" a="1"/>
  <c r="C358" i="8" a="1"/>
  <c r="C359" i="8" a="1"/>
  <c r="C360" i="8" a="1"/>
  <c r="C361" i="8" a="1"/>
  <c r="C362" i="8" a="1"/>
  <c r="C363" i="8" a="1"/>
  <c r="C364" i="8" a="1"/>
  <c r="C365" i="8" a="1"/>
  <c r="C366" i="8" a="1"/>
  <c r="C367" i="8" a="1"/>
  <c r="C368" i="8" a="1"/>
  <c r="C369" i="8" a="1"/>
  <c r="C370" i="8" a="1"/>
  <c r="C371" i="8" a="1"/>
  <c r="C372" i="8" a="1"/>
  <c r="C373" i="8" a="1"/>
  <c r="C374" i="8" a="1"/>
  <c r="C375" i="8" a="1"/>
  <c r="C376" i="8" a="1"/>
  <c r="C377" i="8" a="1"/>
  <c r="C378" i="8" a="1"/>
  <c r="C379" i="8" a="1"/>
  <c r="C380" i="8" a="1"/>
  <c r="C381" i="8" a="1"/>
  <c r="C382" i="8" a="1"/>
  <c r="C383" i="8" a="1"/>
  <c r="C384" i="8" a="1"/>
  <c r="C385" i="8" a="1"/>
  <c r="C386" i="8" a="1"/>
  <c r="C387" i="8" a="1"/>
  <c r="C388" i="8" a="1"/>
  <c r="C389" i="8" a="1"/>
  <c r="C390" i="8" a="1"/>
  <c r="C391" i="8" a="1"/>
  <c r="C392" i="8" a="1"/>
  <c r="C393" i="8" a="1"/>
  <c r="C394" i="8" a="1"/>
  <c r="C395" i="8" a="1"/>
  <c r="C396" i="8" a="1"/>
  <c r="C397" i="8" a="1"/>
  <c r="C398" i="8" a="1"/>
  <c r="C399" i="8" a="1"/>
  <c r="C400" i="8" a="1"/>
  <c r="C401" i="8" a="1"/>
  <c r="C402" i="8" a="1"/>
  <c r="C403" i="8" a="1"/>
  <c r="C404" i="8" a="1"/>
  <c r="C405" i="8" a="1"/>
  <c r="C406" i="8" a="1"/>
  <c r="C407" i="8" a="1"/>
  <c r="C408" i="8" a="1"/>
  <c r="C409" i="8" a="1"/>
  <c r="C410" i="8" a="1"/>
  <c r="C411" i="8" a="1"/>
  <c r="C412" i="8" a="1"/>
  <c r="C413" i="8" a="1"/>
  <c r="C414" i="8" a="1"/>
  <c r="C415" i="8" a="1"/>
  <c r="C416" i="8" a="1"/>
  <c r="C417" i="8" a="1"/>
  <c r="C418" i="8" a="1"/>
  <c r="C419" i="8" a="1"/>
  <c r="C420" i="8" a="1"/>
  <c r="C421" i="8" a="1"/>
  <c r="C422" i="8" a="1"/>
  <c r="C423" i="8" a="1"/>
  <c r="C424" i="8" a="1"/>
  <c r="C425" i="8" a="1"/>
  <c r="C426" i="8" a="1"/>
  <c r="C427" i="8" a="1"/>
  <c r="C428" i="8" a="1"/>
  <c r="C429" i="8" a="1"/>
  <c r="C430" i="8" a="1"/>
  <c r="C431" i="8" a="1"/>
  <c r="C432" i="8" a="1"/>
  <c r="C433" i="8" a="1"/>
  <c r="C434" i="8" a="1"/>
  <c r="C435" i="8" a="1"/>
  <c r="C436" i="8" a="1"/>
  <c r="C437" i="8" a="1"/>
  <c r="C438" i="8" a="1"/>
  <c r="C439" i="8" a="1"/>
  <c r="C440" i="8" a="1"/>
  <c r="C441" i="8" a="1"/>
  <c r="C442" i="8" a="1"/>
  <c r="C443" i="8" a="1"/>
  <c r="C444" i="8" a="1"/>
  <c r="C445" i="8" a="1"/>
  <c r="C446" i="8" a="1"/>
  <c r="C447" i="8" a="1"/>
  <c r="C448" i="8" a="1"/>
  <c r="C449" i="8" a="1"/>
  <c r="C450" i="8" a="1"/>
  <c r="C451" i="8" a="1"/>
  <c r="C452" i="8" a="1"/>
  <c r="C453" i="8" a="1"/>
  <c r="C454" i="8" a="1"/>
  <c r="C455" i="8" a="1"/>
  <c r="C456" i="8" a="1"/>
  <c r="C457" i="8" a="1"/>
  <c r="C458" i="8" a="1"/>
  <c r="C459" i="8" a="1"/>
  <c r="C460" i="8" a="1"/>
  <c r="C461" i="8" a="1"/>
  <c r="C462" i="8" a="1"/>
  <c r="C463" i="8" a="1"/>
  <c r="C464" i="8" a="1"/>
  <c r="C465" i="8" a="1"/>
  <c r="C466" i="8" a="1"/>
  <c r="C467" i="8" a="1"/>
  <c r="C468" i="8" a="1"/>
  <c r="C469" i="8" a="1"/>
  <c r="C470" i="8" a="1"/>
  <c r="C471" i="8" a="1"/>
  <c r="C472" i="8" a="1"/>
  <c r="C473" i="8" a="1"/>
  <c r="C474" i="8" a="1"/>
  <c r="C475" i="8" a="1"/>
  <c r="C476" i="8" a="1"/>
  <c r="C477" i="8" a="1"/>
  <c r="C478" i="8" a="1"/>
  <c r="C479" i="8" a="1"/>
  <c r="C480" i="8" a="1"/>
  <c r="C481" i="8" a="1"/>
  <c r="C482" i="8" a="1"/>
  <c r="C483" i="8" a="1"/>
  <c r="C484" i="8" a="1"/>
  <c r="C485" i="8" a="1"/>
  <c r="C486" i="8" a="1"/>
  <c r="C487" i="8" a="1"/>
  <c r="C488" i="8" a="1"/>
  <c r="C489" i="8" a="1"/>
  <c r="C490" i="8" a="1"/>
  <c r="C491" i="8" a="1"/>
  <c r="C492" i="8" a="1"/>
  <c r="C493" i="8" a="1"/>
  <c r="C494" i="8" a="1"/>
  <c r="C495" i="8" a="1"/>
  <c r="C496" i="8" a="1"/>
  <c r="C497" i="8" a="1"/>
  <c r="C498" i="8" a="1"/>
  <c r="C499" i="8" a="1"/>
  <c r="C500" i="8" a="1"/>
  <c r="C501" i="8" a="1"/>
  <c r="C502" i="8" a="1"/>
  <c r="C503" i="8" a="1"/>
  <c r="C504" i="8" a="1"/>
  <c r="C505" i="8" a="1"/>
  <c r="C506" i="8" a="1"/>
  <c r="C507" i="8" a="1"/>
  <c r="C508" i="8" a="1"/>
  <c r="C509" i="8" a="1"/>
  <c r="C510" i="8" a="1"/>
  <c r="C511" i="8" a="1"/>
  <c r="C512" i="8" a="1"/>
  <c r="C513" i="8" a="1"/>
  <c r="C514" i="8" a="1"/>
  <c r="C515" i="8" a="1"/>
  <c r="C516" i="8" a="1"/>
  <c r="C517" i="8" a="1"/>
  <c r="C518" i="8" a="1"/>
  <c r="C519" i="8" a="1"/>
  <c r="C520" i="8" a="1"/>
  <c r="C521" i="8" a="1"/>
  <c r="C522" i="8" a="1"/>
  <c r="C523" i="8" a="1"/>
  <c r="C524" i="8" a="1"/>
  <c r="C525" i="8" a="1"/>
  <c r="C526" i="8" a="1"/>
  <c r="C527" i="8" a="1"/>
  <c r="C528" i="8" a="1"/>
  <c r="C529" i="8" a="1"/>
  <c r="C530" i="8" a="1"/>
  <c r="C531" i="8" a="1"/>
  <c r="C532" i="8" a="1"/>
  <c r="C533" i="8" a="1"/>
  <c r="C534" i="8" a="1"/>
  <c r="C535" i="8" a="1"/>
  <c r="C536" i="8" a="1"/>
  <c r="C537" i="8" a="1"/>
  <c r="C538" i="8" a="1"/>
  <c r="C539" i="8" a="1"/>
  <c r="C540" i="8" a="1"/>
  <c r="C541" i="8" a="1"/>
  <c r="C542" i="8" a="1"/>
  <c r="C543" i="8" a="1"/>
  <c r="C544" i="8" a="1"/>
  <c r="C545" i="8" a="1"/>
  <c r="C546" i="8" a="1"/>
  <c r="C547" i="8" a="1"/>
  <c r="C548" i="8" a="1"/>
  <c r="C549" i="8" a="1"/>
  <c r="C550" i="8" a="1"/>
  <c r="C551" i="8" a="1"/>
  <c r="C552" i="8" a="1"/>
  <c r="C553" i="8" a="1"/>
  <c r="C554" i="8" a="1"/>
  <c r="C555" i="8" a="1"/>
  <c r="C556" i="8" a="1"/>
  <c r="C557" i="8" a="1"/>
  <c r="C558" i="8" a="1"/>
  <c r="C559" i="8" a="1"/>
  <c r="C560" i="8" a="1"/>
  <c r="C561" i="8" a="1"/>
  <c r="C562" i="8" a="1"/>
  <c r="C563" i="8" a="1"/>
  <c r="C564" i="8" a="1"/>
  <c r="C565" i="8" a="1"/>
  <c r="C566" i="8" a="1"/>
  <c r="C567" i="8" a="1"/>
  <c r="C568" i="8" a="1"/>
  <c r="C569" i="8" a="1"/>
  <c r="C570" i="8" a="1"/>
  <c r="C571" i="8" a="1"/>
  <c r="C572" i="8" a="1"/>
  <c r="C573" i="8" a="1"/>
  <c r="C574" i="8" a="1"/>
  <c r="C575" i="8" a="1"/>
  <c r="C576" i="8" a="1"/>
  <c r="C577" i="8" a="1"/>
  <c r="C578" i="8" a="1"/>
  <c r="C579" i="8" a="1"/>
  <c r="C580" i="8" a="1"/>
  <c r="C581" i="8" a="1"/>
  <c r="C582" i="8" a="1"/>
  <c r="C583" i="8" a="1"/>
  <c r="C584" i="8" a="1"/>
  <c r="C585" i="8" a="1"/>
  <c r="C586" i="8" a="1"/>
  <c r="C587" i="8" a="1"/>
  <c r="C588" i="8" a="1"/>
  <c r="C589" i="8" a="1"/>
  <c r="C590" i="8" a="1"/>
  <c r="C591" i="8" a="1"/>
  <c r="C592" i="8" a="1"/>
  <c r="C593" i="8" a="1"/>
  <c r="C594" i="8" a="1"/>
  <c r="C595" i="8" a="1"/>
  <c r="C596" i="8" a="1"/>
  <c r="C597" i="8" a="1"/>
  <c r="C598" i="8" a="1"/>
  <c r="C599" i="8" a="1"/>
  <c r="C600" i="8" a="1"/>
  <c r="C601" i="8" a="1"/>
  <c r="C602" i="8" a="1"/>
  <c r="C603" i="8" a="1"/>
  <c r="C604" i="8" a="1"/>
  <c r="C605" i="8" a="1"/>
  <c r="C606" i="8" a="1"/>
  <c r="C607" i="8" a="1"/>
  <c r="C608" i="8" a="1"/>
  <c r="C609" i="8" a="1"/>
  <c r="C610" i="8" a="1"/>
  <c r="C611" i="8" a="1"/>
  <c r="C612" i="8" a="1"/>
  <c r="C613" i="8" a="1"/>
  <c r="C614" i="8" a="1"/>
  <c r="C615" i="8" a="1"/>
  <c r="C616" i="8" a="1"/>
  <c r="C617" i="8" a="1"/>
  <c r="C618" i="8" a="1"/>
  <c r="C619" i="8" a="1"/>
  <c r="C620" i="8" a="1"/>
  <c r="C621" i="8" a="1"/>
  <c r="C622" i="8" a="1"/>
  <c r="C623" i="8" a="1"/>
  <c r="C624" i="8" a="1"/>
  <c r="C625" i="8" a="1"/>
  <c r="C626" i="8" a="1"/>
  <c r="C627" i="8" a="1"/>
  <c r="C628" i="8" a="1"/>
  <c r="C629" i="8" a="1"/>
  <c r="C630" i="8" a="1"/>
  <c r="C631" i="8" a="1"/>
  <c r="C632" i="8" a="1"/>
  <c r="C633" i="8" a="1"/>
  <c r="C634" i="8" a="1"/>
  <c r="C635" i="8" a="1"/>
  <c r="C636" i="8" a="1"/>
  <c r="C637" i="8" a="1"/>
  <c r="C638" i="8" a="1"/>
  <c r="C639" i="8" a="1"/>
  <c r="C640" i="8" a="1"/>
  <c r="C641" i="8" a="1"/>
  <c r="C642" i="8" a="1"/>
  <c r="C643" i="8" a="1"/>
  <c r="C644" i="8" a="1"/>
  <c r="C645" i="8" a="1"/>
  <c r="C646" i="8" a="1"/>
  <c r="C647" i="8" a="1"/>
  <c r="C648" i="8" a="1"/>
  <c r="C649" i="8" a="1"/>
  <c r="C650" i="8" a="1"/>
  <c r="C651" i="8" a="1"/>
  <c r="C652" i="8" a="1"/>
  <c r="C653" i="8" a="1"/>
  <c r="C654" i="8" a="1"/>
  <c r="C655" i="8" a="1"/>
  <c r="C656" i="8" a="1"/>
  <c r="C657" i="8" a="1"/>
  <c r="C658" i="8" a="1"/>
  <c r="C659" i="8" a="1"/>
  <c r="C660" i="8" a="1"/>
  <c r="C661" i="8" a="1"/>
  <c r="C662" i="8" a="1"/>
  <c r="C663" i="8" a="1"/>
  <c r="C664" i="8" a="1"/>
  <c r="C665" i="8" a="1"/>
  <c r="C666" i="8" a="1"/>
  <c r="C667" i="8" a="1"/>
  <c r="C668" i="8" a="1"/>
  <c r="C669" i="8" a="1"/>
  <c r="C670" i="8" a="1"/>
  <c r="C671" i="8" a="1"/>
  <c r="C672" i="8" a="1"/>
  <c r="C673" i="8" a="1"/>
  <c r="C674" i="8" a="1"/>
  <c r="C675" i="8" a="1"/>
  <c r="C676" i="8" a="1"/>
  <c r="C677" i="8" a="1"/>
  <c r="C678" i="8" a="1"/>
  <c r="C679" i="8" a="1"/>
  <c r="C680" i="8" a="1"/>
  <c r="C681" i="8" a="1"/>
  <c r="C682" i="8" a="1"/>
  <c r="C683" i="8" a="1"/>
  <c r="C684" i="8" a="1"/>
  <c r="C685" i="8" a="1"/>
  <c r="C686" i="8" a="1"/>
  <c r="C687" i="8" a="1"/>
  <c r="C688" i="8" a="1"/>
  <c r="C689" i="8" a="1"/>
  <c r="C690" i="8" a="1"/>
  <c r="C691" i="8" a="1"/>
  <c r="C692" i="8" a="1"/>
  <c r="C693" i="8" a="1"/>
  <c r="C694" i="8" a="1"/>
  <c r="C695" i="8" a="1"/>
  <c r="C696" i="8" a="1"/>
  <c r="C697" i="8" a="1"/>
  <c r="C698" i="8" a="1"/>
  <c r="C699" i="8" a="1"/>
  <c r="C700" i="8" a="1"/>
  <c r="C701" i="8" a="1"/>
  <c r="C702" i="8" a="1"/>
  <c r="C703" i="8" a="1"/>
  <c r="C704" i="8" a="1"/>
  <c r="C705" i="8" a="1"/>
  <c r="C706" i="8" a="1"/>
  <c r="C707" i="8" a="1"/>
  <c r="C708" i="8" a="1"/>
  <c r="C709" i="8" a="1"/>
  <c r="C710" i="8" a="1"/>
  <c r="C711" i="8" a="1"/>
  <c r="C712" i="8" a="1"/>
  <c r="C713" i="8" a="1"/>
  <c r="C714" i="8" a="1"/>
  <c r="C715" i="8" a="1"/>
  <c r="C716" i="8" a="1"/>
  <c r="C717" i="8" a="1"/>
  <c r="C718" i="8" a="1"/>
  <c r="C719" i="8" a="1"/>
  <c r="C720" i="8" a="1"/>
  <c r="C721" i="8" a="1"/>
  <c r="C722" i="8" a="1"/>
  <c r="C723" i="8" a="1"/>
  <c r="C724" i="8" a="1"/>
  <c r="C725" i="8" a="1"/>
  <c r="C726" i="8" a="1"/>
  <c r="C727" i="8" a="1"/>
  <c r="C728" i="8" a="1"/>
  <c r="C729" i="8" a="1"/>
  <c r="C730" i="8" a="1"/>
  <c r="C731" i="8" a="1"/>
  <c r="C732" i="8" a="1"/>
  <c r="C733" i="8" a="1"/>
  <c r="C734" i="8" a="1"/>
  <c r="C735" i="8" a="1"/>
  <c r="C736" i="8" a="1"/>
  <c r="C737" i="8" a="1"/>
  <c r="C738" i="8" a="1"/>
  <c r="C739" i="8" a="1"/>
  <c r="C740" i="8" a="1"/>
  <c r="C741" i="8" a="1"/>
  <c r="C742" i="8" a="1"/>
  <c r="C743" i="8" a="1"/>
  <c r="C744" i="8" a="1"/>
  <c r="C745" i="8" a="1"/>
  <c r="C746" i="8" a="1"/>
  <c r="C747" i="8" a="1"/>
  <c r="C748" i="8" a="1"/>
  <c r="C749" i="8" a="1"/>
  <c r="C750" i="8" a="1"/>
  <c r="C751" i="8" a="1"/>
  <c r="C752" i="8" a="1"/>
  <c r="C753" i="8" a="1"/>
  <c r="C754" i="8" a="1"/>
  <c r="C755" i="8" a="1"/>
  <c r="C756" i="8" a="1"/>
  <c r="C757" i="8" a="1"/>
  <c r="C758" i="8" a="1"/>
  <c r="C759" i="8" a="1"/>
  <c r="C760" i="8" a="1"/>
  <c r="C761" i="8" a="1"/>
  <c r="C762" i="8" a="1"/>
  <c r="C763" i="8" a="1"/>
  <c r="C764" i="8" a="1"/>
  <c r="C765" i="8" a="1"/>
  <c r="C766" i="8" a="1"/>
  <c r="C767" i="8" a="1"/>
  <c r="C768" i="8" a="1"/>
  <c r="C769" i="8" a="1"/>
  <c r="C770" i="8" a="1"/>
  <c r="C771" i="8" a="1"/>
  <c r="C772" i="8" a="1"/>
  <c r="C773" i="8" a="1"/>
  <c r="C774" i="8" a="1"/>
  <c r="C775" i="8" a="1"/>
  <c r="C776" i="8" a="1"/>
  <c r="C777" i="8" a="1"/>
  <c r="C778" i="8" a="1"/>
  <c r="C779" i="8" a="1"/>
  <c r="C780" i="8" a="1"/>
  <c r="C781" i="8" a="1"/>
  <c r="C782" i="8" a="1"/>
  <c r="C783" i="8" a="1"/>
  <c r="C784" i="8" a="1"/>
  <c r="C785" i="8" a="1"/>
  <c r="C786" i="8" a="1"/>
  <c r="C787" i="8" a="1"/>
  <c r="C788" i="8" a="1"/>
  <c r="C789" i="8" a="1"/>
  <c r="C790" i="8" a="1"/>
  <c r="C791" i="8" a="1"/>
  <c r="C792" i="8" a="1"/>
  <c r="C793" i="8" a="1"/>
  <c r="C794" i="8" a="1"/>
  <c r="C795" i="8" a="1"/>
  <c r="C796" i="8" a="1"/>
  <c r="C797" i="8" a="1"/>
  <c r="C798" i="8" a="1"/>
  <c r="C799" i="8" a="1"/>
  <c r="C800" i="8" a="1"/>
  <c r="C801" i="8" a="1"/>
  <c r="C802" i="8" a="1"/>
  <c r="C803" i="8" a="1"/>
  <c r="C804" i="8" a="1"/>
  <c r="C805" i="8" a="1"/>
  <c r="C806" i="8" a="1"/>
  <c r="C807" i="8" a="1"/>
  <c r="C808" i="8" a="1"/>
  <c r="C809" i="8" a="1"/>
  <c r="C810" i="8" a="1"/>
  <c r="C811" i="8" a="1"/>
  <c r="C812" i="8" a="1"/>
  <c r="C813" i="8" a="1"/>
  <c r="C814" i="8" a="1"/>
  <c r="C815" i="8" a="1"/>
  <c r="C816" i="8" a="1"/>
  <c r="C817" i="8" a="1"/>
  <c r="C818" i="8" a="1"/>
  <c r="C819" i="8" a="1"/>
  <c r="C820" i="8" a="1"/>
  <c r="C821" i="8" a="1"/>
  <c r="C822" i="8" a="1"/>
  <c r="C823" i="8" a="1"/>
  <c r="C824" i="8" a="1"/>
  <c r="C825" i="8" a="1"/>
  <c r="C826" i="8" a="1"/>
  <c r="C827" i="8" a="1"/>
  <c r="C828" i="8" a="1"/>
  <c r="C829" i="8" a="1"/>
  <c r="C830" i="8" a="1"/>
  <c r="C831" i="8" a="1"/>
  <c r="C832" i="8" a="1"/>
  <c r="C833" i="8" a="1"/>
  <c r="C834" i="8" a="1"/>
  <c r="C835" i="8" a="1"/>
  <c r="C836" i="8" a="1"/>
  <c r="C837" i="8" a="1"/>
  <c r="C838" i="8" a="1"/>
  <c r="C839" i="8" a="1"/>
  <c r="C840" i="8" a="1"/>
  <c r="C841" i="8" a="1"/>
  <c r="C842" i="8" a="1"/>
  <c r="C843" i="8" a="1"/>
  <c r="C844" i="8" a="1"/>
  <c r="C845" i="8" a="1"/>
  <c r="C846" i="8" a="1"/>
  <c r="C847" i="8" a="1"/>
  <c r="C848" i="8" a="1"/>
  <c r="C849" i="8" a="1"/>
  <c r="C850" i="8" a="1"/>
  <c r="C851" i="8" a="1"/>
  <c r="C852" i="8" a="1"/>
  <c r="C853" i="8" a="1"/>
  <c r="C854" i="8" a="1"/>
  <c r="C855" i="8" a="1"/>
  <c r="C856" i="8" a="1"/>
  <c r="C857" i="8" a="1"/>
  <c r="C858" i="8" a="1"/>
  <c r="C859" i="8" a="1"/>
  <c r="C860" i="8" a="1"/>
  <c r="C861" i="8" a="1"/>
  <c r="C862" i="8" a="1"/>
  <c r="C863" i="8" a="1"/>
  <c r="C864" i="8" a="1"/>
  <c r="C865" i="8" a="1"/>
  <c r="C866" i="8" a="1"/>
  <c r="C867" i="8" a="1"/>
  <c r="C868" i="8" a="1"/>
  <c r="C869" i="8" a="1"/>
  <c r="C870" i="8" a="1"/>
  <c r="C871" i="8" a="1"/>
  <c r="C872" i="8" a="1"/>
  <c r="C873" i="8" a="1"/>
  <c r="C874" i="8" a="1"/>
  <c r="C875" i="8" a="1"/>
  <c r="C876" i="8" a="1"/>
  <c r="C877" i="8" a="1"/>
  <c r="C878" i="8" a="1"/>
  <c r="C879" i="8" a="1"/>
  <c r="C880" i="8" a="1"/>
  <c r="C881" i="8" a="1"/>
  <c r="C882" i="8" a="1"/>
  <c r="C883" i="8" a="1"/>
  <c r="C884" i="8" a="1"/>
  <c r="C885" i="8" a="1"/>
  <c r="C886" i="8" a="1"/>
  <c r="C887" i="8" a="1"/>
  <c r="C888" i="8" a="1"/>
  <c r="C889" i="8" a="1"/>
  <c r="C890" i="8" a="1"/>
  <c r="C891" i="8" a="1"/>
  <c r="C892" i="8" a="1"/>
  <c r="C893" i="8" a="1"/>
  <c r="C894" i="8" a="1"/>
  <c r="C895" i="8" a="1"/>
  <c r="C896" i="8" a="1"/>
  <c r="C897" i="8" a="1"/>
  <c r="C898" i="8" a="1"/>
  <c r="C899" i="8" a="1"/>
  <c r="C900" i="8" a="1"/>
  <c r="C901" i="8" a="1"/>
  <c r="C902" i="8" a="1"/>
  <c r="C903" i="8" a="1"/>
  <c r="C904" i="8" a="1"/>
  <c r="C905" i="8" a="1"/>
  <c r="C906" i="8" a="1"/>
  <c r="C907" i="8" a="1"/>
  <c r="C908" i="8" a="1"/>
  <c r="C909" i="8" a="1"/>
  <c r="C910" i="8" a="1"/>
  <c r="C911" i="8" a="1"/>
  <c r="C912" i="8" a="1"/>
  <c r="C913" i="8" a="1"/>
  <c r="C914" i="8" a="1"/>
  <c r="C915" i="8" a="1"/>
  <c r="C916" i="8" a="1"/>
  <c r="C917" i="8" a="1"/>
  <c r="C918" i="8" a="1"/>
  <c r="C919" i="8" a="1"/>
  <c r="C920" i="8" a="1"/>
  <c r="C921" i="8" a="1"/>
  <c r="C922" i="8" a="1"/>
  <c r="C923" i="8" a="1"/>
  <c r="C924" i="8" a="1"/>
  <c r="C925" i="8" a="1"/>
  <c r="C926" i="8" a="1"/>
  <c r="C927" i="8" a="1"/>
  <c r="C928" i="8" a="1"/>
  <c r="C929" i="8" a="1"/>
  <c r="C930" i="8" a="1"/>
  <c r="C931" i="8" a="1"/>
  <c r="C932" i="8" a="1"/>
  <c r="C933" i="8" a="1"/>
  <c r="C934" i="8" a="1"/>
  <c r="C935" i="8" a="1"/>
  <c r="C936" i="8" a="1"/>
  <c r="C937" i="8" a="1"/>
  <c r="C938" i="8" a="1"/>
  <c r="C939" i="8" a="1"/>
  <c r="C940" i="8" a="1"/>
  <c r="C941" i="8" a="1"/>
  <c r="C942" i="8" a="1"/>
  <c r="C943" i="8" a="1"/>
  <c r="C944" i="8" a="1"/>
  <c r="C945" i="8" a="1"/>
  <c r="C946" i="8" a="1"/>
  <c r="C947" i="8" a="1"/>
  <c r="C948" i="8" a="1"/>
  <c r="C949" i="8" a="1"/>
  <c r="C950" i="8" a="1"/>
  <c r="C951" i="8" a="1"/>
  <c r="C952" i="8" a="1"/>
  <c r="C953" i="8" a="1"/>
  <c r="C954" i="8" a="1"/>
  <c r="C955" i="8" a="1"/>
  <c r="C956" i="8" a="1"/>
  <c r="C957" i="8" a="1"/>
  <c r="C958" i="8" a="1"/>
  <c r="C959" i="8" a="1"/>
  <c r="C960" i="8" a="1"/>
  <c r="C961" i="8" a="1"/>
  <c r="C962" i="8" a="1"/>
  <c r="C963" i="8" a="1"/>
  <c r="C964" i="8" a="1"/>
  <c r="C965" i="8" a="1"/>
  <c r="C966" i="8" a="1"/>
  <c r="C967" i="8" a="1"/>
  <c r="C968" i="8" a="1"/>
  <c r="C969" i="8" a="1"/>
  <c r="C970" i="8" a="1"/>
  <c r="C971" i="8" a="1"/>
  <c r="C972" i="8" a="1"/>
  <c r="C973" i="8" a="1"/>
  <c r="C974" i="8" a="1"/>
  <c r="C975" i="8" a="1"/>
  <c r="C976" i="8" a="1"/>
  <c r="C977" i="8" a="1"/>
  <c r="C978" i="8" a="1"/>
  <c r="C979" i="8" a="1"/>
  <c r="C980" i="8" a="1"/>
  <c r="C981" i="8" a="1"/>
  <c r="C982" i="8" a="1"/>
  <c r="C983" i="8" a="1"/>
  <c r="C984" i="8" a="1"/>
  <c r="C985" i="8" a="1"/>
  <c r="C986" i="8" a="1"/>
  <c r="C987" i="8" a="1"/>
  <c r="C988" i="8" a="1"/>
  <c r="C989" i="8" a="1"/>
  <c r="C990" i="8" a="1"/>
  <c r="C991" i="8" a="1"/>
  <c r="C992" i="8" a="1"/>
  <c r="C993" i="8" a="1"/>
  <c r="C994" i="8" a="1"/>
  <c r="C995" i="8" a="1"/>
  <c r="C996" i="8" a="1"/>
  <c r="C997" i="8" a="1"/>
  <c r="C998" i="8" a="1"/>
  <c r="C999" i="8" a="1"/>
  <c r="C1000" i="8" a="1"/>
  <c r="C1001" i="8" a="1"/>
  <c r="C1002" i="8" a="1"/>
  <c r="C1003" i="8" a="1"/>
  <c r="C1004" i="8" a="1"/>
  <c r="C1005" i="8" a="1"/>
  <c r="C1006" i="8" a="1"/>
  <c r="C1007" i="8" a="1"/>
  <c r="C1008" i="8" a="1"/>
  <c r="C1009" i="8" a="1"/>
  <c r="C1010" i="8" a="1"/>
  <c r="C1011" i="8" a="1"/>
  <c r="C1012" i="8" a="1"/>
  <c r="C1013" i="8" a="1"/>
  <c r="C1014" i="8" a="1"/>
  <c r="C1015" i="8" a="1"/>
  <c r="C1016" i="8" a="1"/>
  <c r="C1017" i="8" a="1"/>
  <c r="C1018" i="8" a="1"/>
  <c r="C1019" i="8" a="1"/>
  <c r="C1020" i="8" a="1"/>
  <c r="C1021" i="8" a="1"/>
  <c r="C1022" i="8" a="1"/>
  <c r="C1023" i="8" a="1"/>
  <c r="C1024" i="8" a="1"/>
  <c r="C1025" i="8" a="1"/>
  <c r="C1026" i="8" a="1"/>
  <c r="C1027" i="8" a="1"/>
  <c r="C1028" i="8" a="1"/>
  <c r="C1029" i="8" a="1"/>
  <c r="C1030" i="8" a="1"/>
  <c r="C1031" i="8" a="1"/>
  <c r="C1032" i="8" a="1"/>
  <c r="C1033" i="8" a="1"/>
  <c r="C1034" i="8" a="1"/>
  <c r="C1035" i="8" a="1"/>
  <c r="C1036" i="8" a="1"/>
  <c r="C1037" i="8" a="1"/>
  <c r="C1038" i="8" a="1"/>
  <c r="C1039" i="8" a="1"/>
  <c r="C1040" i="8" a="1"/>
  <c r="C1041" i="8" a="1"/>
  <c r="C1042" i="8" a="1"/>
  <c r="C1043" i="8" a="1"/>
  <c r="C1044" i="8" a="1"/>
  <c r="C1045" i="8" a="1"/>
  <c r="C1046" i="8" a="1"/>
  <c r="C1047" i="8" a="1"/>
  <c r="C1048" i="8" a="1"/>
  <c r="C1049" i="8" a="1"/>
  <c r="C1050" i="8" a="1"/>
  <c r="C1051" i="8" a="1"/>
  <c r="C1052" i="8" a="1"/>
  <c r="C1053" i="8" a="1"/>
  <c r="B5" i="8" a="1"/>
  <c r="B6" i="8" a="1"/>
  <c r="B7" i="8" a="1"/>
  <c r="B8" i="8" a="1"/>
  <c r="B9" i="8" a="1"/>
  <c r="B10" i="8" a="1"/>
  <c r="B11" i="8" a="1"/>
  <c r="B12" i="8" a="1"/>
  <c r="B13" i="8" a="1"/>
  <c r="B14" i="8" a="1"/>
  <c r="B15" i="8" a="1"/>
  <c r="B16" i="8" a="1"/>
  <c r="B17" i="8" a="1"/>
  <c r="B18" i="8" a="1"/>
  <c r="B19" i="8" a="1"/>
  <c r="B20" i="8" a="1"/>
  <c r="B21" i="8" a="1"/>
  <c r="B22" i="8" a="1"/>
  <c r="B23" i="8" a="1"/>
  <c r="B24" i="8" a="1"/>
  <c r="B25" i="8" a="1"/>
  <c r="B26" i="8" a="1"/>
  <c r="B27" i="8" a="1"/>
  <c r="B28" i="8" a="1"/>
  <c r="B29" i="8" a="1"/>
  <c r="B30" i="8" a="1"/>
  <c r="B31" i="8" a="1"/>
  <c r="B32" i="8" a="1"/>
  <c r="B33" i="8" a="1"/>
  <c r="B34" i="8" a="1"/>
  <c r="B35" i="8" a="1"/>
  <c r="B36" i="8" a="1"/>
  <c r="B37" i="8" a="1"/>
  <c r="B38" i="8" a="1"/>
  <c r="B39" i="8" a="1"/>
  <c r="B40" i="8" a="1"/>
  <c r="B41" i="8" a="1"/>
  <c r="B42" i="8" a="1"/>
  <c r="B43" i="8" a="1"/>
  <c r="B44" i="8" a="1"/>
  <c r="B45" i="8" a="1"/>
  <c r="B46" i="8" a="1"/>
  <c r="B47" i="8" a="1"/>
  <c r="B48" i="8" a="1"/>
  <c r="B49" i="8" a="1"/>
  <c r="B50" i="8" a="1"/>
  <c r="B51" i="8" a="1"/>
  <c r="B52" i="8" a="1"/>
  <c r="B53" i="8" a="1"/>
  <c r="B54" i="8" a="1"/>
  <c r="B55" i="8" a="1"/>
  <c r="B56" i="8" a="1"/>
  <c r="B57" i="8" a="1"/>
  <c r="B58" i="8" a="1"/>
  <c r="B59" i="8" a="1"/>
  <c r="B60" i="8" a="1"/>
  <c r="B61" i="8" a="1"/>
  <c r="B62" i="8" a="1"/>
  <c r="B63" i="8" a="1"/>
  <c r="B64" i="8" a="1"/>
  <c r="B65" i="8" a="1"/>
  <c r="B66" i="8" a="1"/>
  <c r="B67" i="8" a="1"/>
  <c r="B68" i="8" a="1"/>
  <c r="B69" i="8" a="1"/>
  <c r="B70" i="8" a="1"/>
  <c r="B71" i="8" a="1"/>
  <c r="B72" i="8" a="1"/>
  <c r="B73" i="8" a="1"/>
  <c r="B74" i="8" a="1"/>
  <c r="B75" i="8" a="1"/>
  <c r="B76" i="8" a="1"/>
  <c r="B77" i="8" a="1"/>
  <c r="B78" i="8" a="1"/>
  <c r="B79" i="8" a="1"/>
  <c r="B80" i="8" a="1"/>
  <c r="B81" i="8" a="1"/>
  <c r="B82" i="8" a="1"/>
  <c r="B83" i="8" a="1"/>
  <c r="B84" i="8" a="1"/>
  <c r="B85" i="8" a="1"/>
  <c r="B86" i="8" a="1"/>
  <c r="B87" i="8" a="1"/>
  <c r="B88" i="8" a="1"/>
  <c r="B89" i="8" a="1"/>
  <c r="B90" i="8" a="1"/>
  <c r="B91" i="8" a="1"/>
  <c r="B92" i="8" a="1"/>
  <c r="B93" i="8" a="1"/>
  <c r="B94" i="8" a="1"/>
  <c r="B95" i="8" a="1"/>
  <c r="B96" i="8" a="1"/>
  <c r="B97" i="8" a="1"/>
  <c r="B98" i="8" a="1"/>
  <c r="B99" i="8" a="1"/>
  <c r="B100" i="8" a="1"/>
  <c r="B101" i="8" a="1"/>
  <c r="B102" i="8" a="1"/>
  <c r="B103" i="8" a="1"/>
  <c r="B104" i="8" a="1"/>
  <c r="B105" i="8" a="1"/>
  <c r="B106" i="8" a="1"/>
  <c r="B107" i="8" a="1"/>
  <c r="B108" i="8" a="1"/>
  <c r="B109" i="8" a="1"/>
  <c r="B110" i="8" a="1"/>
  <c r="B111" i="8" a="1"/>
  <c r="B112" i="8" a="1"/>
  <c r="B113" i="8" a="1"/>
  <c r="B114" i="8" a="1"/>
  <c r="B115" i="8" a="1"/>
  <c r="B116" i="8" a="1"/>
  <c r="B117" i="8" a="1"/>
  <c r="B118" i="8" a="1"/>
  <c r="B119" i="8" a="1"/>
  <c r="B120" i="8" a="1"/>
  <c r="B121" i="8" a="1"/>
  <c r="B122" i="8" a="1"/>
  <c r="B123" i="8" a="1"/>
  <c r="B124" i="8" a="1"/>
  <c r="B125" i="8" a="1"/>
  <c r="B126" i="8" a="1"/>
  <c r="B127" i="8" a="1"/>
  <c r="B128" i="8" a="1"/>
  <c r="B129" i="8" a="1"/>
  <c r="B130" i="8" a="1"/>
  <c r="B131" i="8" a="1"/>
  <c r="B132" i="8" a="1"/>
  <c r="B133" i="8" a="1"/>
  <c r="B134" i="8" a="1"/>
  <c r="B135" i="8" a="1"/>
  <c r="B136" i="8" a="1"/>
  <c r="B137" i="8" a="1"/>
  <c r="B138" i="8" a="1"/>
  <c r="B139" i="8" a="1"/>
  <c r="B140" i="8" a="1"/>
  <c r="B141" i="8" a="1"/>
  <c r="B142" i="8" a="1"/>
  <c r="B143" i="8" a="1"/>
  <c r="B144" i="8" a="1"/>
  <c r="B145" i="8" a="1"/>
  <c r="B146" i="8" a="1"/>
  <c r="B147" i="8" a="1"/>
  <c r="B148" i="8" a="1"/>
  <c r="B149" i="8" a="1"/>
  <c r="B150" i="8" a="1"/>
  <c r="B151" i="8" a="1"/>
  <c r="B152" i="8" a="1"/>
  <c r="B153" i="8" a="1"/>
  <c r="B154" i="8" a="1"/>
  <c r="B155" i="8" a="1"/>
  <c r="B156" i="8" a="1"/>
  <c r="B157" i="8" a="1"/>
  <c r="B158" i="8" a="1"/>
  <c r="B159" i="8" a="1"/>
  <c r="B160" i="8" a="1"/>
  <c r="B161" i="8" a="1"/>
  <c r="B162" i="8" a="1"/>
  <c r="B163" i="8" a="1"/>
  <c r="B164" i="8" a="1"/>
  <c r="B165" i="8" a="1"/>
  <c r="B166" i="8" a="1"/>
  <c r="B167" i="8" a="1"/>
  <c r="B168" i="8" a="1"/>
  <c r="B169" i="8" a="1"/>
  <c r="B170" i="8" a="1"/>
  <c r="B171" i="8" a="1"/>
  <c r="B172" i="8" a="1"/>
  <c r="B173" i="8" a="1"/>
  <c r="B174" i="8" a="1"/>
  <c r="B175" i="8" a="1"/>
  <c r="B176" i="8" a="1"/>
  <c r="B177" i="8" a="1"/>
  <c r="B178" i="8" a="1"/>
  <c r="B179" i="8" a="1"/>
  <c r="B180" i="8" a="1"/>
  <c r="B181" i="8" a="1"/>
  <c r="B182" i="8" a="1"/>
  <c r="B183" i="8" a="1"/>
  <c r="B184" i="8" a="1"/>
  <c r="B185" i="8" a="1"/>
  <c r="B186" i="8" a="1"/>
  <c r="B187" i="8" a="1"/>
  <c r="B188" i="8" a="1"/>
  <c r="B189" i="8" a="1"/>
  <c r="B190" i="8" a="1"/>
  <c r="B191" i="8" a="1"/>
  <c r="B192" i="8" a="1"/>
  <c r="B193" i="8" a="1"/>
  <c r="B194" i="8" a="1"/>
  <c r="B195" i="8" a="1"/>
  <c r="B196" i="8" a="1"/>
  <c r="B197" i="8" a="1"/>
  <c r="B198" i="8" a="1"/>
  <c r="B199" i="8" a="1"/>
  <c r="B200" i="8" a="1"/>
  <c r="B201" i="8" a="1"/>
  <c r="B202" i="8" a="1"/>
  <c r="B203" i="8" a="1"/>
  <c r="B204" i="8" a="1"/>
  <c r="B205" i="8" a="1"/>
  <c r="B206" i="8" a="1"/>
  <c r="B207" i="8" a="1"/>
  <c r="B208" i="8" a="1"/>
  <c r="B209" i="8" a="1"/>
  <c r="B210" i="8" a="1"/>
  <c r="B211" i="8" a="1"/>
  <c r="B212" i="8" a="1"/>
  <c r="B213" i="8" a="1"/>
  <c r="B214" i="8" a="1"/>
  <c r="B215" i="8" a="1"/>
  <c r="B216" i="8" a="1"/>
  <c r="B217" i="8" a="1"/>
  <c r="B218" i="8" a="1"/>
  <c r="B219" i="8" a="1"/>
  <c r="B220" i="8" a="1"/>
  <c r="B221" i="8" a="1"/>
  <c r="B222" i="8" a="1"/>
  <c r="B223" i="8" a="1"/>
  <c r="B224" i="8" a="1"/>
  <c r="B225" i="8" a="1"/>
  <c r="B226" i="8" a="1"/>
  <c r="B227" i="8" a="1"/>
  <c r="B228" i="8" a="1"/>
  <c r="B229" i="8" a="1"/>
  <c r="B230" i="8" a="1"/>
  <c r="B231" i="8" a="1"/>
  <c r="B232" i="8" a="1"/>
  <c r="B233" i="8" a="1"/>
  <c r="B234" i="8" a="1"/>
  <c r="B235" i="8" a="1"/>
  <c r="B236" i="8" a="1"/>
  <c r="B237" i="8" a="1"/>
  <c r="B238" i="8" a="1"/>
  <c r="B239" i="8" a="1"/>
  <c r="B240" i="8" a="1"/>
  <c r="B241" i="8" a="1"/>
  <c r="B242" i="8" a="1"/>
  <c r="B243" i="8" a="1"/>
  <c r="B244" i="8" a="1"/>
  <c r="B245" i="8" a="1"/>
  <c r="B246" i="8" a="1"/>
  <c r="B247" i="8" a="1"/>
  <c r="B248" i="8" a="1"/>
  <c r="B249" i="8" a="1"/>
  <c r="B250" i="8" a="1"/>
  <c r="B251" i="8" a="1"/>
  <c r="B252" i="8" a="1"/>
  <c r="B253" i="8" a="1"/>
  <c r="B254" i="8" a="1"/>
  <c r="B255" i="8" a="1"/>
  <c r="B256" i="8" a="1"/>
  <c r="B257" i="8" a="1"/>
  <c r="B258" i="8" a="1"/>
  <c r="B259" i="8" a="1"/>
  <c r="B260" i="8" a="1"/>
  <c r="B261" i="8" a="1"/>
  <c r="B262" i="8" a="1"/>
  <c r="B263" i="8" a="1"/>
  <c r="B264" i="8" a="1"/>
  <c r="B265" i="8" a="1"/>
  <c r="B266" i="8" a="1"/>
  <c r="B267" i="8" a="1"/>
  <c r="B268" i="8" a="1"/>
  <c r="B269" i="8" a="1"/>
  <c r="B270" i="8" a="1"/>
  <c r="B271" i="8" a="1"/>
  <c r="B272" i="8" a="1"/>
  <c r="B273" i="8" a="1"/>
  <c r="B274" i="8" a="1"/>
  <c r="B275" i="8" a="1"/>
  <c r="B276" i="8" a="1"/>
  <c r="B277" i="8" a="1"/>
  <c r="B278" i="8" a="1"/>
  <c r="B279" i="8" a="1"/>
  <c r="B280" i="8" a="1"/>
  <c r="B281" i="8" a="1"/>
  <c r="B282" i="8" a="1"/>
  <c r="B283" i="8" a="1"/>
  <c r="B284" i="8" a="1"/>
  <c r="B285" i="8" a="1"/>
  <c r="B286" i="8" a="1"/>
  <c r="B287" i="8" a="1"/>
  <c r="B288" i="8" a="1"/>
  <c r="B289" i="8" a="1"/>
  <c r="B290" i="8" a="1"/>
  <c r="B291" i="8" a="1"/>
  <c r="B292" i="8" a="1"/>
  <c r="B293" i="8" a="1"/>
  <c r="B294" i="8" a="1"/>
  <c r="B295" i="8" a="1"/>
  <c r="B296" i="8" a="1"/>
  <c r="B297" i="8" a="1"/>
  <c r="B298" i="8" a="1"/>
  <c r="B299" i="8" a="1"/>
  <c r="B300" i="8" a="1"/>
  <c r="B301" i="8" a="1"/>
  <c r="B302" i="8" a="1"/>
  <c r="B303" i="8" a="1"/>
  <c r="B304" i="8" a="1"/>
  <c r="B305" i="8" a="1"/>
  <c r="B306" i="8" a="1"/>
  <c r="B307" i="8" a="1"/>
  <c r="B308" i="8" a="1"/>
  <c r="B309" i="8" a="1"/>
  <c r="B310" i="8" a="1"/>
  <c r="B311" i="8" a="1"/>
  <c r="B312" i="8" a="1"/>
  <c r="B313" i="8" a="1"/>
  <c r="B314" i="8" a="1"/>
  <c r="B315" i="8" a="1"/>
  <c r="B316" i="8" a="1"/>
  <c r="B317" i="8" a="1"/>
  <c r="B318" i="8" a="1"/>
  <c r="B319" i="8" a="1"/>
  <c r="B320" i="8" a="1"/>
  <c r="B321" i="8" a="1"/>
  <c r="B322" i="8" a="1"/>
  <c r="B323" i="8" a="1"/>
  <c r="B324" i="8" a="1"/>
  <c r="B325" i="8" a="1"/>
  <c r="B326" i="8" a="1"/>
  <c r="B327" i="8" a="1"/>
  <c r="B328" i="8" a="1"/>
  <c r="B329" i="8" a="1"/>
  <c r="B330" i="8" a="1"/>
  <c r="B331" i="8" a="1"/>
  <c r="B332" i="8" a="1"/>
  <c r="B333" i="8" a="1"/>
  <c r="B334" i="8" a="1"/>
  <c r="B335" i="8" a="1"/>
  <c r="B336" i="8" a="1"/>
  <c r="B337" i="8" a="1"/>
  <c r="B338" i="8" a="1"/>
  <c r="B339" i="8" a="1"/>
  <c r="B340" i="8" a="1"/>
  <c r="B341" i="8" a="1"/>
  <c r="B342" i="8" a="1"/>
  <c r="B343" i="8" a="1"/>
  <c r="B344" i="8" a="1"/>
  <c r="B345" i="8" a="1"/>
  <c r="B346" i="8" a="1"/>
  <c r="B347" i="8" a="1"/>
  <c r="B348" i="8" a="1"/>
  <c r="B349" i="8" a="1"/>
  <c r="B350" i="8" a="1"/>
  <c r="B351" i="8" a="1"/>
  <c r="B352" i="8" a="1"/>
  <c r="B353" i="8" a="1"/>
  <c r="B354" i="8" a="1"/>
  <c r="B355" i="8" a="1"/>
  <c r="B356" i="8" a="1"/>
  <c r="B357" i="8" a="1"/>
  <c r="B358" i="8" a="1"/>
  <c r="B359" i="8" a="1"/>
  <c r="B360" i="8" a="1"/>
  <c r="B361" i="8" a="1"/>
  <c r="B362" i="8" a="1"/>
  <c r="B363" i="8" a="1"/>
  <c r="B364" i="8" a="1"/>
  <c r="B365" i="8" a="1"/>
  <c r="B366" i="8" a="1"/>
  <c r="B367" i="8" a="1"/>
  <c r="B368" i="8" a="1"/>
  <c r="B369" i="8" a="1"/>
  <c r="B370" i="8" a="1"/>
  <c r="B371" i="8" a="1"/>
  <c r="B372" i="8" a="1"/>
  <c r="B373" i="8" a="1"/>
  <c r="B374" i="8" a="1"/>
  <c r="B375" i="8" a="1"/>
  <c r="B376" i="8" a="1"/>
  <c r="B377" i="8" a="1"/>
  <c r="B378" i="8" a="1"/>
  <c r="B379" i="8" a="1"/>
  <c r="B380" i="8" a="1"/>
  <c r="B381" i="8" a="1"/>
  <c r="B382" i="8" a="1"/>
  <c r="B383" i="8" a="1"/>
  <c r="B384" i="8" a="1"/>
  <c r="B385" i="8" a="1"/>
  <c r="B386" i="8" a="1"/>
  <c r="B387" i="8" a="1"/>
  <c r="B388" i="8" a="1"/>
  <c r="B389" i="8" a="1"/>
  <c r="B390" i="8" a="1"/>
  <c r="B391" i="8" a="1"/>
  <c r="B392" i="8" a="1"/>
  <c r="B393" i="8" a="1"/>
  <c r="B394" i="8" a="1"/>
  <c r="B395" i="8" a="1"/>
  <c r="B396" i="8" a="1"/>
  <c r="B397" i="8" a="1"/>
  <c r="B398" i="8" a="1"/>
  <c r="B399" i="8" a="1"/>
  <c r="B400" i="8" a="1"/>
  <c r="B401" i="8" a="1"/>
  <c r="B402" i="8" a="1"/>
  <c r="B403" i="8" a="1"/>
  <c r="B404" i="8" a="1"/>
  <c r="B405" i="8" a="1"/>
  <c r="B406" i="8" a="1"/>
  <c r="B407" i="8" a="1"/>
  <c r="B408" i="8" a="1"/>
  <c r="B409" i="8" a="1"/>
  <c r="B410" i="8" a="1"/>
  <c r="B411" i="8" a="1"/>
  <c r="B412" i="8" a="1"/>
  <c r="B413" i="8" a="1"/>
  <c r="B414" i="8" a="1"/>
  <c r="B415" i="8" a="1"/>
  <c r="B416" i="8" a="1"/>
  <c r="B417" i="8" a="1"/>
  <c r="B418" i="8" a="1"/>
  <c r="B419" i="8" a="1"/>
  <c r="B420" i="8" a="1"/>
  <c r="B421" i="8" a="1"/>
  <c r="B422" i="8" a="1"/>
  <c r="B423" i="8" a="1"/>
  <c r="B424" i="8" a="1"/>
  <c r="B425" i="8" a="1"/>
  <c r="B426" i="8" a="1"/>
  <c r="B427" i="8" a="1"/>
  <c r="B428" i="8" a="1"/>
  <c r="B429" i="8" a="1"/>
  <c r="B430" i="8" a="1"/>
  <c r="B431" i="8" a="1"/>
  <c r="B432" i="8" a="1"/>
  <c r="B433" i="8" a="1"/>
  <c r="B434" i="8" a="1"/>
  <c r="B435" i="8" a="1"/>
  <c r="B436" i="8" a="1"/>
  <c r="B437" i="8" a="1"/>
  <c r="B438" i="8" a="1"/>
  <c r="B439" i="8" a="1"/>
  <c r="B440" i="8" a="1"/>
  <c r="B441" i="8" a="1"/>
  <c r="B442" i="8" a="1"/>
  <c r="B443" i="8" a="1"/>
  <c r="B444" i="8" a="1"/>
  <c r="B445" i="8" a="1"/>
  <c r="B446" i="8" a="1"/>
  <c r="B447" i="8" a="1"/>
  <c r="B448" i="8" a="1"/>
  <c r="B449" i="8" a="1"/>
  <c r="B450" i="8" a="1"/>
  <c r="B451" i="8" a="1"/>
  <c r="B452" i="8" a="1"/>
  <c r="B453" i="8" a="1"/>
  <c r="B454" i="8" a="1"/>
  <c r="B455" i="8" a="1"/>
  <c r="B456" i="8" a="1"/>
  <c r="B457" i="8" a="1"/>
  <c r="B458" i="8" a="1"/>
  <c r="B459" i="8" a="1"/>
  <c r="B460" i="8" a="1"/>
  <c r="B461" i="8" a="1"/>
  <c r="B462" i="8" a="1"/>
  <c r="B463" i="8" a="1"/>
  <c r="B464" i="8" a="1"/>
  <c r="B465" i="8" a="1"/>
  <c r="B466" i="8" a="1"/>
  <c r="B467" i="8" a="1"/>
  <c r="B468" i="8" a="1"/>
  <c r="B469" i="8" a="1"/>
  <c r="B470" i="8" a="1"/>
  <c r="B471" i="8" a="1"/>
  <c r="B472" i="8" a="1"/>
  <c r="B473" i="8" a="1"/>
  <c r="B474" i="8" a="1"/>
  <c r="B475" i="8" a="1"/>
  <c r="B476" i="8" a="1"/>
  <c r="B477" i="8" a="1"/>
  <c r="B478" i="8" a="1"/>
  <c r="B479" i="8" a="1"/>
  <c r="B480" i="8" a="1"/>
  <c r="B481" i="8" a="1"/>
  <c r="B482" i="8" a="1"/>
  <c r="B483" i="8" a="1"/>
  <c r="B484" i="8" a="1"/>
  <c r="B485" i="8" a="1"/>
  <c r="B486" i="8" a="1"/>
  <c r="B487" i="8" a="1"/>
  <c r="B488" i="8" a="1"/>
  <c r="B489" i="8" a="1"/>
  <c r="B490" i="8" a="1"/>
  <c r="B491" i="8" a="1"/>
  <c r="B492" i="8" a="1"/>
  <c r="B493" i="8" a="1"/>
  <c r="B494" i="8" a="1"/>
  <c r="B495" i="8" a="1"/>
  <c r="B496" i="8" a="1"/>
  <c r="B497" i="8" a="1"/>
  <c r="B498" i="8" a="1"/>
  <c r="B499" i="8" a="1"/>
  <c r="B500" i="8" a="1"/>
  <c r="B501" i="8" a="1"/>
  <c r="B502" i="8" a="1"/>
  <c r="B503" i="8" a="1"/>
  <c r="B504" i="8" a="1"/>
  <c r="B505" i="8" a="1"/>
  <c r="B506" i="8" a="1"/>
  <c r="B507" i="8" a="1"/>
  <c r="B508" i="8" a="1"/>
  <c r="B509" i="8" a="1"/>
  <c r="B510" i="8" a="1"/>
  <c r="B511" i="8" a="1"/>
  <c r="B512" i="8" a="1"/>
  <c r="B513" i="8" a="1"/>
  <c r="B514" i="8" a="1"/>
  <c r="B515" i="8" a="1"/>
  <c r="B516" i="8" a="1"/>
  <c r="B517" i="8" a="1"/>
  <c r="B518" i="8" a="1"/>
  <c r="B519" i="8" a="1"/>
  <c r="B520" i="8" a="1"/>
  <c r="B521" i="8" a="1"/>
  <c r="B522" i="8" a="1"/>
  <c r="B523" i="8" a="1"/>
  <c r="B524" i="8" a="1"/>
  <c r="B525" i="8" a="1"/>
  <c r="B526" i="8" a="1"/>
  <c r="B527" i="8" a="1"/>
  <c r="B528" i="8" a="1"/>
  <c r="B529" i="8" a="1"/>
  <c r="B530" i="8" a="1"/>
  <c r="B531" i="8" a="1"/>
  <c r="B532" i="8" a="1"/>
  <c r="B533" i="8" a="1"/>
  <c r="B534" i="8" a="1"/>
  <c r="B535" i="8" a="1"/>
  <c r="B536" i="8" a="1"/>
  <c r="B537" i="8" a="1"/>
  <c r="B538" i="8" a="1"/>
  <c r="B539" i="8" a="1"/>
  <c r="B540" i="8" a="1"/>
  <c r="B541" i="8" a="1"/>
  <c r="B542" i="8" a="1"/>
  <c r="B543" i="8" a="1"/>
  <c r="B544" i="8" a="1"/>
  <c r="B545" i="8" a="1"/>
  <c r="B546" i="8" a="1"/>
  <c r="B547" i="8" a="1"/>
  <c r="B548" i="8" a="1"/>
  <c r="B549" i="8" a="1"/>
  <c r="B550" i="8" a="1"/>
  <c r="B551" i="8" a="1"/>
  <c r="B552" i="8" a="1"/>
  <c r="B553" i="8" a="1"/>
  <c r="B554" i="8" a="1"/>
  <c r="B555" i="8" a="1"/>
  <c r="B556" i="8" a="1"/>
  <c r="B557" i="8" a="1"/>
  <c r="B558" i="8" a="1"/>
  <c r="B559" i="8" a="1"/>
  <c r="B560" i="8" a="1"/>
  <c r="B561" i="8" a="1"/>
  <c r="B562" i="8" a="1"/>
  <c r="B563" i="8" a="1"/>
  <c r="B564" i="8" a="1"/>
  <c r="B565" i="8" a="1"/>
  <c r="B566" i="8" a="1"/>
  <c r="B567" i="8" a="1"/>
  <c r="B568" i="8" a="1"/>
  <c r="B569" i="8" a="1"/>
  <c r="B570" i="8" a="1"/>
  <c r="B571" i="8" a="1"/>
  <c r="B572" i="8" a="1"/>
  <c r="B573" i="8" a="1"/>
  <c r="B574" i="8" a="1"/>
  <c r="B575" i="8" a="1"/>
  <c r="B576" i="8" a="1"/>
  <c r="B577" i="8" a="1"/>
  <c r="B578" i="8" a="1"/>
  <c r="B579" i="8" a="1"/>
  <c r="B580" i="8" a="1"/>
  <c r="B581" i="8" a="1"/>
  <c r="B582" i="8" a="1"/>
  <c r="B583" i="8" a="1"/>
  <c r="B584" i="8" a="1"/>
  <c r="B585" i="8" a="1"/>
  <c r="B586" i="8" a="1"/>
  <c r="B587" i="8" a="1"/>
  <c r="B588" i="8" a="1"/>
  <c r="B589" i="8" a="1"/>
  <c r="B590" i="8" a="1"/>
  <c r="B591" i="8" a="1"/>
  <c r="B592" i="8" a="1"/>
  <c r="B593" i="8" a="1"/>
  <c r="B594" i="8" a="1"/>
  <c r="B595" i="8" a="1"/>
  <c r="B596" i="8" a="1"/>
  <c r="B597" i="8" a="1"/>
  <c r="B598" i="8" a="1"/>
  <c r="B599" i="8" a="1"/>
  <c r="B600" i="8" a="1"/>
  <c r="B601" i="8" a="1"/>
  <c r="B602" i="8" a="1"/>
  <c r="B603" i="8" a="1"/>
  <c r="B604" i="8" a="1"/>
  <c r="B605" i="8" a="1"/>
  <c r="B606" i="8" a="1"/>
  <c r="B607" i="8" a="1"/>
  <c r="B608" i="8" a="1"/>
  <c r="B609" i="8" a="1"/>
  <c r="B610" i="8" a="1"/>
  <c r="B611" i="8" a="1"/>
  <c r="B612" i="8" a="1"/>
  <c r="B613" i="8" a="1"/>
  <c r="B614" i="8" a="1"/>
  <c r="B615" i="8" a="1"/>
  <c r="B616" i="8" a="1"/>
  <c r="B617" i="8" a="1"/>
  <c r="B618" i="8" a="1"/>
  <c r="B619" i="8" a="1"/>
  <c r="B620" i="8" a="1"/>
  <c r="B621" i="8" a="1"/>
  <c r="B622" i="8" a="1"/>
  <c r="B623" i="8" a="1"/>
  <c r="B624" i="8" a="1"/>
  <c r="B625" i="8" a="1"/>
  <c r="B626" i="8" a="1"/>
  <c r="B627" i="8" a="1"/>
  <c r="B628" i="8" a="1"/>
  <c r="B629" i="8" a="1"/>
  <c r="B630" i="8" a="1"/>
  <c r="B631" i="8" a="1"/>
  <c r="B632" i="8" a="1"/>
  <c r="B633" i="8" a="1"/>
  <c r="B634" i="8" a="1"/>
  <c r="B635" i="8" a="1"/>
  <c r="B636" i="8" a="1"/>
  <c r="B637" i="8" a="1"/>
  <c r="B638" i="8" a="1"/>
  <c r="B639" i="8" a="1"/>
  <c r="B640" i="8" a="1"/>
  <c r="B641" i="8" a="1"/>
  <c r="B642" i="8" a="1"/>
  <c r="B643" i="8" a="1"/>
  <c r="B644" i="8" a="1"/>
  <c r="B645" i="8" a="1"/>
  <c r="B646" i="8" a="1"/>
  <c r="B647" i="8" a="1"/>
  <c r="B648" i="8" a="1"/>
  <c r="B649" i="8" a="1"/>
  <c r="B650" i="8" a="1"/>
  <c r="B651" i="8" a="1"/>
  <c r="B652" i="8" a="1"/>
  <c r="B653" i="8" a="1"/>
  <c r="B654" i="8" a="1"/>
  <c r="B655" i="8" a="1"/>
  <c r="B656" i="8" a="1"/>
  <c r="B657" i="8" a="1"/>
  <c r="B658" i="8" a="1"/>
  <c r="B659" i="8" a="1"/>
  <c r="B660" i="8" a="1"/>
  <c r="B661" i="8" a="1"/>
  <c r="B662" i="8" a="1"/>
  <c r="B663" i="8" a="1"/>
  <c r="B664" i="8" a="1"/>
  <c r="B665" i="8" a="1"/>
  <c r="B666" i="8" a="1"/>
  <c r="B667" i="8" a="1"/>
  <c r="B668" i="8" a="1"/>
  <c r="B669" i="8" a="1"/>
  <c r="B670" i="8" a="1"/>
  <c r="B671" i="8" a="1"/>
  <c r="B672" i="8" a="1"/>
  <c r="B673" i="8" a="1"/>
  <c r="B674" i="8" a="1"/>
  <c r="B675" i="8" a="1"/>
  <c r="B676" i="8" a="1"/>
  <c r="B677" i="8" a="1"/>
  <c r="B678" i="8" a="1"/>
  <c r="B679" i="8" a="1"/>
  <c r="B680" i="8" a="1"/>
  <c r="B681" i="8" a="1"/>
  <c r="B682" i="8" a="1"/>
  <c r="B683" i="8" a="1"/>
  <c r="B684" i="8" a="1"/>
  <c r="B685" i="8" a="1"/>
  <c r="B686" i="8" a="1"/>
  <c r="B687" i="8" a="1"/>
  <c r="B688" i="8" a="1"/>
  <c r="B689" i="8" a="1"/>
  <c r="B690" i="8" a="1"/>
  <c r="B691" i="8" a="1"/>
  <c r="B692" i="8" a="1"/>
  <c r="B693" i="8" a="1"/>
  <c r="B694" i="8" a="1"/>
  <c r="B695" i="8" a="1"/>
  <c r="B696" i="8" a="1"/>
  <c r="B697" i="8" a="1"/>
  <c r="B698" i="8" a="1"/>
  <c r="B699" i="8" a="1"/>
  <c r="B700" i="8" a="1"/>
  <c r="B701" i="8" a="1"/>
  <c r="B702" i="8" a="1"/>
  <c r="B703" i="8" a="1"/>
  <c r="B704" i="8" a="1"/>
  <c r="B705" i="8" a="1"/>
  <c r="B706" i="8" a="1"/>
  <c r="B707" i="8" a="1"/>
  <c r="B708" i="8" a="1"/>
  <c r="B709" i="8" a="1"/>
  <c r="B710" i="8" a="1"/>
  <c r="B711" i="8" a="1"/>
  <c r="B712" i="8" a="1"/>
  <c r="B713" i="8" a="1"/>
  <c r="B714" i="8" a="1"/>
  <c r="B715" i="8" a="1"/>
  <c r="B716" i="8" a="1"/>
  <c r="B717" i="8" a="1"/>
  <c r="B718" i="8" a="1"/>
  <c r="B719" i="8" a="1"/>
  <c r="B720" i="8" a="1"/>
  <c r="B721" i="8" a="1"/>
  <c r="B722" i="8" a="1"/>
  <c r="B723" i="8" a="1"/>
  <c r="B724" i="8" a="1"/>
  <c r="B725" i="8" a="1"/>
  <c r="B726" i="8" a="1"/>
  <c r="B727" i="8" a="1"/>
  <c r="B728" i="8" a="1"/>
  <c r="B729" i="8" a="1"/>
  <c r="B730" i="8" a="1"/>
  <c r="B731" i="8" a="1"/>
  <c r="B732" i="8" a="1"/>
  <c r="B733" i="8" a="1"/>
  <c r="B734" i="8" a="1"/>
  <c r="B735" i="8" a="1"/>
  <c r="B736" i="8" a="1"/>
  <c r="B737" i="8" a="1"/>
  <c r="B738" i="8" a="1"/>
  <c r="B739" i="8" a="1"/>
  <c r="B740" i="8" a="1"/>
  <c r="B741" i="8" a="1"/>
  <c r="B742" i="8" a="1"/>
  <c r="B743" i="8" a="1"/>
  <c r="B744" i="8" a="1"/>
  <c r="B745" i="8" a="1"/>
  <c r="B746" i="8" a="1"/>
  <c r="B747" i="8" a="1"/>
  <c r="B748" i="8" a="1"/>
  <c r="B749" i="8" a="1"/>
  <c r="B750" i="8" a="1"/>
  <c r="B751" i="8" a="1"/>
  <c r="B752" i="8" a="1"/>
  <c r="B753" i="8" a="1"/>
  <c r="B754" i="8" a="1"/>
  <c r="B755" i="8" a="1"/>
  <c r="B756" i="8" a="1"/>
  <c r="B757" i="8" a="1"/>
  <c r="B758" i="8" a="1"/>
  <c r="B759" i="8" a="1"/>
  <c r="B760" i="8" a="1"/>
  <c r="B761" i="8" a="1"/>
  <c r="B762" i="8" a="1"/>
  <c r="B763" i="8" a="1"/>
  <c r="B764" i="8" a="1"/>
  <c r="B765" i="8" a="1"/>
  <c r="B766" i="8" a="1"/>
  <c r="B767" i="8" a="1"/>
  <c r="B768" i="8" a="1"/>
  <c r="B769" i="8" a="1"/>
  <c r="B770" i="8" a="1"/>
  <c r="B771" i="8" a="1"/>
  <c r="B772" i="8" a="1"/>
  <c r="B773" i="8" a="1"/>
  <c r="B774" i="8" a="1"/>
  <c r="B775" i="8" a="1"/>
  <c r="B776" i="8" a="1"/>
  <c r="B777" i="8" a="1"/>
  <c r="B778" i="8" a="1"/>
  <c r="B779" i="8" a="1"/>
  <c r="B780" i="8" a="1"/>
  <c r="B781" i="8" a="1"/>
  <c r="B782" i="8" a="1"/>
  <c r="B783" i="8" a="1"/>
  <c r="B784" i="8" a="1"/>
  <c r="B785" i="8" a="1"/>
  <c r="B786" i="8" a="1"/>
  <c r="B787" i="8" a="1"/>
  <c r="B788" i="8" a="1"/>
  <c r="B789" i="8" a="1"/>
  <c r="B790" i="8" a="1"/>
  <c r="B791" i="8" a="1"/>
  <c r="B792" i="8" a="1"/>
  <c r="B793" i="8" a="1"/>
  <c r="B794" i="8" a="1"/>
  <c r="B795" i="8" a="1"/>
  <c r="B796" i="8" a="1"/>
  <c r="B797" i="8" a="1"/>
  <c r="B798" i="8" a="1"/>
  <c r="B799" i="8" a="1"/>
  <c r="B800" i="8" a="1"/>
  <c r="B801" i="8" a="1"/>
  <c r="B802" i="8" a="1"/>
  <c r="B803" i="8" a="1"/>
  <c r="B804" i="8" a="1"/>
  <c r="B805" i="8" a="1"/>
  <c r="B806" i="8" a="1"/>
  <c r="B807" i="8" a="1"/>
  <c r="B808" i="8" a="1"/>
  <c r="B809" i="8" a="1"/>
  <c r="B810" i="8" a="1"/>
  <c r="B811" i="8" a="1"/>
  <c r="B812" i="8" a="1"/>
  <c r="B813" i="8" a="1"/>
  <c r="B814" i="8" a="1"/>
  <c r="B815" i="8" a="1"/>
  <c r="B816" i="8" a="1"/>
  <c r="B817" i="8" a="1"/>
  <c r="B818" i="8" a="1"/>
  <c r="B819" i="8" a="1"/>
  <c r="B820" i="8" a="1"/>
  <c r="B821" i="8" a="1"/>
  <c r="B822" i="8" a="1"/>
  <c r="B823" i="8" a="1"/>
  <c r="B824" i="8" a="1"/>
  <c r="B825" i="8" a="1"/>
  <c r="B826" i="8" a="1"/>
  <c r="B827" i="8" a="1"/>
  <c r="B828" i="8" a="1"/>
  <c r="B829" i="8" a="1"/>
  <c r="B830" i="8" a="1"/>
  <c r="B831" i="8" a="1"/>
  <c r="B832" i="8" a="1"/>
  <c r="B833" i="8" a="1"/>
  <c r="B834" i="8" a="1"/>
  <c r="B835" i="8" a="1"/>
  <c r="B836" i="8" a="1"/>
  <c r="B837" i="8" a="1"/>
  <c r="B838" i="8" a="1"/>
  <c r="B839" i="8" a="1"/>
  <c r="B840" i="8" a="1"/>
  <c r="B841" i="8" a="1"/>
  <c r="B842" i="8" a="1"/>
  <c r="B843" i="8" a="1"/>
  <c r="B844" i="8" a="1"/>
  <c r="B845" i="8" a="1"/>
  <c r="B846" i="8" a="1"/>
  <c r="B847" i="8" a="1"/>
  <c r="B848" i="8" a="1"/>
  <c r="B849" i="8" a="1"/>
  <c r="B850" i="8" a="1"/>
  <c r="B851" i="8" a="1"/>
  <c r="B852" i="8" a="1"/>
  <c r="B853" i="8" a="1"/>
  <c r="B854" i="8" a="1"/>
  <c r="B855" i="8" a="1"/>
  <c r="B856" i="8" a="1"/>
  <c r="B857" i="8" a="1"/>
  <c r="B858" i="8" a="1"/>
  <c r="B859" i="8" a="1"/>
  <c r="B860" i="8" a="1"/>
  <c r="B861" i="8" a="1"/>
  <c r="B862" i="8" a="1"/>
  <c r="B863" i="8" a="1"/>
  <c r="B864" i="8" a="1"/>
  <c r="B865" i="8" a="1"/>
  <c r="B866" i="8" a="1"/>
  <c r="B867" i="8" a="1"/>
  <c r="B868" i="8" a="1"/>
  <c r="B869" i="8" a="1"/>
  <c r="B870" i="8" a="1"/>
  <c r="B871" i="8" a="1"/>
  <c r="B872" i="8" a="1"/>
  <c r="B873" i="8" a="1"/>
  <c r="B874" i="8" a="1"/>
  <c r="B875" i="8" a="1"/>
  <c r="B876" i="8" a="1"/>
  <c r="B877" i="8" a="1"/>
  <c r="B878" i="8" a="1"/>
  <c r="B879" i="8" a="1"/>
  <c r="B880" i="8" a="1"/>
  <c r="B881" i="8" a="1"/>
  <c r="B882" i="8" a="1"/>
  <c r="B883" i="8" a="1"/>
  <c r="B884" i="8" a="1"/>
  <c r="B885" i="8" a="1"/>
  <c r="B886" i="8" a="1"/>
  <c r="B887" i="8" a="1"/>
  <c r="B888" i="8" a="1"/>
  <c r="B889" i="8" a="1"/>
  <c r="B890" i="8" a="1"/>
  <c r="B891" i="8" a="1"/>
  <c r="B892" i="8" a="1"/>
  <c r="B893" i="8" a="1"/>
  <c r="B894" i="8" a="1"/>
  <c r="B895" i="8" a="1"/>
  <c r="B896" i="8" a="1"/>
  <c r="B897" i="8" a="1"/>
  <c r="B898" i="8" a="1"/>
  <c r="B899" i="8" a="1"/>
  <c r="B900" i="8" a="1"/>
  <c r="B901" i="8" a="1"/>
  <c r="B902" i="8" a="1"/>
  <c r="B903" i="8" a="1"/>
  <c r="B904" i="8" a="1"/>
  <c r="B905" i="8" a="1"/>
  <c r="B906" i="8" a="1"/>
  <c r="B907" i="8" a="1"/>
  <c r="B908" i="8" a="1"/>
  <c r="B909" i="8" a="1"/>
  <c r="B910" i="8" a="1"/>
  <c r="B911" i="8" a="1"/>
  <c r="B912" i="8" a="1"/>
  <c r="B913" i="8" a="1"/>
  <c r="B914" i="8" a="1"/>
  <c r="B915" i="8" a="1"/>
  <c r="B916" i="8" a="1"/>
  <c r="B917" i="8" a="1"/>
  <c r="B918" i="8" a="1"/>
  <c r="B919" i="8" a="1"/>
  <c r="B920" i="8" a="1"/>
  <c r="B921" i="8" a="1"/>
  <c r="B922" i="8" a="1"/>
  <c r="B923" i="8" a="1"/>
  <c r="B924" i="8" a="1"/>
  <c r="B925" i="8" a="1"/>
  <c r="B926" i="8" a="1"/>
  <c r="B927" i="8" a="1"/>
  <c r="B928" i="8" a="1"/>
  <c r="B929" i="8" a="1"/>
  <c r="B930" i="8" a="1"/>
  <c r="B931" i="8" a="1"/>
  <c r="B932" i="8" a="1"/>
  <c r="B933" i="8" a="1"/>
  <c r="B934" i="8" a="1"/>
  <c r="B935" i="8" a="1"/>
  <c r="B936" i="8" a="1"/>
  <c r="B937" i="8" a="1"/>
  <c r="B938" i="8" a="1"/>
  <c r="B939" i="8" a="1"/>
  <c r="B940" i="8" a="1"/>
  <c r="B941" i="8" a="1"/>
  <c r="B942" i="8" a="1"/>
  <c r="B943" i="8" a="1"/>
  <c r="B944" i="8" a="1"/>
  <c r="B945" i="8" a="1"/>
  <c r="B946" i="8" a="1"/>
  <c r="B947" i="8" a="1"/>
  <c r="B948" i="8" a="1"/>
  <c r="B949" i="8" a="1"/>
  <c r="B950" i="8" a="1"/>
  <c r="B951" i="8" a="1"/>
  <c r="B952" i="8" a="1"/>
  <c r="B953" i="8" a="1"/>
  <c r="B954" i="8" a="1"/>
  <c r="B955" i="8" a="1"/>
  <c r="B956" i="8" a="1"/>
  <c r="B957" i="8" a="1"/>
  <c r="B958" i="8" a="1"/>
  <c r="B959" i="8" a="1"/>
  <c r="B960" i="8" a="1"/>
  <c r="B961" i="8" a="1"/>
  <c r="B962" i="8" a="1"/>
  <c r="B963" i="8" a="1"/>
  <c r="B964" i="8" a="1"/>
  <c r="B965" i="8" a="1"/>
  <c r="B966" i="8" a="1"/>
  <c r="B967" i="8" a="1"/>
  <c r="B968" i="8" a="1"/>
  <c r="B969" i="8" a="1"/>
  <c r="B970" i="8" a="1"/>
  <c r="B971" i="8" a="1"/>
  <c r="B972" i="8" a="1"/>
  <c r="B973" i="8" a="1"/>
  <c r="B974" i="8" a="1"/>
  <c r="B975" i="8" a="1"/>
  <c r="B976" i="8" a="1"/>
  <c r="B977" i="8" a="1"/>
  <c r="B978" i="8" a="1"/>
  <c r="B979" i="8" a="1"/>
  <c r="B980" i="8" a="1"/>
  <c r="B981" i="8" a="1"/>
  <c r="B982" i="8" a="1"/>
  <c r="B983" i="8" a="1"/>
  <c r="B984" i="8" a="1"/>
  <c r="B985" i="8" a="1"/>
  <c r="B986" i="8" a="1"/>
  <c r="B987" i="8" a="1"/>
  <c r="B988" i="8" a="1"/>
  <c r="B989" i="8" a="1"/>
  <c r="B990" i="8" a="1"/>
  <c r="B991" i="8" a="1"/>
  <c r="B992" i="8" a="1"/>
  <c r="B993" i="8" a="1"/>
  <c r="B994" i="8" a="1"/>
  <c r="B995" i="8" a="1"/>
  <c r="B996" i="8" a="1"/>
  <c r="B997" i="8" a="1"/>
  <c r="B998" i="8" a="1"/>
  <c r="B999" i="8" a="1"/>
  <c r="B1000" i="8" a="1"/>
  <c r="B1001" i="8" a="1"/>
  <c r="B1002" i="8" a="1"/>
  <c r="B1003" i="8" a="1"/>
  <c r="B1004" i="8" a="1"/>
  <c r="B1005" i="8" a="1"/>
  <c r="B1006" i="8" a="1"/>
  <c r="B1007" i="8" a="1"/>
  <c r="B1008" i="8" a="1"/>
  <c r="B1009" i="8" a="1"/>
  <c r="B1010" i="8" a="1"/>
  <c r="B1011" i="8" a="1"/>
  <c r="B1012" i="8" a="1"/>
  <c r="B1013" i="8" a="1"/>
  <c r="B1014" i="8" a="1"/>
  <c r="B1015" i="8" a="1"/>
  <c r="B1016" i="8" a="1"/>
  <c r="B1017" i="8" a="1"/>
  <c r="B1018" i="8" a="1"/>
  <c r="B1019" i="8" a="1"/>
  <c r="B1020" i="8" a="1"/>
  <c r="B1021" i="8" a="1"/>
  <c r="B1022" i="8" a="1"/>
  <c r="B1023" i="8" a="1"/>
  <c r="B1024" i="8" a="1"/>
  <c r="B1025" i="8" a="1"/>
  <c r="B1026" i="8" a="1"/>
  <c r="B1027" i="8" a="1"/>
  <c r="B1028" i="8" a="1"/>
  <c r="B1029" i="8" a="1"/>
  <c r="B1030" i="8" a="1"/>
  <c r="B1031" i="8" a="1"/>
  <c r="B1032" i="8" a="1"/>
  <c r="B1033" i="8" a="1"/>
  <c r="B1034" i="8" a="1"/>
  <c r="B1035" i="8" a="1"/>
  <c r="B1036" i="8" a="1"/>
  <c r="B1037" i="8" a="1"/>
  <c r="B1038" i="8" a="1"/>
  <c r="B1039" i="8" a="1"/>
  <c r="B1040" i="8" a="1"/>
  <c r="B1041" i="8" a="1"/>
  <c r="B1042" i="8" a="1"/>
  <c r="B1043" i="8" a="1"/>
  <c r="B1044" i="8" a="1"/>
  <c r="B1045" i="8" a="1"/>
  <c r="B1046" i="8" a="1"/>
  <c r="B1047" i="8" a="1"/>
  <c r="B1048" i="8" a="1"/>
  <c r="B1049" i="8" a="1"/>
  <c r="B1050" i="8" a="1"/>
  <c r="B1051" i="8" a="1"/>
  <c r="B1052" i="8" a="1"/>
  <c r="B1053" i="8" a="1"/>
  <c r="H40" i="3"/>
  <c r="H35" i="3"/>
  <c r="H30" i="3"/>
  <c r="H25" i="3"/>
  <c r="H20" i="3"/>
  <c r="H15" i="3"/>
  <c r="H10" i="3"/>
  <c r="AH43" i="3"/>
  <c r="AG43" i="3"/>
  <c r="AL43" i="3"/>
  <c r="AE43" i="3"/>
  <c r="AA43" i="3"/>
  <c r="Z43" i="3"/>
  <c r="W43" i="3"/>
  <c r="S43" i="3"/>
  <c r="R43" i="3"/>
  <c r="O43" i="3"/>
  <c r="K43" i="3"/>
  <c r="J43" i="3"/>
  <c r="AK43" i="3"/>
  <c r="U43" i="3"/>
  <c r="Y43" i="3"/>
  <c r="I43" i="3"/>
  <c r="F23" i="3"/>
  <c r="F28" i="3"/>
  <c r="Q43" i="3"/>
  <c r="F38" i="3"/>
  <c r="AJ43" i="3"/>
  <c r="AF43" i="3"/>
  <c r="AB43" i="3"/>
  <c r="X43" i="3"/>
  <c r="T43" i="3"/>
  <c r="P43" i="3"/>
  <c r="L43" i="3"/>
  <c r="F8" i="3"/>
  <c r="H43" i="3"/>
  <c r="AC43" i="3"/>
  <c r="M43" i="3"/>
  <c r="F13" i="3"/>
  <c r="F18" i="3"/>
  <c r="I35" i="3" l="1"/>
  <c r="I25" i="3"/>
  <c r="J20" i="3"/>
  <c r="I20" i="3"/>
  <c r="I10" i="3"/>
  <c r="J15" i="3"/>
  <c r="K6" i="3"/>
  <c r="J30" i="3"/>
  <c r="J35" i="3"/>
  <c r="I30" i="3"/>
  <c r="J25" i="3"/>
  <c r="I15" i="3"/>
  <c r="J40" i="3"/>
  <c r="I40" i="3"/>
  <c r="J10" i="3"/>
  <c r="H11" i="3"/>
  <c r="I16" i="3"/>
  <c r="J21" i="3"/>
  <c r="H16" i="3"/>
  <c r="I21" i="3"/>
  <c r="J16" i="3"/>
  <c r="I11" i="3"/>
  <c r="I36" i="3"/>
  <c r="I31" i="3"/>
  <c r="I26" i="3"/>
  <c r="J26" i="3"/>
  <c r="H36" i="3"/>
  <c r="J36" i="3"/>
  <c r="I41" i="3"/>
  <c r="J41" i="3"/>
  <c r="H41" i="3"/>
  <c r="J31" i="3"/>
  <c r="J43" i="11"/>
  <c r="D43" i="11" a="1"/>
  <c r="C43" i="11" a="1"/>
  <c r="B43" i="11" a="1"/>
  <c r="A44" i="11"/>
  <c r="J44" i="11" s="1"/>
  <c r="H44" i="3"/>
  <c r="I44" i="3"/>
  <c r="J11" i="3"/>
  <c r="J44" i="3"/>
  <c r="H21" i="3"/>
  <c r="H26" i="3"/>
  <c r="H31" i="3"/>
  <c r="F43" i="3"/>
  <c r="F45" i="3" s="1"/>
  <c r="K30" i="3" l="1"/>
  <c r="K25" i="3"/>
  <c r="K15" i="3"/>
  <c r="K40" i="3"/>
  <c r="K35" i="3"/>
  <c r="K20" i="3"/>
  <c r="K10" i="3"/>
  <c r="K34" i="3"/>
  <c r="K36" i="3" s="1"/>
  <c r="K19" i="3"/>
  <c r="K21" i="3" s="1"/>
  <c r="K24" i="3"/>
  <c r="K26" i="3" s="1"/>
  <c r="K9" i="3"/>
  <c r="K14" i="3"/>
  <c r="K16" i="3" s="1"/>
  <c r="K29" i="3"/>
  <c r="K31" i="3" s="1"/>
  <c r="K39" i="3"/>
  <c r="K41" i="3" s="1"/>
  <c r="L6" i="3"/>
  <c r="I45" i="3"/>
  <c r="J45" i="3"/>
  <c r="H45" i="3"/>
  <c r="L9" i="3" l="1"/>
  <c r="L39" i="3"/>
  <c r="L29" i="3"/>
  <c r="L20" i="3"/>
  <c r="K11" i="3"/>
  <c r="K45" i="3" s="1"/>
  <c r="K44" i="3"/>
  <c r="L24" i="3"/>
  <c r="L14" i="3"/>
  <c r="L25" i="3"/>
  <c r="L10" i="3"/>
  <c r="L35" i="3"/>
  <c r="M6" i="3"/>
  <c r="L19" i="3"/>
  <c r="L34" i="3"/>
  <c r="L40" i="3"/>
  <c r="L30" i="3"/>
  <c r="L15" i="3"/>
  <c r="L11" i="3" l="1"/>
  <c r="L31" i="3"/>
  <c r="L41" i="3"/>
  <c r="L16" i="3"/>
  <c r="L36" i="3"/>
  <c r="L26" i="3"/>
  <c r="L21" i="3"/>
  <c r="M9" i="3"/>
  <c r="M39" i="3"/>
  <c r="M29" i="3"/>
  <c r="M40" i="3"/>
  <c r="M20" i="3"/>
  <c r="M15" i="3"/>
  <c r="M24" i="3"/>
  <c r="M14" i="3"/>
  <c r="M35" i="3"/>
  <c r="M30" i="3"/>
  <c r="M34" i="3"/>
  <c r="M25" i="3"/>
  <c r="M19" i="3"/>
  <c r="M10" i="3"/>
  <c r="N6" i="3"/>
  <c r="L44" i="3"/>
  <c r="L45" i="3" l="1"/>
  <c r="M31" i="3"/>
  <c r="M41" i="3"/>
  <c r="M11" i="3"/>
  <c r="M26" i="3"/>
  <c r="N9" i="3"/>
  <c r="N39" i="3"/>
  <c r="N29" i="3"/>
  <c r="N30" i="3"/>
  <c r="N25" i="3"/>
  <c r="N19" i="3"/>
  <c r="N24" i="3"/>
  <c r="N14" i="3"/>
  <c r="N40" i="3"/>
  <c r="N10" i="3"/>
  <c r="N34" i="3"/>
  <c r="N35" i="3"/>
  <c r="N20" i="3"/>
  <c r="N15" i="3"/>
  <c r="M44" i="3"/>
  <c r="O6" i="3"/>
  <c r="M36" i="3"/>
  <c r="M16" i="3"/>
  <c r="M21" i="3"/>
  <c r="E11" i="11" a="1"/>
  <c r="O9" i="3" l="1"/>
  <c r="O29" i="3"/>
  <c r="O20" i="3"/>
  <c r="P6" i="3"/>
  <c r="O15" i="3"/>
  <c r="O24" i="3"/>
  <c r="O25" i="3"/>
  <c r="O19" i="3"/>
  <c r="O34" i="3"/>
  <c r="O40" i="3"/>
  <c r="O30" i="3"/>
  <c r="O10" i="3"/>
  <c r="O39" i="3"/>
  <c r="O14" i="3"/>
  <c r="O35" i="3"/>
  <c r="N11" i="3"/>
  <c r="N41" i="3"/>
  <c r="M45" i="3"/>
  <c r="N44" i="3"/>
  <c r="H11" i="11" a="1"/>
  <c r="N31" i="3"/>
  <c r="N26" i="3"/>
  <c r="N21" i="3"/>
  <c r="N36" i="3"/>
  <c r="N16" i="3"/>
  <c r="U51" i="11" a="1"/>
  <c r="U50" i="11" a="1"/>
  <c r="U49" i="11" a="1"/>
  <c r="U48" i="11" a="1"/>
  <c r="U47" i="11" a="1"/>
  <c r="U46" i="11" a="1"/>
  <c r="U45" i="11" a="1"/>
  <c r="U44" i="11" a="1"/>
  <c r="U43" i="11" a="1"/>
  <c r="U42" i="11" a="1"/>
  <c r="U41" i="11" a="1"/>
  <c r="U40" i="11" a="1"/>
  <c r="U39" i="11" a="1"/>
  <c r="U38" i="11" a="1"/>
  <c r="U37" i="11" a="1"/>
  <c r="U36" i="11" a="1"/>
  <c r="U35" i="11" a="1"/>
  <c r="U34" i="11" a="1"/>
  <c r="U33" i="11" a="1"/>
  <c r="U32" i="11" a="1"/>
  <c r="U31" i="11" a="1"/>
  <c r="U30" i="11" a="1"/>
  <c r="U29" i="11" a="1"/>
  <c r="U28" i="11" a="1"/>
  <c r="U27" i="11" a="1"/>
  <c r="U26" i="11" a="1"/>
  <c r="U25" i="11" a="1"/>
  <c r="U24" i="11" a="1"/>
  <c r="U23" i="11" a="1"/>
  <c r="U22" i="11" a="1"/>
  <c r="U21" i="11" a="1"/>
  <c r="U20" i="11" a="1"/>
  <c r="U19" i="11" a="1"/>
  <c r="U18" i="11" a="1"/>
  <c r="U17" i="11" a="1"/>
  <c r="U16" i="11" a="1"/>
  <c r="U15" i="11" a="1"/>
  <c r="U14" i="11" a="1"/>
  <c r="U13" i="11" a="1"/>
  <c r="U12" i="11" a="1"/>
  <c r="U11" i="11" a="1"/>
  <c r="U10" i="11" a="1"/>
  <c r="U9" i="11" a="1"/>
  <c r="U8" i="11" a="1"/>
  <c r="U7" i="11" a="1"/>
  <c r="U6" i="11" a="1"/>
  <c r="U5" i="11" a="1"/>
  <c r="U4" i="11" a="1"/>
  <c r="U3" i="11" a="1"/>
  <c r="N19" i="11" a="1"/>
  <c r="N17" i="11" a="1"/>
  <c r="N15" i="11" a="1"/>
  <c r="I19" i="11" a="1"/>
  <c r="I17" i="11" a="1"/>
  <c r="I15" i="11" a="1"/>
  <c r="C17" i="11" a="1"/>
  <c r="C15" i="11" a="1"/>
  <c r="N16" i="11" a="1"/>
  <c r="I20" i="11" a="1"/>
  <c r="I18" i="11" a="1"/>
  <c r="I16" i="11" a="1"/>
  <c r="C19" i="11" a="1"/>
  <c r="C16" i="11" a="1"/>
  <c r="I11" i="11" a="1"/>
  <c r="U52" i="11" a="1"/>
  <c r="E42" i="11" a="1"/>
  <c r="E43" i="11" a="1"/>
  <c r="O31" i="3" l="1"/>
  <c r="O26" i="3"/>
  <c r="O21" i="3"/>
  <c r="P20" i="3"/>
  <c r="O36" i="3"/>
  <c r="P9" i="3"/>
  <c r="P39" i="3"/>
  <c r="P29" i="3"/>
  <c r="P40" i="3"/>
  <c r="P24" i="3"/>
  <c r="P14" i="3"/>
  <c r="P35" i="3"/>
  <c r="P30" i="3"/>
  <c r="P10" i="3"/>
  <c r="P34" i="3"/>
  <c r="P25" i="3"/>
  <c r="P15" i="3"/>
  <c r="P19" i="3"/>
  <c r="O11" i="3"/>
  <c r="Q6" i="3"/>
  <c r="O16" i="3"/>
  <c r="O44" i="3"/>
  <c r="O41" i="3"/>
  <c r="N45" i="3"/>
  <c r="F11" i="11" a="1"/>
  <c r="V45" i="11" a="1"/>
  <c r="V42" i="11" a="1"/>
  <c r="V29" i="11" a="1"/>
  <c r="V26" i="11" a="1"/>
  <c r="V23" i="11" a="1"/>
  <c r="V20" i="11" a="1"/>
  <c r="V17" i="11" a="1"/>
  <c r="V10" i="11" a="1"/>
  <c r="O15" i="11" a="1"/>
  <c r="D17" i="11" a="1"/>
  <c r="V51" i="11" a="1"/>
  <c r="V48" i="11" a="1"/>
  <c r="V38" i="11" a="1"/>
  <c r="V35" i="11" a="1"/>
  <c r="V32" i="11" a="1"/>
  <c r="V7" i="11" a="1"/>
  <c r="J18" i="11" a="1"/>
  <c r="V43" i="11" a="1"/>
  <c r="V39" i="11" a="1"/>
  <c r="V27" i="11" a="1"/>
  <c r="V14" i="11" a="1"/>
  <c r="V11" i="11" a="1"/>
  <c r="V3" i="11" a="1"/>
  <c r="O17" i="11" a="1"/>
  <c r="J15" i="11" a="1"/>
  <c r="N11" i="11" a="1"/>
  <c r="V49" i="11" a="1"/>
  <c r="V46" i="11" a="1"/>
  <c r="V33" i="11" a="1"/>
  <c r="V30" i="11" a="1"/>
  <c r="V24" i="11" a="1"/>
  <c r="V21" i="11" a="1"/>
  <c r="V18" i="11" a="1"/>
  <c r="J20" i="11" a="1"/>
  <c r="D16" i="11" a="1"/>
  <c r="M11" i="11" a="1"/>
  <c r="V52" i="11" a="1"/>
  <c r="V40" i="11" a="1"/>
  <c r="V36" i="11" a="1"/>
  <c r="V12" i="11" a="1"/>
  <c r="V8" i="11" a="1"/>
  <c r="V4" i="11" a="1"/>
  <c r="J17" i="11" a="1"/>
  <c r="J11" i="11" a="1"/>
  <c r="V44" i="11" a="1"/>
  <c r="V28" i="11" a="1"/>
  <c r="V19" i="11" a="1"/>
  <c r="V15" i="11" a="1"/>
  <c r="O16" i="11" a="1"/>
  <c r="D19" i="11" a="1"/>
  <c r="V50" i="11" a="1"/>
  <c r="V47" i="11" a="1"/>
  <c r="V41" i="11" a="1"/>
  <c r="V37" i="11" a="1"/>
  <c r="V34" i="11" a="1"/>
  <c r="V31" i="11" a="1"/>
  <c r="V25" i="11" a="1"/>
  <c r="V22" i="11" a="1"/>
  <c r="V5" i="11" a="1"/>
  <c r="J19" i="11" a="1"/>
  <c r="D15" i="11" a="1"/>
  <c r="V16" i="11" a="1"/>
  <c r="V13" i="11" a="1"/>
  <c r="V9" i="11" a="1"/>
  <c r="V6" i="11" a="1"/>
  <c r="O19" i="11" a="1"/>
  <c r="J16" i="11" a="1"/>
  <c r="F42" i="11" a="1"/>
  <c r="F43" i="11" a="1"/>
  <c r="Q9" i="3" l="1"/>
  <c r="Q39" i="3"/>
  <c r="Q29" i="3"/>
  <c r="O45" i="3"/>
  <c r="P41" i="3"/>
  <c r="P31" i="3"/>
  <c r="P26" i="3"/>
  <c r="P16" i="3"/>
  <c r="Q30" i="3"/>
  <c r="Q25" i="3"/>
  <c r="Q15" i="3"/>
  <c r="Q19" i="3"/>
  <c r="Q24" i="3"/>
  <c r="Q14" i="3"/>
  <c r="Q40" i="3"/>
  <c r="Q10" i="3"/>
  <c r="Q34" i="3"/>
  <c r="Q35" i="3"/>
  <c r="Q20" i="3"/>
  <c r="P21" i="3"/>
  <c r="P44" i="3"/>
  <c r="P11" i="3"/>
  <c r="R6" i="3"/>
  <c r="P36" i="3"/>
  <c r="Q31" i="3" l="1"/>
  <c r="Q41" i="3"/>
  <c r="Q11" i="3"/>
  <c r="R9" i="3"/>
  <c r="R39" i="3"/>
  <c r="R29" i="3"/>
  <c r="R20" i="3"/>
  <c r="R15" i="3"/>
  <c r="R24" i="3"/>
  <c r="R14" i="3"/>
  <c r="R35" i="3"/>
  <c r="R25" i="3"/>
  <c r="R19" i="3"/>
  <c r="R34" i="3"/>
  <c r="R40" i="3"/>
  <c r="R30" i="3"/>
  <c r="R10" i="3"/>
  <c r="P45" i="3"/>
  <c r="Q21" i="3"/>
  <c r="Q26" i="3"/>
  <c r="Q36" i="3"/>
  <c r="Q16" i="3"/>
  <c r="Q44" i="3"/>
  <c r="S6" i="3"/>
  <c r="T6" i="3" l="1"/>
  <c r="R31" i="3"/>
  <c r="R16" i="3"/>
  <c r="R41" i="3"/>
  <c r="R21" i="3"/>
  <c r="R36" i="3"/>
  <c r="R26" i="3"/>
  <c r="R11" i="3"/>
  <c r="R44" i="3"/>
  <c r="Q45" i="3"/>
  <c r="S9" i="3"/>
  <c r="S39" i="3"/>
  <c r="S30" i="3"/>
  <c r="S34" i="3"/>
  <c r="S25" i="3"/>
  <c r="S15" i="3"/>
  <c r="S29" i="3"/>
  <c r="S40" i="3"/>
  <c r="S19" i="3"/>
  <c r="S24" i="3"/>
  <c r="S14" i="3"/>
  <c r="S10" i="3"/>
  <c r="S35" i="3"/>
  <c r="S20" i="3"/>
  <c r="T29" i="3"/>
  <c r="T25" i="3"/>
  <c r="T20" i="3"/>
  <c r="T15" i="3"/>
  <c r="T24" i="3"/>
  <c r="T14" i="3"/>
  <c r="T40" i="3"/>
  <c r="T35" i="3"/>
  <c r="T34" i="3"/>
  <c r="T30" i="3"/>
  <c r="T19" i="3"/>
  <c r="U6" i="3"/>
  <c r="T9" i="3" l="1"/>
  <c r="T39" i="3"/>
  <c r="T10" i="3"/>
  <c r="R45" i="3"/>
  <c r="S11" i="3"/>
  <c r="S31" i="3"/>
  <c r="S41" i="3"/>
  <c r="S16" i="3"/>
  <c r="S21" i="3"/>
  <c r="S26" i="3"/>
  <c r="S36" i="3"/>
  <c r="S44" i="3"/>
  <c r="T16" i="3"/>
  <c r="T36" i="3"/>
  <c r="T21" i="3"/>
  <c r="T31" i="3"/>
  <c r="T26" i="3"/>
  <c r="U9" i="3"/>
  <c r="U39" i="3"/>
  <c r="U29" i="3"/>
  <c r="U19" i="3"/>
  <c r="U24" i="3"/>
  <c r="U14" i="3"/>
  <c r="U30" i="3"/>
  <c r="U10" i="3"/>
  <c r="U34" i="3"/>
  <c r="U40" i="3"/>
  <c r="U35" i="3"/>
  <c r="U25" i="3"/>
  <c r="U20" i="3"/>
  <c r="U15" i="3"/>
  <c r="V6" i="3"/>
  <c r="T41" i="3" l="1"/>
  <c r="T44" i="3"/>
  <c r="T11" i="3"/>
  <c r="S45" i="3"/>
  <c r="U16" i="3"/>
  <c r="U31" i="3"/>
  <c r="U41" i="3"/>
  <c r="U26" i="3"/>
  <c r="U21" i="3"/>
  <c r="U36" i="3"/>
  <c r="V9" i="3"/>
  <c r="V39" i="3"/>
  <c r="V29" i="3"/>
  <c r="V30" i="3"/>
  <c r="V20" i="3"/>
  <c r="V15" i="3"/>
  <c r="V24" i="3"/>
  <c r="V14" i="3"/>
  <c r="V40" i="3"/>
  <c r="V35" i="3"/>
  <c r="V25" i="3"/>
  <c r="V10" i="3"/>
  <c r="V34" i="3"/>
  <c r="V19" i="3"/>
  <c r="U44" i="3"/>
  <c r="U11" i="3"/>
  <c r="W6" i="3"/>
  <c r="T45" i="3" l="1"/>
  <c r="U45" i="3"/>
  <c r="V16" i="3"/>
  <c r="V31" i="3"/>
  <c r="V36" i="3"/>
  <c r="V26" i="3"/>
  <c r="V21" i="3"/>
  <c r="V41" i="3"/>
  <c r="W9" i="3"/>
  <c r="W39" i="3"/>
  <c r="W29" i="3"/>
  <c r="W40" i="3"/>
  <c r="W25" i="3"/>
  <c r="W24" i="3"/>
  <c r="W14" i="3"/>
  <c r="W10" i="3"/>
  <c r="W19" i="3"/>
  <c r="W34" i="3"/>
  <c r="W35" i="3"/>
  <c r="W30" i="3"/>
  <c r="W20" i="3"/>
  <c r="W15" i="3"/>
  <c r="X6" i="3"/>
  <c r="V44" i="3"/>
  <c r="V11" i="3"/>
  <c r="V45" i="3" l="1"/>
  <c r="W31" i="3"/>
  <c r="W21" i="3"/>
  <c r="W36" i="3"/>
  <c r="W41" i="3"/>
  <c r="W16" i="3"/>
  <c r="W26" i="3"/>
  <c r="X9" i="3"/>
  <c r="X39" i="3"/>
  <c r="X29" i="3"/>
  <c r="X20" i="3"/>
  <c r="X15" i="3"/>
  <c r="X19" i="3"/>
  <c r="X24" i="3"/>
  <c r="X14" i="3"/>
  <c r="X35" i="3"/>
  <c r="X30" i="3"/>
  <c r="X10" i="3"/>
  <c r="X34" i="3"/>
  <c r="X40" i="3"/>
  <c r="X25" i="3"/>
  <c r="W11" i="3"/>
  <c r="W44" i="3"/>
  <c r="Y6" i="3"/>
  <c r="W45" i="3" l="1"/>
  <c r="X16" i="3"/>
  <c r="X41" i="3"/>
  <c r="X36" i="3"/>
  <c r="X26" i="3"/>
  <c r="X31" i="3"/>
  <c r="X21" i="3"/>
  <c r="Y9" i="3"/>
  <c r="Y39" i="3"/>
  <c r="Y29" i="3"/>
  <c r="Y24" i="3"/>
  <c r="Y14" i="3"/>
  <c r="Y40" i="3"/>
  <c r="Y25" i="3"/>
  <c r="Y10" i="3"/>
  <c r="Y34" i="3"/>
  <c r="Y35" i="3"/>
  <c r="Y30" i="3"/>
  <c r="Y20" i="3"/>
  <c r="Y15" i="3"/>
  <c r="Y19" i="3"/>
  <c r="X44" i="3"/>
  <c r="X11" i="3"/>
  <c r="Z6" i="3"/>
  <c r="X45" i="3" l="1"/>
  <c r="Y41" i="3"/>
  <c r="Y16" i="3"/>
  <c r="Y31" i="3"/>
  <c r="Y26" i="3"/>
  <c r="Y36" i="3"/>
  <c r="Y21" i="3"/>
  <c r="Z9" i="3"/>
  <c r="Z39" i="3"/>
  <c r="Z29" i="3"/>
  <c r="Z40" i="3"/>
  <c r="Z25" i="3"/>
  <c r="Z20" i="3"/>
  <c r="Z15" i="3"/>
  <c r="Z24" i="3"/>
  <c r="Z14" i="3"/>
  <c r="Z35" i="3"/>
  <c r="Z19" i="3"/>
  <c r="Z34" i="3"/>
  <c r="Z30" i="3"/>
  <c r="Z10" i="3"/>
  <c r="Y11" i="3"/>
  <c r="Y44" i="3"/>
  <c r="AA6" i="3"/>
  <c r="Y45" i="3" l="1"/>
  <c r="Z36" i="3"/>
  <c r="Z16" i="3"/>
  <c r="Z21" i="3"/>
  <c r="Z31" i="3"/>
  <c r="Z41" i="3"/>
  <c r="Z26" i="3"/>
  <c r="AA9" i="3"/>
  <c r="AA39" i="3"/>
  <c r="AA29" i="3"/>
  <c r="AA20" i="3"/>
  <c r="AA19" i="3"/>
  <c r="AA24" i="3"/>
  <c r="AA14" i="3"/>
  <c r="AA30" i="3"/>
  <c r="AA10" i="3"/>
  <c r="AA34" i="3"/>
  <c r="AA40" i="3"/>
  <c r="AA35" i="3"/>
  <c r="AA25" i="3"/>
  <c r="AA15" i="3"/>
  <c r="Z11" i="3"/>
  <c r="Z44" i="3"/>
  <c r="AB6" i="3"/>
  <c r="Z45" i="3" l="1"/>
  <c r="AA31" i="3"/>
  <c r="AA16" i="3"/>
  <c r="AA26" i="3"/>
  <c r="AA21" i="3"/>
  <c r="AA36" i="3"/>
  <c r="AA41" i="3"/>
  <c r="AB9" i="3"/>
  <c r="AB39" i="3"/>
  <c r="AB29" i="3"/>
  <c r="AB40" i="3"/>
  <c r="AB25" i="3"/>
  <c r="AB15" i="3"/>
  <c r="AB24" i="3"/>
  <c r="AB14" i="3"/>
  <c r="AB10" i="3"/>
  <c r="AB34" i="3"/>
  <c r="AB35" i="3"/>
  <c r="AB30" i="3"/>
  <c r="AB20" i="3"/>
  <c r="AB19" i="3"/>
  <c r="AC6" i="3"/>
  <c r="AA11" i="3"/>
  <c r="AA44" i="3"/>
  <c r="AA45" i="3" l="1"/>
  <c r="AB41" i="3"/>
  <c r="AB36" i="3"/>
  <c r="AB16" i="3"/>
  <c r="AB21" i="3"/>
  <c r="AB26" i="3"/>
  <c r="AB31" i="3"/>
  <c r="AC9" i="3"/>
  <c r="AC39" i="3"/>
  <c r="AC29" i="3"/>
  <c r="AC19" i="3"/>
  <c r="AC24" i="3"/>
  <c r="AC14" i="3"/>
  <c r="AC40" i="3"/>
  <c r="AC35" i="3"/>
  <c r="AC30" i="3"/>
  <c r="AC25" i="3"/>
  <c r="AC10" i="3"/>
  <c r="AC34" i="3"/>
  <c r="AC20" i="3"/>
  <c r="AC15" i="3"/>
  <c r="AD6" i="3"/>
  <c r="AB44" i="3"/>
  <c r="AB11" i="3"/>
  <c r="AC36" i="3" l="1"/>
  <c r="AC31" i="3"/>
  <c r="AC26" i="3"/>
  <c r="AB45" i="3"/>
  <c r="AC16" i="3"/>
  <c r="AC41" i="3"/>
  <c r="AC21" i="3"/>
  <c r="AD9" i="3"/>
  <c r="AD39" i="3"/>
  <c r="AD29" i="3"/>
  <c r="AD20" i="3"/>
  <c r="AD15" i="3"/>
  <c r="AD24" i="3"/>
  <c r="AD14" i="3"/>
  <c r="AD30" i="3"/>
  <c r="AD10" i="3"/>
  <c r="AD19" i="3"/>
  <c r="AD34" i="3"/>
  <c r="AD40" i="3"/>
  <c r="AD35" i="3"/>
  <c r="AD25" i="3"/>
  <c r="AC44" i="3"/>
  <c r="AC11" i="3"/>
  <c r="AE6" i="3"/>
  <c r="AC45" i="3" l="1"/>
  <c r="AD16" i="3"/>
  <c r="AD41" i="3"/>
  <c r="AD31" i="3"/>
  <c r="AD36" i="3"/>
  <c r="AD21" i="3"/>
  <c r="AD26" i="3"/>
  <c r="AE9" i="3"/>
  <c r="AE39" i="3"/>
  <c r="AE29" i="3"/>
  <c r="AE40" i="3"/>
  <c r="AE25" i="3"/>
  <c r="AE19" i="3"/>
  <c r="AE24" i="3"/>
  <c r="AE14" i="3"/>
  <c r="AE35" i="3"/>
  <c r="AE10" i="3"/>
  <c r="AE34" i="3"/>
  <c r="AE30" i="3"/>
  <c r="AE20" i="3"/>
  <c r="AE15" i="3"/>
  <c r="AF6" i="3"/>
  <c r="AD11" i="3"/>
  <c r="AD44" i="3"/>
  <c r="AE31" i="3" l="1"/>
  <c r="AE21" i="3"/>
  <c r="AE26" i="3"/>
  <c r="AE36" i="3"/>
  <c r="AE41" i="3"/>
  <c r="AE16" i="3"/>
  <c r="AD45" i="3"/>
  <c r="AF9" i="3"/>
  <c r="AF39" i="3"/>
  <c r="AF29" i="3"/>
  <c r="AF20" i="3"/>
  <c r="AF24" i="3"/>
  <c r="AF14" i="3"/>
  <c r="AF40" i="3"/>
  <c r="AF30" i="3"/>
  <c r="AF25" i="3"/>
  <c r="AF10" i="3"/>
  <c r="AF19" i="3"/>
  <c r="AF34" i="3"/>
  <c r="AF35" i="3"/>
  <c r="AF15" i="3"/>
  <c r="AE44" i="3"/>
  <c r="AE11" i="3"/>
  <c r="AG6" i="3"/>
  <c r="AE45" i="3" l="1"/>
  <c r="AF16" i="3"/>
  <c r="AF36" i="3"/>
  <c r="AF26" i="3"/>
  <c r="AF41" i="3"/>
  <c r="AF31" i="3"/>
  <c r="AF21" i="3"/>
  <c r="AG9" i="3"/>
  <c r="AG39" i="3"/>
  <c r="AG29" i="3"/>
  <c r="AG19" i="3"/>
  <c r="AG24" i="3"/>
  <c r="AG14" i="3"/>
  <c r="AG30" i="3"/>
  <c r="AG10" i="3"/>
  <c r="AG34" i="3"/>
  <c r="AG40" i="3"/>
  <c r="AG35" i="3"/>
  <c r="AG25" i="3"/>
  <c r="AG20" i="3"/>
  <c r="AG15" i="3"/>
  <c r="AF44" i="3"/>
  <c r="AF11" i="3"/>
  <c r="AH6" i="3"/>
  <c r="AF45" i="3" l="1"/>
  <c r="AG31" i="3"/>
  <c r="AG16" i="3"/>
  <c r="AG36" i="3"/>
  <c r="AG26" i="3"/>
  <c r="AG21" i="3"/>
  <c r="AG41" i="3"/>
  <c r="AH9" i="3"/>
  <c r="AH39" i="3"/>
  <c r="AH29" i="3"/>
  <c r="AH40" i="3"/>
  <c r="AH25" i="3"/>
  <c r="AH20" i="3"/>
  <c r="AH24" i="3"/>
  <c r="AH14" i="3"/>
  <c r="AH35" i="3"/>
  <c r="AH30" i="3"/>
  <c r="AH10" i="3"/>
  <c r="AH19" i="3"/>
  <c r="AH34" i="3"/>
  <c r="AH15" i="3"/>
  <c r="AI6" i="3"/>
  <c r="AG44" i="3"/>
  <c r="AG11" i="3"/>
  <c r="AH16" i="3" l="1"/>
  <c r="AH31" i="3"/>
  <c r="AH41" i="3"/>
  <c r="AH36" i="3"/>
  <c r="AH21" i="3"/>
  <c r="AH26" i="3"/>
  <c r="AG45" i="3"/>
  <c r="AI9" i="3"/>
  <c r="AI39" i="3"/>
  <c r="AI29" i="3"/>
  <c r="AI25" i="3"/>
  <c r="AI24" i="3"/>
  <c r="AI14" i="3"/>
  <c r="AI40" i="3"/>
  <c r="AI30" i="3"/>
  <c r="AI10" i="3"/>
  <c r="AI34" i="3"/>
  <c r="AI35" i="3"/>
  <c r="AI20" i="3"/>
  <c r="AI15" i="3"/>
  <c r="AI19" i="3"/>
  <c r="AH11" i="3"/>
  <c r="AH44" i="3"/>
  <c r="AJ6" i="3"/>
  <c r="AH45" i="3" l="1"/>
  <c r="AI31" i="3"/>
  <c r="AI41" i="3"/>
  <c r="AI16" i="3"/>
  <c r="AI21" i="3"/>
  <c r="AI26" i="3"/>
  <c r="AI36" i="3"/>
  <c r="AJ9" i="3"/>
  <c r="AJ39" i="3"/>
  <c r="AJ29" i="3"/>
  <c r="AJ24" i="3"/>
  <c r="AJ14" i="3"/>
  <c r="AJ35" i="3"/>
  <c r="AJ30" i="3"/>
  <c r="AJ25" i="3"/>
  <c r="AJ20" i="3"/>
  <c r="AJ10" i="3"/>
  <c r="AJ19" i="3"/>
  <c r="AJ34" i="3"/>
  <c r="AJ40" i="3"/>
  <c r="AJ15" i="3"/>
  <c r="AI11" i="3"/>
  <c r="AI44" i="3"/>
  <c r="AK6" i="3"/>
  <c r="AI45" i="3" l="1"/>
  <c r="AJ41" i="3"/>
  <c r="AJ16" i="3"/>
  <c r="AJ36" i="3"/>
  <c r="AJ21" i="3"/>
  <c r="AJ26" i="3"/>
  <c r="AJ31" i="3"/>
  <c r="AK9" i="3"/>
  <c r="AK39" i="3"/>
  <c r="AK29" i="3"/>
  <c r="AK40" i="3"/>
  <c r="AK20" i="3"/>
  <c r="AK19" i="3"/>
  <c r="AK24" i="3"/>
  <c r="AK14" i="3"/>
  <c r="AK35" i="3"/>
  <c r="AK30" i="3"/>
  <c r="AK10" i="3"/>
  <c r="AK34" i="3"/>
  <c r="AK25" i="3"/>
  <c r="AK15" i="3"/>
  <c r="AL6" i="3"/>
  <c r="AJ44" i="3"/>
  <c r="AJ11" i="3"/>
  <c r="AJ45" i="3" l="1"/>
  <c r="AK16" i="3"/>
  <c r="AK36" i="3"/>
  <c r="AK21" i="3"/>
  <c r="AK41" i="3"/>
  <c r="AK31" i="3"/>
  <c r="AK26" i="3"/>
  <c r="AL9" i="3"/>
  <c r="F9" i="3" s="1"/>
  <c r="F11" i="3" s="1"/>
  <c r="AL39" i="3"/>
  <c r="F39" i="3" s="1"/>
  <c r="F41" i="3" s="1"/>
  <c r="AL29" i="3"/>
  <c r="F29" i="3" s="1"/>
  <c r="F31" i="3" s="1"/>
  <c r="AL25" i="3"/>
  <c r="AL24" i="3"/>
  <c r="F24" i="3" s="1"/>
  <c r="F26" i="3" s="1"/>
  <c r="AL14" i="3"/>
  <c r="F14" i="3" s="1"/>
  <c r="F16" i="3" s="1"/>
  <c r="AL40" i="3"/>
  <c r="AL30" i="3"/>
  <c r="AL10" i="3"/>
  <c r="AL19" i="3"/>
  <c r="F19" i="3" s="1"/>
  <c r="F21" i="3" s="1"/>
  <c r="AL34" i="3"/>
  <c r="F34" i="3" s="1"/>
  <c r="F36" i="3" s="1"/>
  <c r="AL35" i="3"/>
  <c r="AL20" i="3"/>
  <c r="AL15" i="3"/>
  <c r="AK11" i="3"/>
  <c r="AK44" i="3"/>
  <c r="AK45" i="3" l="1"/>
  <c r="AL31" i="3"/>
  <c r="AL36" i="3"/>
  <c r="AL16" i="3"/>
  <c r="AL21" i="3"/>
  <c r="AL26" i="3"/>
  <c r="AL41" i="3"/>
  <c r="AL11" i="3"/>
  <c r="AL44" i="3"/>
  <c r="F44" i="3" s="1"/>
  <c r="F230" i="9" a="1"/>
  <c r="G468" i="9" a="1"/>
  <c r="G665" i="9" a="1"/>
  <c r="G656" i="9" a="1"/>
  <c r="E374" i="9" a="1"/>
  <c r="G985" i="9" a="1"/>
  <c r="F554" i="9" a="1"/>
  <c r="G611" i="9" a="1"/>
  <c r="F758" i="9" a="1"/>
  <c r="E562" i="9" a="1"/>
  <c r="F690" i="9" a="1"/>
  <c r="G580" i="9" a="1"/>
  <c r="E574" i="9" a="1"/>
  <c r="F907" i="9" a="1"/>
  <c r="F26" i="9" a="1"/>
  <c r="F76" i="9" a="1"/>
  <c r="F110" i="9" a="1"/>
  <c r="F631" i="9" a="1"/>
  <c r="G955" i="9" a="1"/>
  <c r="E395" i="9" a="1"/>
  <c r="G788" i="9" a="1"/>
  <c r="E507" i="9" a="1"/>
  <c r="F493" i="9" a="1"/>
  <c r="F75" i="9" a="1"/>
  <c r="E376" i="9" a="1"/>
  <c r="G845" i="9" a="1"/>
  <c r="E611" i="9" a="1"/>
  <c r="G743" i="9" a="1"/>
  <c r="G990" i="9" a="1"/>
  <c r="F856" i="9" a="1"/>
  <c r="G525" i="9" a="1"/>
  <c r="F178" i="9" a="1"/>
  <c r="A999" i="9" a="1"/>
  <c r="F403" i="9" a="1"/>
  <c r="F843" i="9" a="1"/>
  <c r="E502" i="9" a="1"/>
  <c r="G604" i="9" a="1"/>
  <c r="F568" i="9" a="1"/>
  <c r="D111" i="9" a="1"/>
  <c r="F193" i="9" a="1"/>
  <c r="E524" i="9" a="1"/>
  <c r="G964" i="9" a="1"/>
  <c r="G502" i="9" a="1"/>
  <c r="F14" i="9" a="1"/>
  <c r="G562" i="9" a="1"/>
  <c r="F467" i="9" a="1"/>
  <c r="E475" i="9" a="1"/>
  <c r="G774" i="9" a="1"/>
  <c r="F920" i="9" a="1"/>
  <c r="F895" i="9" a="1"/>
  <c r="G932" i="9" a="1"/>
  <c r="G676" i="9" a="1"/>
  <c r="G813" i="9" a="1"/>
  <c r="F794" i="9" a="1"/>
  <c r="E484" i="9" a="1"/>
  <c r="G506" i="9" a="1"/>
  <c r="F506" i="9" a="1"/>
  <c r="E86" i="9" a="1"/>
  <c r="G949" i="9" a="1"/>
  <c r="G447" i="9" a="1"/>
  <c r="F527" i="9" a="1"/>
  <c r="E618" i="9" a="1"/>
  <c r="F882" i="9" a="1"/>
  <c r="F215" i="9" a="1"/>
  <c r="G883" i="9" a="1"/>
  <c r="G642" i="9" a="1"/>
  <c r="F57" i="9" a="1"/>
  <c r="E302" i="9" a="1"/>
  <c r="G671" i="9" a="1"/>
  <c r="G687" i="9" a="1"/>
  <c r="F714" i="9" a="1"/>
  <c r="D373" i="9" a="1"/>
  <c r="F492" i="9" a="1"/>
  <c r="D248" i="9" a="1"/>
  <c r="G784" i="9" a="1"/>
  <c r="F996" i="9" a="1"/>
  <c r="E679" i="9" a="1"/>
  <c r="G960" i="9" a="1"/>
  <c r="F567" i="9" a="1"/>
  <c r="E627" i="9" a="1"/>
  <c r="G651" i="9" a="1"/>
  <c r="F48" i="9" a="1"/>
  <c r="E177" i="9" a="1"/>
  <c r="F927" i="9" a="1"/>
  <c r="E249" i="9" a="1"/>
  <c r="F140" i="9" a="1"/>
  <c r="D399" i="9" a="1"/>
  <c r="E208" i="9" a="1"/>
  <c r="F276" i="9" a="1"/>
  <c r="G799" i="9" a="1"/>
  <c r="E915" i="9" a="1"/>
  <c r="E785" i="9" a="1"/>
  <c r="G981" i="9" a="1"/>
  <c r="E170" i="9" a="1"/>
  <c r="G444" i="9" a="1"/>
  <c r="G968" i="9" a="1"/>
  <c r="F747" i="9" a="1"/>
  <c r="F449" i="9" a="1"/>
  <c r="E256" i="9" a="1"/>
  <c r="F39" i="9" a="1"/>
  <c r="F845" i="9" a="1"/>
  <c r="D55" i="9" a="1"/>
  <c r="F84" i="9" a="1"/>
  <c r="G901" i="9" a="1"/>
  <c r="G887" i="9" a="1"/>
  <c r="F100" i="9" a="1"/>
  <c r="E295" i="9" a="1"/>
  <c r="F44" i="9" a="1"/>
  <c r="F71" i="9" a="1"/>
  <c r="G709" i="9" a="1"/>
  <c r="G552" i="9" a="1"/>
  <c r="G481" i="9" a="1"/>
  <c r="F768" i="9" a="1"/>
  <c r="G712" i="9" a="1"/>
  <c r="E817" i="9" a="1"/>
  <c r="G535" i="9" a="1"/>
  <c r="G765" i="9" a="1"/>
  <c r="F268" i="9" a="1"/>
  <c r="G560" i="9" a="1"/>
  <c r="F585" i="9" a="1"/>
  <c r="G978" i="9" a="1"/>
  <c r="G781" i="9" a="1"/>
  <c r="F366" i="9" a="1"/>
  <c r="F616" i="9" a="1"/>
  <c r="E291" i="9" a="1"/>
  <c r="G830" i="9" a="1"/>
  <c r="F673" i="9" a="1"/>
  <c r="G919" i="9" a="1"/>
  <c r="G550" i="9" a="1"/>
  <c r="F256" i="9" a="1"/>
  <c r="G598" i="9" a="1"/>
  <c r="D297" i="9" a="1"/>
  <c r="E113" i="9" a="1"/>
  <c r="G602" i="9" a="1"/>
  <c r="F812" i="9" a="1"/>
  <c r="F594" i="9" a="1"/>
  <c r="E462" i="9" a="1"/>
  <c r="G884" i="9" a="1"/>
  <c r="E737" i="9" a="1"/>
  <c r="F216" i="9" a="1"/>
  <c r="G693" i="9" a="1"/>
  <c r="F870" i="9" a="1"/>
  <c r="F674" i="9" a="1"/>
  <c r="E405" i="9" a="1"/>
  <c r="G750" i="9" a="1"/>
  <c r="G503" i="9" a="1"/>
  <c r="E630" i="9" a="1"/>
  <c r="F871" i="9" a="1"/>
  <c r="G544" i="9" a="1"/>
  <c r="G663" i="9" a="1"/>
  <c r="F380" i="9" a="1"/>
  <c r="F905" i="9" a="1"/>
  <c r="F218" i="9" a="1"/>
  <c r="D201" i="9" a="1"/>
  <c r="E111" i="9" a="1"/>
  <c r="E703" i="9" a="1"/>
  <c r="G938" i="9" a="1"/>
  <c r="G632" i="9" a="1"/>
  <c r="G605" i="9" a="1"/>
  <c r="E72" i="9" a="1"/>
  <c r="A1002" i="9" a="1"/>
  <c r="F50" i="9" a="1"/>
  <c r="F682" i="9" a="1"/>
  <c r="F830" i="9" a="1"/>
  <c r="E129" i="9" a="1"/>
  <c r="F424" i="9" a="1"/>
  <c r="F658" i="9" a="1"/>
  <c r="G706" i="9" a="1"/>
  <c r="D292" i="9" a="1"/>
  <c r="F586" i="9" a="1"/>
  <c r="G564" i="9" a="1"/>
  <c r="G819" i="9" a="1"/>
  <c r="F760" i="9" a="1"/>
  <c r="F436" i="9" a="1"/>
  <c r="F668" i="9" a="1"/>
  <c r="F757" i="9" a="1"/>
  <c r="E297" i="9" a="1"/>
  <c r="F398" i="9" a="1"/>
  <c r="D437" i="9" a="1"/>
  <c r="E671" i="9" a="1"/>
  <c r="G718" i="9" a="1"/>
  <c r="E335" i="9" a="1"/>
  <c r="F451" i="9" a="1"/>
  <c r="E201" i="9" a="1"/>
  <c r="F723" i="9" a="1"/>
  <c r="G803" i="9" a="1"/>
  <c r="G947" i="9" a="1"/>
  <c r="E206" i="9" a="1"/>
  <c r="G683" i="9" a="1"/>
  <c r="F578" i="9" a="1"/>
  <c r="F431" i="9" a="1"/>
  <c r="F170" i="9" a="1"/>
  <c r="F200" i="9" a="1"/>
  <c r="G609" i="9" a="1"/>
  <c r="E362" i="9" a="1"/>
  <c r="F262" i="9" a="1"/>
  <c r="F126" i="9" a="1"/>
  <c r="F937" i="9" a="1"/>
  <c r="F970" i="9" a="1"/>
  <c r="F138" i="9" a="1"/>
  <c r="E477" i="9" a="1"/>
  <c r="F908" i="9" a="1"/>
  <c r="G494" i="9" a="1"/>
  <c r="G458" i="9" a="1"/>
  <c r="G934" i="9" a="1"/>
  <c r="F679" i="9" a="1"/>
  <c r="F570" i="9" a="1"/>
  <c r="D606" i="9" a="1"/>
  <c r="F799" i="9" a="1"/>
  <c r="E476" i="9" a="1"/>
  <c r="F822" i="9" a="1"/>
  <c r="F340" i="9" a="1"/>
  <c r="E167" i="9" a="1"/>
  <c r="F128" i="9" a="1"/>
  <c r="F832" i="9" a="1"/>
  <c r="F177" i="9" a="1"/>
  <c r="G997" i="9" a="1"/>
  <c r="F346" i="9" a="1"/>
  <c r="F324" i="9" a="1"/>
  <c r="D89" i="9" a="1"/>
  <c r="F78" i="9" a="1"/>
  <c r="G701" i="9" a="1"/>
  <c r="G555" i="9" a="1"/>
  <c r="F587" i="9" a="1"/>
  <c r="E666" i="9" a="1"/>
  <c r="G473" i="9" a="1"/>
  <c r="F852" i="9" a="1"/>
  <c r="D862" i="9" a="1"/>
  <c r="E230" i="9" a="1"/>
  <c r="E726" i="9" a="1"/>
  <c r="F296" i="9" a="1"/>
  <c r="E209" i="9" a="1"/>
  <c r="G619" i="9" a="1"/>
  <c r="G659" i="9" a="1"/>
  <c r="D576" i="9" a="1"/>
  <c r="D407" i="9" a="1"/>
  <c r="E564" i="9" a="1"/>
  <c r="E506" i="9" a="1"/>
  <c r="D410" i="9" a="1"/>
  <c r="E279" i="9" a="1"/>
  <c r="F972" i="9" a="1"/>
  <c r="F22" i="9" a="1"/>
  <c r="F181" i="9" a="1"/>
  <c r="G608" i="9" a="1"/>
  <c r="D435" i="9" a="1"/>
  <c r="G866" i="9" a="1"/>
  <c r="G969" i="9" a="1"/>
  <c r="F715" i="9" a="1"/>
  <c r="E428" i="9" a="1"/>
  <c r="F781" i="9" a="1"/>
  <c r="F338" i="9" a="1"/>
  <c r="F917" i="9" a="1"/>
  <c r="E213" i="9" a="1"/>
  <c r="E85" i="9" a="1"/>
  <c r="E306" i="9" a="1"/>
  <c r="F537" i="9" a="1"/>
  <c r="E412" i="9" a="1"/>
  <c r="D61" i="9" a="1"/>
  <c r="F755" i="9" a="1"/>
  <c r="E522" i="9" a="1"/>
  <c r="E536" i="9" a="1"/>
  <c r="E417" i="9" a="1"/>
  <c r="G810" i="9" a="1"/>
  <c r="E594" i="9" a="1"/>
  <c r="D489" i="9" a="1"/>
  <c r="E803" i="9" a="1"/>
  <c r="F633" i="9" a="1"/>
  <c r="E180" i="9" a="1"/>
  <c r="G834" i="9" a="1"/>
  <c r="E489" i="9" a="1"/>
  <c r="E676" i="9" a="1"/>
  <c r="E292" i="9" a="1"/>
  <c r="F124" i="9" a="1"/>
  <c r="E370" i="9" a="1"/>
  <c r="F336" i="9" a="1"/>
  <c r="G472" i="9" a="1"/>
  <c r="E643" i="9" a="1"/>
  <c r="F545" i="9" a="1"/>
  <c r="D125" i="9" a="1"/>
  <c r="F32" i="9" a="1"/>
  <c r="F93" i="9" a="1"/>
  <c r="E134" i="9" a="1"/>
  <c r="E262" i="9" a="1"/>
  <c r="D327" i="9" a="1"/>
  <c r="F611" i="9" a="1"/>
  <c r="F744" i="9" a="1"/>
  <c r="E60" i="9" a="1"/>
  <c r="E304" i="9" a="1"/>
  <c r="F886" i="9" a="1"/>
  <c r="E346" i="9" a="1"/>
  <c r="F509" i="9" a="1"/>
  <c r="F31" i="9" a="1"/>
  <c r="E869" i="9" a="1"/>
  <c r="F764" i="9" a="1"/>
  <c r="F321" i="9" a="1"/>
  <c r="F378" i="9" a="1"/>
  <c r="F771" i="9" a="1"/>
  <c r="E225" i="9" a="1"/>
  <c r="G882" i="9" a="1"/>
  <c r="G987" i="9" a="1"/>
  <c r="G668" i="9" a="1"/>
  <c r="F241" i="9" a="1"/>
  <c r="E465" i="9" a="1"/>
  <c r="G649" i="9" a="1"/>
  <c r="G654" i="9" a="1"/>
  <c r="F358" i="9" a="1"/>
  <c r="G588" i="9" a="1"/>
  <c r="F997" i="9" a="1"/>
  <c r="F510" i="9" a="1"/>
  <c r="F751" i="9" a="1"/>
  <c r="E238" i="9" a="1"/>
  <c r="F162" i="9" a="1"/>
  <c r="E398" i="9" a="1"/>
  <c r="F332" i="9" a="1"/>
  <c r="F97" i="9" a="1"/>
  <c r="G725" i="9" a="1"/>
  <c r="F300" i="9" a="1"/>
  <c r="G944" i="9" a="1"/>
  <c r="F584" i="9" a="1"/>
  <c r="F858" i="9" a="1"/>
  <c r="G487" i="9" a="1"/>
  <c r="G719" i="9" a="1"/>
  <c r="E339" i="9" a="1"/>
  <c r="G966" i="9" a="1"/>
  <c r="E606" i="9" a="1"/>
  <c r="G542" i="9" a="1"/>
  <c r="G484" i="9" a="1"/>
  <c r="G643" i="9" a="1"/>
  <c r="F592" i="9" a="1"/>
  <c r="D71" i="9" a="1"/>
  <c r="G711" i="9" a="1"/>
  <c r="E71" i="9" a="1"/>
  <c r="G672" i="9" a="1"/>
  <c r="F868" i="9" a="1"/>
  <c r="G475" i="9" a="1"/>
  <c r="F322" i="9" a="1"/>
  <c r="F289" i="9" a="1"/>
  <c r="F767" i="9" a="1"/>
  <c r="G697" i="9" a="1"/>
  <c r="D634" i="9" a="1"/>
  <c r="E93" i="9" a="1"/>
  <c r="F524" i="9" a="1"/>
  <c r="F107" i="9" a="1"/>
  <c r="G915" i="9" a="1"/>
  <c r="G957" i="9" a="1"/>
  <c r="G894" i="9" a="1"/>
  <c r="E59" i="9" a="1"/>
  <c r="E663" i="9" a="1"/>
  <c r="G575" i="9" a="1"/>
  <c r="F106" i="9" a="1"/>
  <c r="E623" i="9" a="1"/>
  <c r="E277" i="9" a="1"/>
  <c r="G836" i="9" a="1"/>
  <c r="E7" i="9" a="1"/>
  <c r="G798" i="9" a="1"/>
  <c r="D472" i="9" a="1"/>
  <c r="G868" i="9" a="1"/>
  <c r="F371" i="9" a="1"/>
  <c r="G918" i="9" a="1"/>
  <c r="G640" i="9" a="1"/>
  <c r="F770" i="9" a="1"/>
  <c r="E677" i="9" a="1"/>
  <c r="E993" i="9" a="1"/>
  <c r="F926" i="9" a="1"/>
  <c r="F726" i="9" a="1"/>
  <c r="F481" i="9" a="1"/>
  <c r="F81" i="9" a="1"/>
  <c r="F417" i="9" a="1"/>
  <c r="E257" i="9" a="1"/>
  <c r="D7" i="9" a="1"/>
  <c r="G850" i="9" a="1"/>
  <c r="F363" i="9" a="1"/>
  <c r="E368" i="9" a="1"/>
  <c r="F101" i="9" a="1"/>
  <c r="F619" i="9" a="1"/>
  <c r="F201" i="9" a="1"/>
  <c r="F65" i="9" a="1"/>
  <c r="F876" i="9" a="1"/>
  <c r="E631" i="9" a="1"/>
  <c r="G873" i="9" a="1"/>
  <c r="F127" i="9" a="1"/>
  <c r="E32" i="9" a="1"/>
  <c r="G466" i="9" a="1"/>
  <c r="G838" i="9" a="1"/>
  <c r="F386" i="9" a="1"/>
  <c r="E856" i="9" a="1"/>
  <c r="E638" i="9" a="1"/>
  <c r="G461" i="9" a="1"/>
  <c r="F202" i="9" a="1"/>
  <c r="E319" i="9" a="1"/>
  <c r="G628" i="9" a="1"/>
  <c r="F190" i="9" a="1"/>
  <c r="E867" i="9" a="1"/>
  <c r="F293" i="9" a="1"/>
  <c r="F58" i="9" a="1"/>
  <c r="F116" i="9" a="1"/>
  <c r="E30" i="9" a="1"/>
  <c r="E431" i="9" a="1"/>
  <c r="E80" i="9" a="1"/>
  <c r="G510" i="9" a="1"/>
  <c r="G694" i="9" a="1"/>
  <c r="F625" i="9" a="1"/>
  <c r="F595" i="9" a="1"/>
  <c r="E530" i="9" a="1"/>
  <c r="G723" i="9" a="1"/>
  <c r="G739" i="9" a="1"/>
  <c r="G509" i="9" a="1"/>
  <c r="F653" i="9" a="1"/>
  <c r="G570" i="9" a="1"/>
  <c r="D51" i="9" a="1"/>
  <c r="F588" i="9" a="1"/>
  <c r="F516" i="9" a="1"/>
  <c r="G518" i="9" a="1"/>
  <c r="D13" i="9" a="1"/>
  <c r="G493" i="9" a="1"/>
  <c r="E218" i="9" a="1"/>
  <c r="E117" i="9" a="1"/>
  <c r="F379" i="9" a="1"/>
  <c r="E123" i="9" a="1"/>
  <c r="E559" i="9" a="1"/>
  <c r="E164" i="9" a="1"/>
  <c r="E446" i="9" a="1"/>
  <c r="F245" i="9" a="1"/>
  <c r="F828" i="9" a="1"/>
  <c r="G469" i="9" a="1"/>
  <c r="E955" i="9" a="1"/>
  <c r="F980" i="9" a="1"/>
  <c r="E873" i="9" a="1"/>
  <c r="G553" i="9" a="1"/>
  <c r="F410" i="9" a="1"/>
  <c r="F826" i="9" a="1"/>
  <c r="E725" i="9" a="1"/>
  <c r="E25" i="9" a="1"/>
  <c r="F206" i="9" a="1"/>
  <c r="F117" i="9" a="1"/>
  <c r="G512" i="9" a="1"/>
  <c r="E128" i="9" a="1"/>
  <c r="F640" i="9" a="1"/>
  <c r="E42" i="9" a="1"/>
  <c r="G958" i="9" a="1"/>
  <c r="F804" i="9" a="1"/>
  <c r="F259" i="9" a="1"/>
  <c r="F878" i="9" a="1"/>
  <c r="G699" i="9" a="1"/>
  <c r="F635" i="9" a="1"/>
  <c r="F557" i="9" a="1"/>
  <c r="G746" i="9" a="1"/>
  <c r="F64" i="9" a="1"/>
  <c r="G832" i="9" a="1"/>
  <c r="D412" i="9" a="1"/>
  <c r="G507" i="9" a="1"/>
  <c r="E617" i="9" a="1"/>
  <c r="F490" i="9" a="1"/>
  <c r="F705" i="9" a="1"/>
  <c r="G758" i="9" a="1"/>
  <c r="E775" i="9" a="1"/>
  <c r="F990" i="9" a="1"/>
  <c r="F514" i="9" a="1"/>
  <c r="G851" i="9" a="1"/>
  <c r="E486" i="9" a="1"/>
  <c r="E239" i="9" a="1"/>
  <c r="F212" i="9" a="1"/>
  <c r="F261" i="9" a="1"/>
  <c r="F809" i="9" a="1"/>
  <c r="G450" i="9" a="1"/>
  <c r="E88" i="9" a="1"/>
  <c r="G498" i="9" a="1"/>
  <c r="F55" i="9" a="1"/>
  <c r="F928" i="9" a="1"/>
  <c r="G635" i="9" a="1"/>
  <c r="G769" i="9" a="1"/>
  <c r="E242" i="9" a="1"/>
  <c r="F831" i="9" a="1"/>
  <c r="E673" i="9" a="1"/>
  <c r="F287" i="9" a="1"/>
  <c r="G664" i="9" a="1"/>
  <c r="E226" i="9" a="1"/>
  <c r="F526" i="9" a="1"/>
  <c r="F994" i="9" a="1"/>
  <c r="G759" i="9" a="1"/>
  <c r="F986" i="9" a="1"/>
  <c r="G939" i="9" a="1"/>
  <c r="D106" i="9" a="1"/>
  <c r="G483" i="9" a="1"/>
  <c r="E318" i="9" a="1"/>
  <c r="F445" i="9" a="1"/>
  <c r="F53" i="9" a="1"/>
  <c r="F593" i="9" a="1"/>
  <c r="E21" i="9" a="1"/>
  <c r="F689" i="9" a="1"/>
  <c r="F502" i="9" a="1"/>
  <c r="F522" i="9" a="1"/>
  <c r="E258" i="9" a="1"/>
  <c r="F902" i="9" a="1"/>
  <c r="F860" i="9" a="1"/>
  <c r="F736" i="9" a="1"/>
  <c r="F468" i="9" a="1"/>
  <c r="G782" i="9" a="1"/>
  <c r="G546" i="9" a="1"/>
  <c r="F29" i="9" a="1"/>
  <c r="F331" i="9" a="1"/>
  <c r="E667" i="9" a="1"/>
  <c r="F702" i="9" a="1"/>
  <c r="E190" i="9" a="1"/>
  <c r="F985" i="9" a="1"/>
  <c r="F485" i="9" a="1"/>
  <c r="F92" i="9" a="1"/>
  <c r="D486" i="9" a="1"/>
  <c r="F383" i="9" a="1"/>
  <c r="E224" i="9" a="1"/>
  <c r="G704" i="9" a="1"/>
  <c r="F412" i="9" a="1"/>
  <c r="F566" i="9" a="1"/>
  <c r="D33" i="9" a="1"/>
  <c r="F571" i="9" a="1"/>
  <c r="E411" i="9" a="1"/>
  <c r="F1002" i="9" a="1"/>
  <c r="G805" i="9" a="1"/>
  <c r="F824" i="9" a="1"/>
  <c r="F192" i="9" a="1"/>
  <c r="G516" i="9" a="1"/>
  <c r="E585" i="9" a="1"/>
  <c r="E307" i="9" a="1"/>
  <c r="F94" i="9" a="1"/>
  <c r="E237" i="9" a="1"/>
  <c r="F573" i="9" a="1"/>
  <c r="G667" i="9" a="1"/>
  <c r="F988" i="9" a="1"/>
  <c r="D163" i="9" a="1"/>
  <c r="G527" i="9" a="1"/>
  <c r="D578" i="9" a="1"/>
  <c r="G680" i="9" a="1"/>
  <c r="G766" i="9" a="1"/>
  <c r="F423" i="9" a="1"/>
  <c r="G657" i="9" a="1"/>
  <c r="G724" i="9" a="1"/>
  <c r="G488" i="9" a="1"/>
  <c r="G703" i="9" a="1"/>
  <c r="E323" i="9" a="1"/>
  <c r="G565" i="9" a="1"/>
  <c r="D205" i="9" a="1"/>
  <c r="D564" i="9" a="1"/>
  <c r="F604" i="9" a="1"/>
  <c r="F910" i="9" a="1"/>
  <c r="D324" i="9" a="1"/>
  <c r="D47" i="9" a="1"/>
  <c r="G783" i="9" a="1"/>
  <c r="D694" i="9" a="1"/>
  <c r="G922" i="9" a="1"/>
  <c r="D513" i="9" a="1"/>
  <c r="F6" i="9" a="1"/>
  <c r="G457" i="9" a="1"/>
  <c r="F23" i="9" a="1"/>
  <c r="F306" i="9" a="1"/>
  <c r="G967" i="9" a="1"/>
  <c r="G935" i="9" a="1"/>
  <c r="G777" i="9" a="1"/>
  <c r="F608" i="9" a="1"/>
  <c r="D240" i="9" a="1"/>
  <c r="F103" i="9" a="1"/>
  <c r="D538" i="9" a="1"/>
  <c r="E757" i="9" a="1"/>
  <c r="F292" i="9" a="1"/>
  <c r="G486" i="9" a="1"/>
  <c r="G500" i="9" a="1"/>
  <c r="F465" i="9" a="1"/>
  <c r="G601" i="9" a="1"/>
  <c r="E290" i="9" a="1"/>
  <c r="G888" i="9" a="1"/>
  <c r="E127" i="9" a="1"/>
  <c r="D267" i="9" a="1"/>
  <c r="E325" i="9" a="1"/>
  <c r="E755" i="9" a="1"/>
  <c r="G982" i="9" a="1"/>
  <c r="F108" i="9" a="1"/>
  <c r="E367" i="9" a="1"/>
  <c r="E112" i="9" a="1"/>
  <c r="F840" i="9" a="1"/>
  <c r="E29" i="9" a="1"/>
  <c r="D391" i="9" a="1"/>
  <c r="G513" i="9" a="1"/>
  <c r="F984" i="9" a="1"/>
  <c r="E333" i="9" a="1"/>
  <c r="E326" i="9" a="1"/>
  <c r="G994" i="9" a="1"/>
  <c r="F580" i="9" a="1"/>
  <c r="F41" i="9" a="1"/>
  <c r="F439" i="9" a="1"/>
  <c r="E460" i="9" a="1"/>
  <c r="E659" i="9" a="1"/>
  <c r="E557" i="9" a="1"/>
  <c r="F213" i="9" a="1"/>
  <c r="G751" i="9" a="1"/>
  <c r="F491" i="9" a="1"/>
  <c r="F305" i="9" a="1"/>
  <c r="F123" i="9" a="1"/>
  <c r="E628" i="9" a="1"/>
  <c r="F834" i="9" a="1"/>
  <c r="E595" i="9" a="1"/>
  <c r="E420" i="9" a="1"/>
  <c r="D537" i="9" a="1"/>
  <c r="D362" i="9" a="1"/>
  <c r="D209" i="9" a="1"/>
  <c r="E797" i="9" a="1"/>
  <c r="E494" i="9" a="1"/>
  <c r="F925" i="9" a="1"/>
  <c r="G996" i="9" a="1"/>
  <c r="F538" i="9" a="1"/>
  <c r="F155" i="9" a="1"/>
  <c r="F962" i="9" a="1"/>
  <c r="E92" i="9" a="1"/>
  <c r="G477" i="9" a="1"/>
  <c r="G865" i="9" a="1"/>
  <c r="F659" i="9" a="1"/>
  <c r="F597" i="9" a="1"/>
  <c r="G634" i="9" a="1"/>
  <c r="F433" i="9" a="1"/>
  <c r="D650" i="9" a="1"/>
  <c r="G451" i="9" a="1"/>
  <c r="E921" i="9" a="1"/>
  <c r="F654" i="9" a="1"/>
  <c r="F618" i="9" a="1"/>
  <c r="F227" i="9" a="1"/>
  <c r="F854" i="9" a="1"/>
  <c r="F327" i="9" a="1"/>
  <c r="F105" i="9" a="1"/>
  <c r="F149" i="9" a="1"/>
  <c r="F286" i="9" a="1"/>
  <c r="E761" i="9" a="1"/>
  <c r="G817" i="9" a="1"/>
  <c r="G993" i="9" a="1"/>
  <c r="F696" i="9" a="1"/>
  <c r="F483" i="9" a="1"/>
  <c r="F959" i="9" a="1"/>
  <c r="G463" i="9" a="1"/>
  <c r="F397" i="9" a="1"/>
  <c r="F875" i="9" a="1"/>
  <c r="D177" i="9" a="1"/>
  <c r="F257" i="9" a="1"/>
  <c r="F316" i="9" a="1"/>
  <c r="F277" i="9" a="1"/>
  <c r="E363" i="9" a="1"/>
  <c r="F285" i="9" a="1"/>
  <c r="F772" i="9" a="1"/>
  <c r="F766" i="9" a="1"/>
  <c r="F210" i="9" a="1"/>
  <c r="E55" i="9" a="1"/>
  <c r="D307" i="9" a="1"/>
  <c r="G875" i="9" a="1"/>
  <c r="G589" i="9" a="1"/>
  <c r="E247" i="9" a="1"/>
  <c r="F184" i="9" a="1"/>
  <c r="G612" i="9" a="1"/>
  <c r="G736" i="9" a="1"/>
  <c r="F638" i="9" a="1"/>
  <c r="G818" i="9" a="1"/>
  <c r="E385" i="9" a="1"/>
  <c r="G745" i="9" a="1"/>
  <c r="F947" i="9" a="1"/>
  <c r="G979" i="9" a="1"/>
  <c r="G587" i="9" a="1"/>
  <c r="E893" i="9" a="1"/>
  <c r="E470" i="9" a="1"/>
  <c r="E608" i="9" a="1"/>
  <c r="F547" i="9" a="1"/>
  <c r="F315" i="9" a="1"/>
  <c r="G991" i="9" a="1"/>
  <c r="F515" i="9" a="1"/>
  <c r="G505" i="9" a="1"/>
  <c r="F428" i="9" a="1"/>
  <c r="F977" i="9" a="1"/>
  <c r="F589" i="9" a="1"/>
  <c r="D520" i="9" a="1"/>
  <c r="F555" i="9" a="1"/>
  <c r="F381" i="9" a="1"/>
  <c r="F233" i="9" a="1"/>
  <c r="F260" i="9" a="1"/>
  <c r="F839" i="9" a="1"/>
  <c r="G568" i="9" a="1"/>
  <c r="G624" i="9" a="1"/>
  <c r="E547" i="9" a="1"/>
  <c r="G714" i="9" a="1"/>
  <c r="F242" i="9" a="1"/>
  <c r="F480" i="9" a="1"/>
  <c r="E137" i="9" a="1"/>
  <c r="G794" i="9" a="1"/>
  <c r="G459" i="9" a="1"/>
  <c r="F351" i="9" a="1"/>
  <c r="F501" i="9" a="1"/>
  <c r="F370" i="9" a="1"/>
  <c r="F258" i="9" a="1"/>
  <c r="E263" i="9" a="1"/>
  <c r="G893" i="9" a="1"/>
  <c r="G474" i="9" a="1"/>
  <c r="G551" i="9" a="1"/>
  <c r="E163" i="9" a="1"/>
  <c r="D411" i="9" a="1"/>
  <c r="F948" i="9" a="1"/>
  <c r="E400" i="9" a="1"/>
  <c r="F685" i="9" a="1"/>
  <c r="E214" i="9" a="1"/>
  <c r="G936" i="9" a="1"/>
  <c r="G899" i="9" a="1"/>
  <c r="G998" i="9" a="1"/>
  <c r="F598" i="9" a="1"/>
  <c r="F628" i="9" a="1"/>
  <c r="F329" i="9" a="1"/>
  <c r="E579" i="9" a="1"/>
  <c r="G508" i="9" a="1"/>
  <c r="F889" i="9" a="1"/>
  <c r="G857" i="9" a="1"/>
  <c r="F298" i="9" a="1"/>
  <c r="G748" i="9" a="1"/>
  <c r="G734" i="9" a="1"/>
  <c r="G778" i="9" a="1"/>
  <c r="F600" i="9" a="1"/>
  <c r="G549" i="9" a="1"/>
  <c r="F427" i="9" a="1"/>
  <c r="G976" i="9" a="1"/>
  <c r="F775" i="9" a="1"/>
  <c r="D642" i="9" a="1"/>
  <c r="G670" i="9" a="1"/>
  <c r="F68" i="9" a="1"/>
  <c r="E997" i="9" a="1"/>
  <c r="E154" i="9" a="1"/>
  <c r="F395" i="9" a="1"/>
  <c r="D78" i="9" a="1"/>
  <c r="F238" i="9" a="1"/>
  <c r="F788" i="9" a="1"/>
  <c r="G578" i="9" a="1"/>
  <c r="G847" i="9" a="1"/>
  <c r="F63" i="9" a="1"/>
  <c r="F388" i="9" a="1"/>
  <c r="G462" i="9" a="1"/>
  <c r="G792" i="9" a="1"/>
  <c r="F507" i="9" a="1"/>
  <c r="F7" i="9" a="1"/>
  <c r="F630" i="9" a="1"/>
  <c r="F520" i="9" a="1"/>
  <c r="F484" i="9" a="1"/>
  <c r="F135" i="9" a="1"/>
  <c r="F282" i="9" a="1"/>
  <c r="F487" i="9" a="1"/>
  <c r="F964" i="9" a="1"/>
  <c r="F783" i="9" a="1"/>
  <c r="G597" i="9" a="1"/>
  <c r="F393" i="9" a="1"/>
  <c r="E56" i="9" a="1"/>
  <c r="F470" i="9" a="1"/>
  <c r="G620" i="9" a="1"/>
  <c r="G538" i="9" a="1"/>
  <c r="E188" i="9" a="1"/>
  <c r="E310" i="9" a="1"/>
  <c r="E552" i="9" a="1"/>
  <c r="F240" i="9" a="1"/>
  <c r="F60" i="9" a="1"/>
  <c r="F716" i="9" a="1"/>
  <c r="F158" i="9" a="1"/>
  <c r="E580" i="9" a="1"/>
  <c r="F144" i="9" a="1"/>
  <c r="D103" i="9" a="1"/>
  <c r="G956" i="9" a="1"/>
  <c r="E314" i="9" a="1"/>
  <c r="G592" i="9" a="1"/>
  <c r="G557" i="9" a="1"/>
  <c r="G833" i="9" a="1"/>
  <c r="E36" i="9" a="1"/>
  <c r="E345" i="9" a="1"/>
  <c r="E907" i="9" a="1"/>
  <c r="G639" i="9" a="1"/>
  <c r="E922" i="9" a="1"/>
  <c r="F675" i="9" a="1"/>
  <c r="G532" i="9" a="1"/>
  <c r="F968" i="9" a="1"/>
  <c r="F648" i="9" a="1"/>
  <c r="E837" i="9" a="1"/>
  <c r="F591" i="9" a="1"/>
  <c r="F254" i="9" a="1"/>
  <c r="F795" i="9" a="1"/>
  <c r="F365" i="9" a="1"/>
  <c r="F199" i="9" a="1"/>
  <c r="G941" i="9" a="1"/>
  <c r="G801" i="9" a="1"/>
  <c r="F411" i="9" a="1"/>
  <c r="E229" i="9" a="1"/>
  <c r="F951" i="9" a="1"/>
  <c r="E707" i="9" a="1"/>
  <c r="D512" i="9" a="1"/>
  <c r="F542" i="9" a="1"/>
  <c r="E498" i="9" a="1"/>
  <c r="F349" i="9" a="1"/>
  <c r="F474" i="9" a="1"/>
  <c r="E348" i="9" a="1"/>
  <c r="E605" i="9" a="1"/>
  <c r="E920" i="9" a="1"/>
  <c r="F530" i="9" a="1"/>
  <c r="G892" i="9" a="1"/>
  <c r="E455" i="9" a="1"/>
  <c r="F407" i="9" a="1"/>
  <c r="F672" i="9" a="1"/>
  <c r="D487" i="9" a="1"/>
  <c r="F359" i="9" a="1"/>
  <c r="G807" i="9" a="1"/>
  <c r="F511" i="9" a="1"/>
  <c r="E593" i="9" a="1"/>
  <c r="F283" i="9" a="1"/>
  <c r="F603" i="9" a="1"/>
  <c r="D381" i="9" a="1"/>
  <c r="D118" i="9" a="1"/>
  <c r="F621" i="9" a="1"/>
  <c r="F463" i="9" a="1"/>
  <c r="F647" i="9" a="1"/>
  <c r="E49" i="9" a="1"/>
  <c r="F639" i="9" a="1"/>
  <c r="G787" i="9" a="1"/>
  <c r="F275" i="9" a="1"/>
  <c r="E353" i="9" a="1"/>
  <c r="E443" i="9" a="1"/>
  <c r="D113" i="9" a="1"/>
  <c r="E984" i="9" a="1"/>
  <c r="D335" i="9" a="1"/>
  <c r="G772" i="9" a="1"/>
  <c r="A46" i="9" a="1"/>
  <c r="G816" i="9" a="1"/>
  <c r="E158" i="9" a="1"/>
  <c r="E248" i="9" a="1"/>
  <c r="G768" i="9" a="1"/>
  <c r="E575" i="9" a="1"/>
  <c r="G929" i="9" a="1"/>
  <c r="F243" i="9" a="1"/>
  <c r="F528" i="9" a="1"/>
  <c r="F89" i="9" a="1"/>
  <c r="E729" i="9" a="1"/>
  <c r="G742" i="9" a="1"/>
  <c r="G841" i="9" a="1"/>
  <c r="F938" i="9" a="1"/>
  <c r="F737" i="9" a="1"/>
  <c r="E578" i="9" a="1"/>
  <c r="E286" i="9" a="1"/>
  <c r="F718" i="9" a="1"/>
  <c r="E65" i="9" a="1"/>
  <c r="E176" i="9" a="1"/>
  <c r="G501" i="9" a="1"/>
  <c r="D483" i="9" a="1"/>
  <c r="D179" i="9" a="1"/>
  <c r="D595" i="9" a="1"/>
  <c r="D637" i="9" a="1"/>
  <c r="F713" i="9" a="1"/>
  <c r="E918" i="9" a="1"/>
  <c r="E985" i="9" a="1"/>
  <c r="D618" i="9" a="1"/>
  <c r="D620" i="9" a="1"/>
  <c r="F532" i="9" a="1"/>
  <c r="F853" i="9" a="1"/>
  <c r="E705" i="9" a="1"/>
  <c r="F849" i="9" a="1"/>
  <c r="E826" i="9" a="1"/>
  <c r="D259" i="9" a="1"/>
  <c r="E54" i="9" a="1"/>
  <c r="D611" i="9" a="1"/>
  <c r="E270" i="9" a="1"/>
  <c r="F743" i="9" a="1"/>
  <c r="E657" i="9" a="1"/>
  <c r="F681" i="9" a="1"/>
  <c r="E439" i="9" a="1"/>
  <c r="D633" i="9" a="1"/>
  <c r="E161" i="9" a="1"/>
  <c r="E749" i="9" a="1"/>
  <c r="F671" i="9" a="1"/>
  <c r="F27" i="9" a="1"/>
  <c r="F733" i="9" a="1"/>
  <c r="G880" i="9" a="1"/>
  <c r="G448" i="9" a="1"/>
  <c r="F455" i="9" a="1"/>
  <c r="F790" i="9" a="1"/>
  <c r="F56" i="9" a="1"/>
  <c r="E58" i="9" a="1"/>
  <c r="F312" i="9" a="1"/>
  <c r="F572" i="9" a="1"/>
  <c r="E287" i="9" a="1"/>
  <c r="G454" i="9" a="1"/>
  <c r="F750" i="9" a="1"/>
  <c r="G460" i="9" a="1"/>
  <c r="G618" i="9" a="1"/>
  <c r="E888" i="9" a="1"/>
  <c r="G559" i="9" a="1"/>
  <c r="G983" i="9" a="1"/>
  <c r="G594" i="9" a="1"/>
  <c r="D9" i="9" a="1"/>
  <c r="G515" i="9" a="1"/>
  <c r="F613" i="9" a="1"/>
  <c r="F539" i="9" a="1"/>
  <c r="G526" i="9" a="1"/>
  <c r="G950" i="9" a="1"/>
  <c r="F90" i="9" a="1"/>
  <c r="F469" i="9" a="1"/>
  <c r="F899" i="9" a="1"/>
  <c r="F207" i="9" a="1"/>
  <c r="G599" i="9" a="1"/>
  <c r="F541" i="9" a="1"/>
  <c r="E830" i="9" a="1"/>
  <c r="E204" i="9" a="1"/>
  <c r="E681" i="9" a="1"/>
  <c r="E397" i="9" a="1"/>
  <c r="E543" i="9" a="1"/>
  <c r="F148" i="9" a="1"/>
  <c r="F125" i="9" a="1"/>
  <c r="F303" i="9" a="1"/>
  <c r="E515" i="9" a="1"/>
  <c r="E770" i="9" a="1"/>
  <c r="D551" i="9" a="1"/>
  <c r="G962" i="9" a="1"/>
  <c r="E905" i="9" a="1"/>
  <c r="G489" i="9" a="1"/>
  <c r="F229" i="9" a="1"/>
  <c r="E76" i="9" a="1"/>
  <c r="F503" i="9" a="1"/>
  <c r="E254" i="9" a="1"/>
  <c r="E20" i="9" a="1"/>
  <c r="F699" i="9" a="1"/>
  <c r="F253" i="9" a="1"/>
  <c r="F655" i="9" a="1"/>
  <c r="E624" i="9" a="1"/>
  <c r="F798" i="9" a="1"/>
  <c r="F879" i="9" a="1"/>
  <c r="G521" i="9" a="1"/>
  <c r="G945" i="9" a="1"/>
  <c r="F979" i="9" a="1"/>
  <c r="G631" i="9" a="1"/>
  <c r="E119" i="9" a="1"/>
  <c r="E162" i="9" a="1"/>
  <c r="F946" i="9" a="1"/>
  <c r="G554" i="9" a="1"/>
  <c r="G924" i="9" a="1"/>
  <c r="F450" i="9" a="1"/>
  <c r="F69" i="9" a="1"/>
  <c r="G596" i="9" a="1"/>
  <c r="F475" i="9" a="1"/>
  <c r="D171" i="9" a="1"/>
  <c r="G467" i="9" a="1"/>
  <c r="G540" i="9" a="1"/>
  <c r="G923" i="9" a="1"/>
  <c r="G492" i="9" a="1"/>
  <c r="F372" i="9" a="1"/>
  <c r="F495" i="9" a="1"/>
  <c r="F122" i="9" a="1"/>
  <c r="F367" i="9" a="1"/>
  <c r="G988" i="9" a="1"/>
  <c r="F521" i="9" a="1"/>
  <c r="G522" i="9" a="1"/>
  <c r="F462" i="9" a="1"/>
  <c r="F143" i="9" a="1"/>
  <c r="G877" i="9" a="1"/>
  <c r="G984" i="9" a="1"/>
  <c r="G946" i="9" a="1"/>
  <c r="F978" i="9" a="1"/>
  <c r="G973" i="9" a="1"/>
  <c r="G579" i="9" a="1"/>
  <c r="G566" i="9" a="1"/>
  <c r="F665" i="9" a="1"/>
  <c r="E782" i="9" a="1"/>
  <c r="G647" i="9" a="1"/>
  <c r="F477" i="9" a="1"/>
  <c r="G878" i="9" a="1"/>
  <c r="E479" i="9" a="1"/>
  <c r="G695" i="9" a="1"/>
  <c r="F459" i="9" a="1"/>
  <c r="F998" i="9" a="1"/>
  <c r="F36" i="9" a="1"/>
  <c r="E28" i="9" a="1"/>
  <c r="F250" i="9" a="1"/>
  <c r="F408" i="9" a="1"/>
  <c r="G673" i="9" a="1"/>
  <c r="E282" i="9" a="1"/>
  <c r="F976" i="9" a="1"/>
  <c r="F120" i="9" a="1"/>
  <c r="E828" i="9" a="1"/>
  <c r="D533" i="9" a="1"/>
  <c r="E372" i="9" a="1"/>
  <c r="G495" i="9" a="1"/>
  <c r="F310" i="9" a="1"/>
  <c r="G547" i="9" a="1"/>
  <c r="E16" i="9" a="1"/>
  <c r="F43" i="9" a="1"/>
  <c r="F314" i="9" a="1"/>
  <c r="F508" i="9" a="1"/>
  <c r="G760" i="9" a="1"/>
  <c r="F556" i="9" a="1"/>
  <c r="G754" i="9" a="1"/>
  <c r="E454" i="9" a="1"/>
  <c r="F375" i="9" a="1"/>
  <c r="G650" i="9" a="1"/>
  <c r="F765" i="9" a="1"/>
  <c r="F396" i="9" a="1"/>
  <c r="F175" i="9" a="1"/>
  <c r="F867" i="9" a="1"/>
  <c r="F442" i="9" a="1"/>
  <c r="D447" i="9" a="1"/>
  <c r="F735" i="9" a="1"/>
  <c r="G499" i="9" a="1"/>
  <c r="F553" i="9" a="1"/>
  <c r="E101" i="9" a="1"/>
  <c r="F394" i="9" a="1"/>
  <c r="E591" i="9" a="1"/>
  <c r="G537" i="9" a="1"/>
  <c r="D159" i="9" a="1"/>
  <c r="G686" i="9" a="1"/>
  <c r="E421" i="9" a="1"/>
  <c r="F847" i="9" a="1"/>
  <c r="F360" i="9" a="1"/>
  <c r="G1000" i="9" a="1"/>
  <c r="G974" i="9" a="1"/>
  <c r="F698" i="9" a="1"/>
  <c r="G648" i="9" a="1"/>
  <c r="E269" i="9" a="1"/>
  <c r="F974" i="9" a="1"/>
  <c r="E532" i="9" a="1"/>
  <c r="G839" i="9" a="1"/>
  <c r="F415" i="9" a="1"/>
  <c r="E519" i="9" a="1"/>
  <c r="G808" i="9" a="1"/>
  <c r="F846" i="9" a="1"/>
  <c r="G905" i="9" a="1"/>
  <c r="G926" i="9" a="1"/>
  <c r="D27" i="9" a="1"/>
  <c r="G591" i="9" a="1"/>
  <c r="G573" i="9" a="1"/>
  <c r="G675" i="9" a="1"/>
  <c r="F966" i="9" a="1"/>
  <c r="F382" i="9" a="1"/>
  <c r="F924" i="9" a="1"/>
  <c r="G906" i="9" a="1"/>
  <c r="G913" i="9" a="1"/>
  <c r="F500" i="9" a="1"/>
  <c r="D527" i="9" a="1"/>
  <c r="E778" i="9" a="1"/>
  <c r="F8" i="9" a="1"/>
  <c r="G999" i="9" a="1"/>
  <c r="F19" i="9" a="1"/>
  <c r="F52" i="9" a="1"/>
  <c r="F829" i="9" a="1"/>
  <c r="F142" i="9" a="1"/>
  <c r="G741" i="9" a="1"/>
  <c r="E166" i="9" a="1"/>
  <c r="E660" i="9" a="1"/>
  <c r="F179" i="9" a="1"/>
  <c r="E98" i="9" a="1"/>
  <c r="E52" i="9" a="1"/>
  <c r="F866" i="9" a="1"/>
  <c r="F454" i="9" a="1"/>
  <c r="G992" i="9" a="1"/>
  <c r="E434" i="9" a="1"/>
  <c r="F486" i="9" a="1"/>
  <c r="G615" i="9" a="1"/>
  <c r="F918" i="9" a="1"/>
  <c r="G569" i="9" a="1"/>
  <c r="F518" i="9" a="1"/>
  <c r="F479" i="9" a="1"/>
  <c r="E422" i="9" a="1"/>
  <c r="F429" i="9" a="1"/>
  <c r="F667" i="9" a="1"/>
  <c r="D91" i="9" a="1"/>
  <c r="G814" i="9" a="1"/>
  <c r="F693" i="9" a="1"/>
  <c r="F688" i="9" a="1"/>
  <c r="G691" i="9" a="1"/>
  <c r="G837" i="9" a="1"/>
  <c r="G911" i="9" a="1"/>
  <c r="G720" i="9" a="1"/>
  <c r="E616" i="9" a="1"/>
  <c r="F174" i="9" a="1"/>
  <c r="G942" i="9" a="1"/>
  <c r="G455" i="9" a="1"/>
  <c r="F113" i="9" a="1"/>
  <c r="G943" i="9" a="1"/>
  <c r="F971" i="9" a="1"/>
  <c r="D24" i="9" a="1"/>
  <c r="G646" i="9" a="1"/>
  <c r="F409" i="9" a="1"/>
  <c r="G1001" i="9" a="1"/>
  <c r="F198" i="9" a="1"/>
  <c r="E338" i="9" a="1"/>
  <c r="E219" i="9" a="1"/>
  <c r="F104" i="9" a="1"/>
  <c r="G863" i="9" a="1"/>
  <c r="F38" i="9" a="1"/>
  <c r="F543" i="9" a="1"/>
  <c r="G682" i="9" a="1"/>
  <c r="D351" i="9" a="1"/>
  <c r="D594" i="9" a="1"/>
  <c r="A632" i="9" a="1"/>
  <c r="F374" i="9" a="1"/>
  <c r="E116" i="9" a="1"/>
  <c r="G737" i="9" a="1"/>
  <c r="D653" i="9" a="1"/>
  <c r="G897" i="9" a="1"/>
  <c r="G800" i="9" a="1"/>
  <c r="E74" i="9" a="1"/>
  <c r="G902" i="9" a="1"/>
  <c r="G577" i="9" a="1"/>
  <c r="G806" i="9" a="1"/>
  <c r="D149" i="9" a="1"/>
  <c r="E153" i="9" a="1"/>
  <c r="D890" i="9" a="1"/>
  <c r="G909" i="9" a="1"/>
  <c r="G530" i="9" a="1"/>
  <c r="F706" i="9" a="1"/>
  <c r="F632" i="9" a="1"/>
  <c r="E442" i="9" a="1"/>
  <c r="D243" i="9" a="1"/>
  <c r="G717" i="9" a="1"/>
  <c r="D428" i="9" a="1"/>
  <c r="E350" i="9" a="1"/>
  <c r="D603" i="9" a="1"/>
  <c r="A778" i="9" a="1"/>
  <c r="D540" i="9" a="1"/>
  <c r="G655" i="9" a="1"/>
  <c r="E739" i="9" a="1"/>
  <c r="F498" i="9" a="1"/>
  <c r="D225" i="9" a="1"/>
  <c r="F194" i="9" a="1"/>
  <c r="E66" i="9" a="1"/>
  <c r="F724" i="9" a="1"/>
  <c r="E181" i="9" a="1"/>
  <c r="E120" i="9" a="1"/>
  <c r="E573" i="9" a="1"/>
  <c r="G613" i="9" a="1"/>
  <c r="E131" i="9" a="1"/>
  <c r="E523" i="9" a="1"/>
  <c r="F446" i="9" a="1"/>
  <c r="F844" i="9" a="1"/>
  <c r="D384" i="9" a="1"/>
  <c r="D352" i="9" a="1"/>
  <c r="F161" i="9" a="1"/>
  <c r="E849" i="9" a="1"/>
  <c r="F782" i="9" a="1"/>
  <c r="F560" i="9" a="1"/>
  <c r="E472" i="9" a="1"/>
  <c r="D296" i="9" a="1"/>
  <c r="F606" i="9" a="1"/>
  <c r="F935" i="9" a="1"/>
  <c r="F734" i="9" a="1"/>
  <c r="G961" i="9" a="1"/>
  <c r="F141" i="9" a="1"/>
  <c r="G556" i="9" a="1"/>
  <c r="E305" i="9" a="1"/>
  <c r="D254" i="9" a="1"/>
  <c r="E357" i="9" a="1"/>
  <c r="G621" i="9" a="1"/>
  <c r="F343" i="9" a="1"/>
  <c r="E82" i="9" a="1"/>
  <c r="F687" i="9" a="1"/>
  <c r="E198" i="9" a="1"/>
  <c r="E159" i="9" a="1"/>
  <c r="F35" i="9" a="1"/>
  <c r="F219" i="9" a="1"/>
  <c r="G710" i="9" a="1"/>
  <c r="G610" i="9" a="1"/>
  <c r="G764" i="9" a="1"/>
  <c r="G825" i="9" a="1"/>
  <c r="E195" i="9" a="1"/>
  <c r="F779" i="9" a="1"/>
  <c r="E590" i="9" a="1"/>
  <c r="F742" i="9" a="1"/>
  <c r="F923" i="9" a="1"/>
  <c r="F187" i="9" a="1"/>
  <c r="F165" i="9" a="1"/>
  <c r="G733" i="9" a="1"/>
  <c r="F345" i="9" a="1"/>
  <c r="F272" i="9" a="1"/>
  <c r="G870" i="9" a="1"/>
  <c r="F348" i="9" a="1"/>
  <c r="F318" i="9" a="1"/>
  <c r="G721" i="9" a="1"/>
  <c r="E598" i="9" a="1"/>
  <c r="F763" i="9" a="1"/>
  <c r="F160" i="9" a="1"/>
  <c r="G529" i="9" a="1"/>
  <c r="E942" i="9" a="1"/>
  <c r="F504" i="9" a="1"/>
  <c r="F816" i="9" a="1"/>
  <c r="E851" i="9" a="1"/>
  <c r="G848" i="9" a="1"/>
  <c r="F173" i="9" a="1"/>
  <c r="F940" i="9" a="1"/>
  <c r="E274" i="9" a="1"/>
  <c r="F489" i="9" a="1"/>
  <c r="G732" i="9" a="1"/>
  <c r="F773" i="9" a="1"/>
  <c r="G593" i="9" a="1"/>
  <c r="F153" i="9" a="1"/>
  <c r="F185" i="9" a="1"/>
  <c r="G989" i="9" a="1"/>
  <c r="F281" i="9" a="1"/>
  <c r="G728" i="9" a="1"/>
  <c r="G471" i="9" a="1"/>
  <c r="G753" i="9" a="1"/>
  <c r="F237" i="9" a="1"/>
  <c r="G779" i="9" a="1"/>
  <c r="G925" i="9" a="1"/>
  <c r="G533" i="9" a="1"/>
  <c r="F466" i="9" a="1"/>
  <c r="F873" i="9" a="1"/>
  <c r="G504" i="9" a="1"/>
  <c r="G914" i="9" a="1"/>
  <c r="F432" i="9" a="1"/>
  <c r="F350" i="9" a="1"/>
  <c r="F906" i="9" a="1"/>
  <c r="G585" i="9" a="1"/>
  <c r="F551" i="9" a="1"/>
  <c r="F890" i="9" a="1"/>
  <c r="E39" i="9" a="1"/>
  <c r="G666" i="9" a="1"/>
  <c r="G572" i="9" a="1"/>
  <c r="E640" i="9" a="1"/>
  <c r="F402" i="9" a="1"/>
  <c r="G625" i="9" a="1"/>
  <c r="F377" i="9" a="1"/>
  <c r="G780" i="9" a="1"/>
  <c r="D29" i="9" a="1"/>
  <c r="F544" i="9" a="1"/>
  <c r="G744" i="9" a="1"/>
  <c r="E427" i="9" a="1"/>
  <c r="E853" i="9" a="1"/>
  <c r="F563" i="9" a="1"/>
  <c r="F912" i="9" a="1"/>
  <c r="E819" i="9" a="1"/>
  <c r="F722" i="9" a="1"/>
  <c r="F536" i="9" a="1"/>
  <c r="F330" i="9" a="1"/>
  <c r="F863" i="9" a="1"/>
  <c r="D516" i="9" a="1"/>
  <c r="F835" i="9" a="1"/>
  <c r="E525" i="9" a="1"/>
  <c r="E702" i="9" a="1"/>
  <c r="G761" i="9" a="1"/>
  <c r="G959" i="9" a="1"/>
  <c r="D425" i="9" a="1"/>
  <c r="G727" i="9" a="1"/>
  <c r="F72" i="9" a="1"/>
  <c r="G815" i="9" a="1"/>
  <c r="F425" i="9" a="1"/>
  <c r="F51" i="9" a="1"/>
  <c r="F82" i="9" a="1"/>
  <c r="D349" i="9" a="1"/>
  <c r="F762" i="9" a="1"/>
  <c r="E930" i="9" a="1"/>
  <c r="F291" i="9" a="1"/>
  <c r="F248" i="9" a="1"/>
  <c r="F599" i="9" a="1"/>
  <c r="F352" i="9" a="1"/>
  <c r="E614" i="9" a="1"/>
  <c r="F273" i="9" a="1"/>
  <c r="E392" i="9" a="1"/>
  <c r="E471" i="9" a="1"/>
  <c r="F413" i="9" a="1"/>
  <c r="E265" i="9" a="1"/>
  <c r="G853" i="9" a="1"/>
  <c r="F663" i="9" a="1"/>
  <c r="G660" i="9" a="1"/>
  <c r="D213" i="9" a="1"/>
  <c r="F209" i="9" a="1"/>
  <c r="G869" i="9" a="1"/>
  <c r="F780" i="9" a="1"/>
  <c r="E136" i="9" a="1"/>
  <c r="G480" i="9" a="1"/>
  <c r="F583" i="9" a="1"/>
  <c r="F171" i="9" a="1"/>
  <c r="E330" i="9" a="1"/>
  <c r="E221" i="9" a="1"/>
  <c r="G528" i="9" a="1"/>
  <c r="F731" i="9" a="1"/>
  <c r="F646" i="9" a="1"/>
  <c r="G995" i="9" a="1"/>
  <c r="G561" i="9" a="1"/>
  <c r="F488" i="9" a="1"/>
  <c r="F703" i="9" a="1"/>
  <c r="F274" i="9" a="1"/>
  <c r="F791" i="9" a="1"/>
  <c r="G846" i="9" a="1"/>
  <c r="F221" i="9" a="1"/>
  <c r="F642" i="9" a="1"/>
  <c r="F620" i="9" a="1"/>
  <c r="E876" i="9" a="1"/>
  <c r="F297" i="9" a="1"/>
  <c r="E567" i="9" a="1"/>
  <c r="E143" i="9" a="1"/>
  <c r="G963" i="9" a="1"/>
  <c r="F361" i="9" a="1"/>
  <c r="D387" i="9" a="1"/>
  <c r="F46" i="9" a="1"/>
  <c r="D519" i="9" a="1"/>
  <c r="E415" i="9" a="1"/>
  <c r="F453" i="9" a="1"/>
  <c r="E925" i="9" a="1"/>
  <c r="G804" i="9" a="1"/>
  <c r="G820" i="9" a="1"/>
  <c r="G581" i="9" a="1"/>
  <c r="E436" i="9" a="1"/>
  <c r="E644" i="9" a="1"/>
  <c r="E776" i="9" a="1"/>
  <c r="D536" i="9" a="1"/>
  <c r="E742" i="9" a="1"/>
  <c r="F579" i="9" a="1"/>
  <c r="G881" i="9" a="1"/>
  <c r="E354" i="9" a="1"/>
  <c r="E51" i="9" a="1"/>
  <c r="E537" i="9" a="1"/>
  <c r="E311" i="9" a="1"/>
  <c r="F406" i="9" a="1"/>
  <c r="G927" i="9" a="1"/>
  <c r="F622" i="9" a="1"/>
  <c r="F855" i="9" a="1"/>
  <c r="F720" i="9" a="1"/>
  <c r="F989" i="9" a="1"/>
  <c r="E14" i="9" a="1"/>
  <c r="E491" i="9" a="1"/>
  <c r="E815" i="9" a="1"/>
  <c r="D122" i="9" a="1"/>
  <c r="E444" i="9" a="1"/>
  <c r="D22" i="9" a="1"/>
  <c r="F59" i="9" a="1"/>
  <c r="E935" i="9" a="1"/>
  <c r="E584" i="9" a="1"/>
  <c r="F30" i="9" a="1"/>
  <c r="G735" i="9" a="1"/>
  <c r="E901" i="9" a="1"/>
  <c r="E321" i="9" a="1"/>
  <c r="E986" i="9" a="1"/>
  <c r="D773" i="9" a="1"/>
  <c r="F533" i="9" a="1"/>
  <c r="F304" i="9" a="1"/>
  <c r="G662" i="9" a="1"/>
  <c r="E67" i="9" a="1"/>
  <c r="F21" i="9" a="1"/>
  <c r="D222" i="9" a="1"/>
  <c r="A176" i="9" a="1"/>
  <c r="F182" i="9" a="1"/>
  <c r="F626" i="9" a="1"/>
  <c r="E63" i="9" a="1"/>
  <c r="D257" i="9" a="1"/>
  <c r="F954" i="9" a="1"/>
  <c r="D283" i="9" a="1"/>
  <c r="E488" i="9" a="1"/>
  <c r="F874" i="9" a="1"/>
  <c r="G641" i="9" a="1"/>
  <c r="G895" i="9" a="1"/>
  <c r="G903" i="9" a="1"/>
  <c r="G661" i="9" a="1"/>
  <c r="G835" i="9" a="1"/>
  <c r="G524" i="9" a="1"/>
  <c r="D183" i="9" a="1"/>
  <c r="G738" i="9" a="1"/>
  <c r="D585" i="9" a="1"/>
  <c r="D421" i="9" a="1"/>
  <c r="E382" i="9" a="1"/>
  <c r="E868" i="9" a="1"/>
  <c r="F819" i="9" a="1"/>
  <c r="F225" i="9" a="1"/>
  <c r="E124" i="9" a="1"/>
  <c r="E102" i="9" a="1"/>
  <c r="F139" i="9" a="1"/>
  <c r="E149" i="9" a="1"/>
  <c r="D186" i="9" a="1"/>
  <c r="D337" i="9" a="1"/>
  <c r="D898" i="9" a="1"/>
  <c r="D31" i="9" a="1"/>
  <c r="E827" i="9" a="1"/>
  <c r="G636" i="9" a="1"/>
  <c r="D582" i="9" a="1"/>
  <c r="G886" i="9" a="1"/>
  <c r="E393" i="9" a="1"/>
  <c r="F877" i="9" a="1"/>
  <c r="D88" i="9" a="1"/>
  <c r="F629" i="9" a="1"/>
  <c r="D15" i="9" a="1"/>
  <c r="F793" i="9" a="1"/>
  <c r="G534" i="9" a="1"/>
  <c r="F615" i="9" a="1"/>
  <c r="E324" i="9" a="1"/>
  <c r="G889" i="9" a="1"/>
  <c r="G789" i="9" a="1"/>
  <c r="F420" i="9" a="1"/>
  <c r="D133" i="9" a="1"/>
  <c r="F759" i="9" a="1"/>
  <c r="D417" i="9" a="1"/>
  <c r="E259" i="9" a="1"/>
  <c r="G606" i="9" a="1"/>
  <c r="D517" i="9" a="1"/>
  <c r="D559" i="9" a="1"/>
  <c r="F66" i="9" a="1"/>
  <c r="F896" i="9" a="1"/>
  <c r="E758" i="9" a="1"/>
  <c r="G827" i="9" a="1"/>
  <c r="D139" i="9" a="1"/>
  <c r="E875" i="9" a="1"/>
  <c r="E629" i="9" a="1"/>
  <c r="A221" i="9" a="1"/>
  <c r="G861" i="9" a="1"/>
  <c r="F228" i="9" a="1"/>
  <c r="G539" i="9" a="1"/>
  <c r="E825" i="9" a="1"/>
  <c r="F540" i="9" a="1"/>
  <c r="D172" i="9" a="1"/>
  <c r="F440" i="9" a="1"/>
  <c r="F9" i="9" a="1"/>
  <c r="E929" i="9" a="1"/>
  <c r="E271" i="9" a="1"/>
  <c r="E142" i="9" a="1"/>
  <c r="E747" i="9" a="1"/>
  <c r="D439" i="9" a="1"/>
  <c r="G907" i="9" a="1"/>
  <c r="F70" i="9" a="1"/>
  <c r="F916" i="9" a="1"/>
  <c r="G849" i="9" a="1"/>
  <c r="D532" i="9" a="1"/>
  <c r="D174" i="9" a="1"/>
  <c r="E396" i="9" a="1"/>
  <c r="G747" i="9" a="1"/>
  <c r="E435" i="9" a="1"/>
  <c r="G970" i="9" a="1"/>
  <c r="F777" i="9" a="1"/>
  <c r="F267" i="9" a="1"/>
  <c r="D298" i="9" a="1"/>
  <c r="F263" i="9" a="1"/>
  <c r="D314" i="9" a="1"/>
  <c r="F499" i="9" a="1"/>
  <c r="E483" i="9" a="1"/>
  <c r="D484" i="9" a="1"/>
  <c r="F836" i="9" a="1"/>
  <c r="E285" i="9" a="1"/>
  <c r="G757" i="9" a="1"/>
  <c r="E872" i="9" a="1"/>
  <c r="D423" i="9" a="1"/>
  <c r="F914" i="9" a="1"/>
  <c r="F941" i="9" a="1"/>
  <c r="G844" i="9" a="1"/>
  <c r="D397" i="9" a="1"/>
  <c r="F437" i="9" a="1"/>
  <c r="G716" i="9" a="1"/>
  <c r="G449" i="9" a="1"/>
  <c r="F963" i="9" a="1"/>
  <c r="E890" i="9" a="1"/>
  <c r="G749" i="9" a="1"/>
  <c r="F841" i="9" a="1"/>
  <c r="E255" i="9" a="1"/>
  <c r="G453" i="9" a="1"/>
  <c r="F37" i="9" a="1"/>
  <c r="E407" i="9" a="1"/>
  <c r="E197" i="9" a="1"/>
  <c r="E541" i="9" a="1"/>
  <c r="F709" i="9" a="1"/>
  <c r="F430" i="9" a="1"/>
  <c r="F711" i="9" a="1"/>
  <c r="E688" i="9" a="1"/>
  <c r="E157" i="9" a="1"/>
  <c r="G629" i="9" a="1"/>
  <c r="G531" i="9" a="1"/>
  <c r="F936" i="9" a="1"/>
  <c r="F130" i="9" a="1"/>
  <c r="F523" i="9" a="1"/>
  <c r="F559" i="9" a="1"/>
  <c r="G644" i="9" a="1"/>
  <c r="E505" i="9" a="1"/>
  <c r="D506" i="9" a="1"/>
  <c r="F320" i="9" a="1"/>
  <c r="E750" i="9" a="1"/>
  <c r="F550" i="9" a="1"/>
  <c r="E538" i="9" a="1"/>
  <c r="E175" i="9" a="1"/>
  <c r="E700" i="9" a="1"/>
  <c r="F880" i="9" a="1"/>
  <c r="E708" i="9" a="1"/>
  <c r="F725" i="9" a="1"/>
  <c r="E727" i="9" a="1"/>
  <c r="F339" i="9" a="1"/>
  <c r="D146" i="9" a="1"/>
  <c r="G491" i="9" a="1"/>
  <c r="D124" i="9" a="1"/>
  <c r="E12" i="9" a="1"/>
  <c r="D126" i="9" a="1"/>
  <c r="E675" i="9" a="1"/>
  <c r="D293" i="9" a="1"/>
  <c r="E556" i="9" a="1"/>
  <c r="E554" i="9" a="1"/>
  <c r="D289" i="9" a="1"/>
  <c r="E231" i="9" a="1"/>
  <c r="F362" i="9" a="1"/>
  <c r="D457" i="9" a="1"/>
  <c r="E960" i="9" a="1"/>
  <c r="F776" i="9" a="1"/>
  <c r="G567" i="9" a="1"/>
  <c r="D388" i="9" a="1"/>
  <c r="G900" i="9" a="1"/>
  <c r="G731" i="9" a="1"/>
  <c r="G855" i="9" a="1"/>
  <c r="F42" i="9" a="1"/>
  <c r="E535" i="9" a="1"/>
  <c r="D219" i="9" a="1"/>
  <c r="F416" i="9" a="1"/>
  <c r="F33" i="9" a="1"/>
  <c r="D712" i="9" a="1"/>
  <c r="E546" i="9" a="1"/>
  <c r="D803" i="9" a="1"/>
  <c r="F981" i="9" a="1"/>
  <c r="G770" i="9" a="1"/>
  <c r="E108" i="9" a="1"/>
  <c r="G690" i="9" a="1"/>
  <c r="F118" i="9" a="1"/>
  <c r="F645" i="9" a="1"/>
  <c r="F684" i="9" a="1"/>
  <c r="E389" i="9" a="1"/>
  <c r="E303" i="9" a="1"/>
  <c r="E773" i="9" a="1"/>
  <c r="D398" i="9" a="1"/>
  <c r="D571" i="9" a="1"/>
  <c r="H189" i="9" a="1"/>
  <c r="D90" i="9" a="1"/>
  <c r="E697" i="9" a="1"/>
  <c r="E294" i="9" a="1"/>
  <c r="D531" i="9" a="1"/>
  <c r="F102" i="9" a="1"/>
  <c r="D129" i="9" a="1"/>
  <c r="D461" i="9" a="1"/>
  <c r="F517" i="9" a="1"/>
  <c r="F132" i="9" a="1"/>
  <c r="F10" i="9" a="1"/>
  <c r="F99" i="9" a="1"/>
  <c r="E253" i="9" a="1"/>
  <c r="D138" i="9" a="1"/>
  <c r="E678" i="9" a="1"/>
  <c r="E588" i="9" a="1"/>
  <c r="E941" i="9" a="1"/>
  <c r="E822" i="9" a="1"/>
  <c r="F288" i="9" a="1"/>
  <c r="D260" i="9" a="1"/>
  <c r="F787" i="9" a="1"/>
  <c r="F738" i="9" a="1"/>
  <c r="E355" i="9" a="1"/>
  <c r="F152" i="9" a="1"/>
  <c r="E140" i="9" a="1"/>
  <c r="E619" i="9" a="1"/>
  <c r="F800" i="9" a="1"/>
  <c r="F851" i="9" a="1"/>
  <c r="E669" i="9" a="1"/>
  <c r="E70" i="9" a="1"/>
  <c r="F399" i="9" a="1"/>
  <c r="E558" i="9" a="1"/>
  <c r="E168" i="9" a="1"/>
  <c r="F295" i="9" a="1"/>
  <c r="D414" i="9" a="1"/>
  <c r="E602" i="9" a="1"/>
  <c r="G980" i="9" a="1"/>
  <c r="E845" i="9" a="1"/>
  <c r="E751" i="9" a="1"/>
  <c r="F814" i="9" a="1"/>
  <c r="A996" i="9" a="1"/>
  <c r="E634" i="9" a="1"/>
  <c r="G948" i="9" a="1"/>
  <c r="F28" i="9" a="1"/>
  <c r="E545" i="9" a="1"/>
  <c r="F535" i="9" a="1"/>
  <c r="D290" i="9" a="1"/>
  <c r="G616" i="9" a="1"/>
  <c r="G891" i="9" a="1"/>
  <c r="G576" i="9" a="1"/>
  <c r="F317" i="9" a="1"/>
  <c r="E957" i="9" a="1"/>
  <c r="E527" i="9" a="1"/>
  <c r="E781" i="9" a="1"/>
  <c r="E9" i="9" a="1"/>
  <c r="E693" i="9" a="1"/>
  <c r="G864" i="9" a="1"/>
  <c r="D294" i="9" a="1"/>
  <c r="E84" i="9" a="1"/>
  <c r="E895" i="9" a="1"/>
  <c r="E361" i="9" a="1"/>
  <c r="G821" i="9" a="1"/>
  <c r="F434" i="9" a="1"/>
  <c r="D215" i="9" a="1"/>
  <c r="F333" i="9" a="1"/>
  <c r="D431" i="9" a="1"/>
  <c r="E356" i="9" a="1"/>
  <c r="D102" i="9" a="1"/>
  <c r="E620" i="9" a="1"/>
  <c r="F342" i="9" a="1"/>
  <c r="F932" i="9" a="1"/>
  <c r="F85" i="9" a="1"/>
  <c r="F740" i="9" a="1"/>
  <c r="E194" i="9" a="1"/>
  <c r="D56" i="9" a="1"/>
  <c r="F576" i="9" a="1"/>
  <c r="D258" i="9" a="1"/>
  <c r="F810" i="9" a="1"/>
  <c r="G871" i="9" a="1"/>
  <c r="D502" i="9" a="1"/>
  <c r="F232" i="9" a="1"/>
  <c r="F546" i="9" a="1"/>
  <c r="F897" i="9" a="1"/>
  <c r="D841" i="9" a="1"/>
  <c r="E599" i="9" a="1"/>
  <c r="F656" i="9" a="1"/>
  <c r="F73" i="9" a="1"/>
  <c r="D613" i="9" a="1"/>
  <c r="E896" i="9" a="1"/>
  <c r="D405" i="9" a="1"/>
  <c r="G496" i="9" a="1"/>
  <c r="F353" i="9" a="1"/>
  <c r="E280" i="9" a="1"/>
  <c r="G829" i="9" a="1"/>
  <c r="F784" i="9" a="1"/>
  <c r="F45" i="9" a="1"/>
  <c r="E130" i="9" a="1"/>
  <c r="F418" i="9" a="1"/>
  <c r="E970" i="9" a="1"/>
  <c r="E809" i="9" a="1"/>
  <c r="E89" i="9" a="1"/>
  <c r="G930" i="9" a="1"/>
  <c r="E582" i="9" a="1"/>
  <c r="G563" i="9" a="1"/>
  <c r="F922" i="9" a="1"/>
  <c r="F686" i="9" a="1"/>
  <c r="F176" i="9" a="1"/>
  <c r="D560" i="9" a="1"/>
  <c r="E38" i="9" a="1"/>
  <c r="D396" i="9" a="1"/>
  <c r="F887" i="9" a="1"/>
  <c r="E64" i="9" a="1"/>
  <c r="E160" i="9" a="1"/>
  <c r="F134" i="9" a="1"/>
  <c r="G954" i="9" a="1"/>
  <c r="E246" i="9" a="1"/>
  <c r="F390" i="9" a="1"/>
  <c r="D19" i="9" a="1"/>
  <c r="D561" i="9" a="1"/>
  <c r="D931" i="9" a="1"/>
  <c r="E962" i="9" a="1"/>
  <c r="E68" i="9" a="1"/>
  <c r="E232" i="9" a="1"/>
  <c r="F438" i="9" a="1"/>
  <c r="G785" i="9" a="1"/>
  <c r="G971" i="9" a="1"/>
  <c r="D114" i="9" a="1"/>
  <c r="D669" i="9" a="1"/>
  <c r="D269" i="9" a="1"/>
  <c r="F943" i="9" a="1"/>
  <c r="F341" i="9" a="1"/>
  <c r="E900" i="9" a="1"/>
  <c r="E569" i="9" a="1"/>
  <c r="F86" i="9" a="1"/>
  <c r="F169" i="9" a="1"/>
  <c r="F848" i="9" a="1"/>
  <c r="E283" i="9" a="1"/>
  <c r="D651" i="9" a="1"/>
  <c r="G482" i="9" a="1"/>
  <c r="F811" i="9" a="1"/>
  <c r="F389" i="9" a="1"/>
  <c r="D330" i="9" a="1"/>
  <c r="F137" i="9" a="1"/>
  <c r="E73" i="9" a="1"/>
  <c r="E453" i="9" a="1"/>
  <c r="D50" i="9" a="1"/>
  <c r="F302" i="9" a="1"/>
  <c r="G617" i="9" a="1"/>
  <c r="E583" i="9" a="1"/>
  <c r="G977" i="9" a="1"/>
  <c r="G879" i="9" a="1"/>
  <c r="F803" i="9" a="1"/>
  <c r="D503" i="9" a="1"/>
  <c r="G872" i="9" a="1"/>
  <c r="F582" i="9" a="1"/>
  <c r="F992" i="9" a="1"/>
  <c r="D187" i="9" a="1"/>
  <c r="E212" i="9" a="1"/>
  <c r="E125" i="9" a="1"/>
  <c r="E829" i="9" a="1"/>
  <c r="E495" i="9" a="1"/>
  <c r="E456" i="9" a="1"/>
  <c r="D341" i="9" a="1"/>
  <c r="E764" i="9" a="1"/>
  <c r="D413" i="9" a="1"/>
  <c r="F364" i="9" a="1"/>
  <c r="E228" i="9" a="1"/>
  <c r="G514" i="9" a="1"/>
  <c r="G965" i="9" a="1"/>
  <c r="D30" i="9" a="1"/>
  <c r="F676" i="9" a="1"/>
  <c r="D117" i="9" a="1"/>
  <c r="F328" i="9" a="1"/>
  <c r="E178" i="9" a="1"/>
  <c r="D247" i="9" a="1"/>
  <c r="F112" i="9" a="1"/>
  <c r="F577" i="9" a="1"/>
  <c r="F18" i="9" a="1"/>
  <c r="F186" i="9" a="1"/>
  <c r="D409" i="9" a="1"/>
  <c r="F602" i="9" a="1"/>
  <c r="G910" i="9" a="1"/>
  <c r="G776" i="9" a="1"/>
  <c r="G637" i="9" a="1"/>
  <c r="F859" i="9" a="1"/>
  <c r="D438" i="9" a="1"/>
  <c r="F909" i="9" a="1"/>
  <c r="E6" i="9" a="1"/>
  <c r="D433" i="9" a="1"/>
  <c r="E122" i="9" a="1"/>
  <c r="F950" i="9" a="1"/>
  <c r="F154" i="9" a="1"/>
  <c r="F478" i="9" a="1"/>
  <c r="F627" i="9" a="1"/>
  <c r="F220" i="9" a="1"/>
  <c r="E380" i="9" a="1"/>
  <c r="G607" i="9" a="1"/>
  <c r="G626" i="9" a="1"/>
  <c r="F505" i="9" a="1"/>
  <c r="F678" i="9" a="1"/>
  <c r="E571" i="9" a="1"/>
  <c r="E548" i="9" a="1"/>
  <c r="E714" i="9" a="1"/>
  <c r="D666" i="9" a="1"/>
  <c r="E196" i="9" a="1"/>
  <c r="D80" i="9" a="1"/>
  <c r="F617" i="9" a="1"/>
  <c r="A779" i="9" a="1"/>
  <c r="E798" i="9" a="1"/>
  <c r="A898" i="9" a="1"/>
  <c r="A629" i="9" a="1"/>
  <c r="F224" i="9" a="1"/>
  <c r="D194" i="9" a="1"/>
  <c r="A470" i="9" a="1"/>
  <c r="A699" i="9" a="1"/>
  <c r="E944" i="9" a="1"/>
  <c r="E272" i="9" a="1"/>
  <c r="E210" i="9" a="1"/>
  <c r="D203" i="9" a="1"/>
  <c r="D127" i="9" a="1"/>
  <c r="F80" i="9" a="1"/>
  <c r="G548" i="9" a="1"/>
  <c r="E448" i="9" a="1"/>
  <c r="F308" i="9" a="1"/>
  <c r="F903" i="9" a="1"/>
  <c r="G681" i="9" a="1"/>
  <c r="D48" i="9" a="1"/>
  <c r="F401" i="9" a="1"/>
  <c r="E790" i="9" a="1"/>
  <c r="E877" i="9" a="1"/>
  <c r="E48" i="9" a="1"/>
  <c r="F930" i="9" a="1"/>
  <c r="E839" i="9" a="1"/>
  <c r="G452" i="9" a="1"/>
  <c r="E17" i="9" a="1"/>
  <c r="F452" i="9" a="1"/>
  <c r="G708" i="9" a="1"/>
  <c r="E655" i="9" a="1"/>
  <c r="E689" i="9" a="1"/>
  <c r="F957" i="9" a="1"/>
  <c r="E320" i="9" a="1"/>
  <c r="F967" i="9" a="1"/>
  <c r="D165" i="9" a="1"/>
  <c r="F677" i="9" a="1"/>
  <c r="G519" i="9" a="1"/>
  <c r="G951" i="9" a="1"/>
  <c r="E833" i="9" a="1"/>
  <c r="E322" i="9" a="1"/>
  <c r="G627" i="9" a="1"/>
  <c r="E334" i="9" a="1"/>
  <c r="F727" i="9" a="1"/>
  <c r="E692" i="9" a="1"/>
  <c r="G470" i="9" a="1"/>
  <c r="D155" i="9" a="1"/>
  <c r="F561" i="9" a="1"/>
  <c r="G975" i="9" a="1"/>
  <c r="F115" i="9" a="1"/>
  <c r="G953" i="9" a="1"/>
  <c r="E328" i="9" a="1"/>
  <c r="F385" i="9" a="1"/>
  <c r="D372" i="9" a="1"/>
  <c r="E881" i="9" a="1"/>
  <c r="F323" i="9" a="1"/>
  <c r="F862" i="9" a="1"/>
  <c r="G940" i="9" a="1"/>
  <c r="E152" i="9" a="1"/>
  <c r="E309" i="9" a="1"/>
  <c r="D490" i="9" a="1"/>
  <c r="E300" i="9" a="1"/>
  <c r="F833" i="9" a="1"/>
  <c r="F151" i="9" a="1"/>
  <c r="F739" i="9" a="1"/>
  <c r="E480" i="9" a="1"/>
  <c r="F549" i="9" a="1"/>
  <c r="F5" i="9" a="1"/>
  <c r="F861" i="9" a="1"/>
  <c r="F111" i="9" a="1"/>
  <c r="F719" i="9" a="1"/>
  <c r="D688" i="9" a="1"/>
  <c r="A30" i="9" a="1"/>
  <c r="E745" i="9" a="1"/>
  <c r="F357" i="9" a="1"/>
  <c r="E236" i="9" a="1"/>
  <c r="G684" i="9" a="1"/>
  <c r="G763" i="9" a="1"/>
  <c r="F476" i="9" a="1"/>
  <c r="F217" i="9" a="1"/>
  <c r="F512" i="9" a="1"/>
  <c r="D624" i="9" a="1"/>
  <c r="D278" i="9" a="1"/>
  <c r="F601" i="9" a="1"/>
  <c r="E910" i="9" a="1"/>
  <c r="D220" i="9" a="1"/>
  <c r="G715" i="9" a="1"/>
  <c r="F983" i="9" a="1"/>
  <c r="F384" i="9" a="1"/>
  <c r="F447" i="9" a="1"/>
  <c r="E273" i="9" a="1"/>
  <c r="A152" i="9" a="1"/>
  <c r="F464" i="9" a="1"/>
  <c r="D741" i="9" a="1"/>
  <c r="E156" i="9" a="1"/>
  <c r="E983" i="9" a="1"/>
  <c r="G917" i="9" a="1"/>
  <c r="F842" i="9" a="1"/>
  <c r="G952" i="9" a="1"/>
  <c r="E716" i="9" a="1"/>
  <c r="F121" i="9" a="1"/>
  <c r="E481" i="9" a="1"/>
  <c r="E597" i="9" a="1"/>
  <c r="E202" i="9" a="1"/>
  <c r="F837" i="9" a="1"/>
  <c r="F807" i="9" a="1"/>
  <c r="F146" i="9" a="1"/>
  <c r="D319" i="9" a="1"/>
  <c r="F163" i="9" a="1"/>
  <c r="E560" i="9" a="1"/>
  <c r="E760" i="9" a="1"/>
  <c r="E252" i="9" a="1"/>
  <c r="G729" i="9" a="1"/>
  <c r="E139" i="9" a="1"/>
  <c r="F796" i="9" a="1"/>
  <c r="D383" i="9" a="1"/>
  <c r="E841" i="9" a="1"/>
  <c r="F942" i="9" a="1"/>
  <c r="F235" i="9" a="1"/>
  <c r="D134" i="9" a="1"/>
  <c r="E466" i="9" a="1"/>
  <c r="E885" i="9" a="1"/>
  <c r="D184" i="9" a="1"/>
  <c r="F334" i="9" a="1"/>
  <c r="E874" i="9" a="1"/>
  <c r="F683" i="9" a="1"/>
  <c r="E316" i="9" a="1"/>
  <c r="F666" i="9" a="1"/>
  <c r="F246" i="9" a="1"/>
  <c r="E690" i="9" a="1"/>
  <c r="E301" i="9" a="1"/>
  <c r="G856" i="9" a="1"/>
  <c r="F915" i="9" a="1"/>
  <c r="E351" i="9" a="1"/>
  <c r="E45" i="9" a="1"/>
  <c r="F457" i="9" a="1"/>
  <c r="F732" i="9" a="1"/>
  <c r="D597" i="9" a="1"/>
  <c r="D68" i="9" a="1"/>
  <c r="D58" i="9" a="1"/>
  <c r="F400" i="9" a="1"/>
  <c r="F913" i="9" a="1"/>
  <c r="E561" i="9" a="1"/>
  <c r="E10" i="9" a="1"/>
  <c r="E185" i="9" a="1"/>
  <c r="F96" i="9" a="1"/>
  <c r="D230" i="9" a="1"/>
  <c r="E192" i="9" a="1"/>
  <c r="F87" i="9" a="1"/>
  <c r="F825" i="9" a="1"/>
  <c r="F448" i="9" a="1"/>
  <c r="D197" i="9" a="1"/>
  <c r="E861" i="9" a="1"/>
  <c r="A638" i="9" a="1"/>
  <c r="F700" i="9" a="1"/>
  <c r="G689" i="9" a="1"/>
  <c r="F806" i="9" a="1"/>
  <c r="E871" i="9" a="1"/>
  <c r="D200" i="9" a="1"/>
  <c r="E121" i="9" a="1"/>
  <c r="F373" i="9" a="1"/>
  <c r="F471" i="9" a="1"/>
  <c r="G476" i="9" a="1"/>
  <c r="E423" i="9" a="1"/>
  <c r="D271" i="9" a="1"/>
  <c r="E179" i="9" a="1"/>
  <c r="D430" i="9" a="1"/>
  <c r="F421" i="9" a="1"/>
  <c r="A17" i="9" a="1"/>
  <c r="E171" i="9" a="1"/>
  <c r="D865" i="9" a="1"/>
  <c r="D454" i="9" a="1"/>
  <c r="D34" i="9" a="1"/>
  <c r="D332" i="9" a="1"/>
  <c r="E91" i="9" a="1"/>
  <c r="E633" i="9" a="1"/>
  <c r="E964" i="9" a="1"/>
  <c r="F745" i="9" a="1"/>
  <c r="D774" i="9" a="1"/>
  <c r="G700" i="9" a="1"/>
  <c r="E61" i="9" a="1"/>
  <c r="F728" i="9" a="1"/>
  <c r="G773" i="9" a="1"/>
  <c r="F558" i="9" a="1"/>
  <c r="F884" i="9" a="1"/>
  <c r="F136" i="9" a="1"/>
  <c r="F252" i="9" a="1"/>
  <c r="E549" i="9" a="1"/>
  <c r="E863" i="9" a="1"/>
  <c r="E805" i="9" a="1"/>
  <c r="G876" i="9" a="1"/>
  <c r="F838" i="9" a="1"/>
  <c r="F129" i="9" a="1"/>
  <c r="F721" i="9" a="1"/>
  <c r="E551" i="9" a="1"/>
  <c r="G730" i="9" a="1"/>
  <c r="F934" i="9" a="1"/>
  <c r="E995" i="9" a="1"/>
  <c r="E75" i="9" a="1"/>
  <c r="D189" i="9" a="1"/>
  <c r="D646" i="9" a="1"/>
  <c r="G623" i="9" a="1"/>
  <c r="F652" i="9" a="1"/>
  <c r="G696" i="9" a="1"/>
  <c r="F172" i="9" a="1"/>
  <c r="F904" i="9" a="1"/>
  <c r="E701" i="9" a="1"/>
  <c r="E79" i="9" a="1"/>
  <c r="E468" i="9" a="1"/>
  <c r="E115" i="9" a="1"/>
  <c r="E500" i="9" a="1"/>
  <c r="F231" i="9" a="1"/>
  <c r="D826" i="9" a="1"/>
  <c r="F77" i="9" a="1"/>
  <c r="E94" i="9" a="1"/>
  <c r="G771" i="9" a="1"/>
  <c r="F294" i="9" a="1"/>
  <c r="G860" i="9" a="1"/>
  <c r="E718" i="9" a="1"/>
  <c r="E610" i="9" a="1"/>
  <c r="G688" i="9" a="1"/>
  <c r="G571" i="9" a="1"/>
  <c r="G752" i="9" a="1"/>
  <c r="F279" i="9" a="1"/>
  <c r="G497" i="9" a="1"/>
  <c r="E360" i="9" a="1"/>
  <c r="G912" i="9" a="1"/>
  <c r="E260" i="9" a="1"/>
  <c r="F701" i="9" a="1"/>
  <c r="D136" i="9" a="1"/>
  <c r="D8" i="9" a="1"/>
  <c r="G802" i="9" a="1"/>
  <c r="F223" i="9" a="1"/>
  <c r="E842" i="9" a="1"/>
  <c r="F249" i="9" a="1"/>
  <c r="F1001" i="9" a="1"/>
  <c r="E848" i="9" a="1"/>
  <c r="G713" i="9" a="1"/>
  <c r="E854" i="9" a="1"/>
  <c r="E736" i="9" a="1"/>
  <c r="F818" i="9" a="1"/>
  <c r="G603" i="9" a="1"/>
  <c r="F79" i="9" a="1"/>
  <c r="F24" i="9" a="1"/>
  <c r="E947" i="9" a="1"/>
  <c r="F156" i="9" a="1"/>
  <c r="F49" i="9" a="1"/>
  <c r="F761" i="9" a="1"/>
  <c r="E313" i="9" a="1"/>
  <c r="G898" i="9" a="1"/>
  <c r="F746" i="9" a="1"/>
  <c r="D193" i="9" a="1"/>
  <c r="G490" i="9" a="1"/>
  <c r="G756" i="9" a="1"/>
  <c r="F270" i="9" a="1"/>
  <c r="E497" i="9" a="1"/>
  <c r="D604" i="9" a="1"/>
  <c r="E514" i="9" a="1"/>
  <c r="E914" i="9" a="1"/>
  <c r="D162" i="9" a="1"/>
  <c r="E992" i="9" a="1"/>
  <c r="G692" i="9" a="1"/>
  <c r="F651" i="9" a="1"/>
  <c r="G862" i="9" a="1"/>
  <c r="E859" i="9" a="1"/>
  <c r="F369" i="9" a="1"/>
  <c r="E767" i="9" a="1"/>
  <c r="F982" i="9" a="1"/>
  <c r="F661" i="9" a="1"/>
  <c r="F815" i="9" a="1"/>
  <c r="F208" i="9" a="1"/>
  <c r="E948" i="9" a="1"/>
  <c r="G707" i="9" a="1"/>
  <c r="G685" i="9" a="1"/>
  <c r="F15" i="9" a="1"/>
  <c r="E889" i="9" a="1"/>
  <c r="D207" i="9" a="1"/>
  <c r="E146" i="9" a="1"/>
  <c r="F271" i="9" a="1"/>
  <c r="F83" i="9" a="1"/>
  <c r="F387" i="9" a="1"/>
  <c r="G790" i="9" a="1"/>
  <c r="F131" i="9" a="1"/>
  <c r="F426" i="9" a="1"/>
  <c r="G908" i="9" a="1"/>
  <c r="F247" i="9" a="1"/>
  <c r="G920" i="9" a="1"/>
  <c r="F183" i="9" a="1"/>
  <c r="F569" i="9" a="1"/>
  <c r="G854" i="9" a="1"/>
  <c r="F40" i="9" a="1"/>
  <c r="E840" i="9" a="1"/>
  <c r="E402" i="9" a="1"/>
  <c r="G858" i="9" a="1"/>
  <c r="G797" i="9" a="1"/>
  <c r="E721" i="9" a="1"/>
  <c r="G520" i="9" a="1"/>
  <c r="D495" i="9" a="1"/>
  <c r="F264" i="9" a="1"/>
  <c r="E438" i="9" a="1"/>
  <c r="F347" i="9" a="1"/>
  <c r="F13" i="9" a="1"/>
  <c r="F900" i="9" a="1"/>
  <c r="G456" i="9" a="1"/>
  <c r="G653" i="9" a="1"/>
  <c r="F610" i="9" a="1"/>
  <c r="G586" i="9" a="1"/>
  <c r="E592" i="9" a="1"/>
  <c r="D535" i="9" a="1"/>
  <c r="A276" i="9" a="1"/>
  <c r="G536" i="9" a="1"/>
  <c r="D635" i="9" a="1"/>
  <c r="E622" i="9" a="1"/>
  <c r="D365" i="9" a="1"/>
  <c r="F205" i="9" a="1"/>
  <c r="F609" i="9" a="1"/>
  <c r="E791" i="9" a="1"/>
  <c r="D5" i="9" a="1"/>
  <c r="E909" i="9" a="1"/>
  <c r="F460" i="9" a="1"/>
  <c r="D224" i="9" a="1"/>
  <c r="G545" i="9" a="1"/>
  <c r="F891" i="9" a="1"/>
  <c r="D328" i="9" a="1"/>
  <c r="G859" i="9" a="1"/>
  <c r="D253" i="9" a="1"/>
  <c r="G464" i="9" a="1"/>
  <c r="E540" i="9" a="1"/>
  <c r="D77" i="9" a="1"/>
  <c r="E424" i="9" a="1"/>
  <c r="G523" i="9" a="1"/>
  <c r="E969" i="9" a="1"/>
  <c r="F301" i="9" a="1"/>
  <c r="E296" i="9" a="1"/>
  <c r="D829" i="9" a="1"/>
  <c r="E858" i="9" a="1"/>
  <c r="F91" i="9" a="1"/>
  <c r="G1002" i="9" a="1"/>
  <c r="F710" i="9" a="1"/>
  <c r="E866" i="9" a="1"/>
  <c r="E47" i="9" a="1"/>
  <c r="F147" i="9" a="1"/>
  <c r="G972" i="9" a="1"/>
  <c r="D455" i="9" a="1"/>
  <c r="E267" i="9" a="1"/>
  <c r="F995" i="9" a="1"/>
  <c r="E416" i="9" a="1"/>
  <c r="G791" i="9" a="1"/>
  <c r="E105" i="9" a="1"/>
  <c r="F266" i="9" a="1"/>
  <c r="G793" i="9" a="1"/>
  <c r="A995" i="9" a="1"/>
  <c r="F109" i="9" a="1"/>
  <c r="E836" i="9" a="1"/>
  <c r="G652" i="9" a="1"/>
  <c r="E391" i="9" a="1"/>
  <c r="G614" i="9" a="1"/>
  <c r="F562" i="9" a="1"/>
  <c r="G600" i="9" a="1"/>
  <c r="E651" i="9" a="1"/>
  <c r="E298" i="9" a="1"/>
  <c r="F236" i="9" a="1"/>
  <c r="F234" i="9" a="1"/>
  <c r="D26" i="9" a="1"/>
  <c r="F214" i="9" a="1"/>
  <c r="F307" i="9" a="1"/>
  <c r="E284" i="9" a="1"/>
  <c r="E473" i="9" a="1"/>
  <c r="E971" i="9" a="1"/>
  <c r="G517" i="9" a="1"/>
  <c r="E534" i="9" a="1"/>
  <c r="F74" i="9" a="1"/>
  <c r="F391" i="9" a="1"/>
  <c r="E587" i="9" a="1"/>
  <c r="E13" i="9" a="1"/>
  <c r="F513" i="9" a="1"/>
  <c r="E665" i="9" a="1"/>
  <c r="D178" i="9" a="1"/>
  <c r="E383" i="9" a="1"/>
  <c r="A257" i="9" a="1"/>
  <c r="G511" i="9" a="1"/>
  <c r="E862" i="9" a="1"/>
  <c r="A26" i="9" a="1"/>
  <c r="A146" i="9" a="1"/>
  <c r="D855" i="9" a="1"/>
  <c r="D663" i="9" a="1"/>
  <c r="D493" i="9" a="1"/>
  <c r="E615" i="9" a="1"/>
  <c r="D612" i="9" a="1"/>
  <c r="F335" i="9" a="1"/>
  <c r="G795" i="9" a="1"/>
  <c r="E96" i="9" a="1"/>
  <c r="G645" i="9" a="1"/>
  <c r="G755" i="9" a="1"/>
  <c r="G677" i="9" a="1"/>
  <c r="D500" i="9" a="1"/>
  <c r="E276" i="9" a="1"/>
  <c r="F191" i="9" a="1"/>
  <c r="E458" i="9" a="1"/>
  <c r="E430" i="9" a="1"/>
  <c r="F405" i="9" a="1"/>
  <c r="G986" i="9" a="1"/>
  <c r="D204" i="9" a="1"/>
  <c r="E233" i="9" a="1"/>
  <c r="D434" i="9" a="1"/>
  <c r="D916" i="9" a="1"/>
  <c r="D510" i="9" a="1"/>
  <c r="A365" i="9" a="1"/>
  <c r="D451" i="9" a="1"/>
  <c r="F461" i="9" a="1"/>
  <c r="F975" i="9" a="1"/>
  <c r="G630" i="9" a="1"/>
  <c r="E461" i="9" a="1"/>
  <c r="G726" i="9" a="1"/>
  <c r="F624" i="9" a="1"/>
  <c r="F309" i="9" a="1"/>
  <c r="F196" i="9" a="1"/>
  <c r="F284" i="9" a="1"/>
  <c r="F157" i="9" a="1"/>
  <c r="F813" i="9" a="1"/>
  <c r="E589" i="9" a="1"/>
  <c r="D42" i="9" a="1"/>
  <c r="E378" i="9" a="1"/>
  <c r="D473" i="9" a="1"/>
  <c r="E408" i="9" a="1"/>
  <c r="E133" i="9" a="1"/>
  <c r="E191" i="9" a="1"/>
  <c r="E15" i="9" a="1"/>
  <c r="E568" i="9" a="1"/>
  <c r="D656" i="9" a="1"/>
  <c r="G574" i="9" a="1"/>
  <c r="G633" i="9" a="1"/>
  <c r="E132" i="9" a="1"/>
  <c r="F894" i="9" a="1"/>
  <c r="F180" i="9" a="1"/>
  <c r="E8" i="9" a="1"/>
  <c r="F226" i="9" a="1"/>
  <c r="F872" i="9" a="1"/>
  <c r="G828" i="9" a="1"/>
  <c r="D226" i="9" a="1"/>
  <c r="G669" i="9" a="1"/>
  <c r="G485" i="9" a="1"/>
  <c r="E459" i="9" a="1"/>
  <c r="F150" i="9" a="1"/>
  <c r="E50" i="9" a="1"/>
  <c r="F61" i="9" a="1"/>
  <c r="E371" i="9" a="1"/>
  <c r="E656" i="9" a="1"/>
  <c r="E332" i="9" a="1"/>
  <c r="E241" i="9" a="1"/>
  <c r="D339" i="9" a="1"/>
  <c r="G840" i="9" a="1"/>
  <c r="F197" i="9" a="1"/>
  <c r="F691" i="9" a="1"/>
  <c r="E860" i="9" a="1"/>
  <c r="F188" i="9" a="1"/>
  <c r="F278" i="9" a="1"/>
  <c r="F11" i="9" a="1"/>
  <c r="F565" i="9" a="1"/>
  <c r="F244" i="9" a="1"/>
  <c r="G658" i="9" a="1"/>
  <c r="D274" i="9" a="1"/>
  <c r="F168" i="9" a="1"/>
  <c r="E327" i="9" a="1"/>
  <c r="E794" i="9" a="1"/>
  <c r="G931" i="9" a="1"/>
  <c r="D169" i="9" a="1"/>
  <c r="F47" i="9" a="1"/>
  <c r="E766" i="9" a="1"/>
  <c r="E943" i="9" a="1"/>
  <c r="F548" i="9" a="1"/>
  <c r="F534" i="9" a="1"/>
  <c r="G890" i="9" a="1"/>
  <c r="F419" i="9" a="1"/>
  <c r="F458" i="9" a="1"/>
  <c r="F404" i="9" a="1"/>
  <c r="E404" i="9" a="1"/>
  <c r="G479" i="9" a="1"/>
  <c r="A344" i="9" a="1"/>
  <c r="G762" i="9" a="1"/>
  <c r="E409" i="9" a="1"/>
  <c r="D72" i="9" a="1"/>
  <c r="E364" i="9" a="1"/>
  <c r="E639" i="9" a="1"/>
  <c r="A976" i="9" a="1"/>
  <c r="D496" i="9" a="1"/>
  <c r="D37" i="9" a="1"/>
  <c r="G558" i="9" a="1"/>
  <c r="E449" i="9" a="1"/>
  <c r="F290" i="9" a="1"/>
  <c r="F827" i="9" a="1"/>
  <c r="E37" i="9" a="1"/>
  <c r="F356" i="9" a="1"/>
  <c r="F269" i="9" a="1"/>
  <c r="F34" i="9" a="1"/>
  <c r="E835" i="9" a="1"/>
  <c r="D131" i="9" a="1"/>
  <c r="E235" i="9" a="1"/>
  <c r="E650" i="9" a="1"/>
  <c r="F650" i="9" a="1"/>
  <c r="F145" i="9" a="1"/>
  <c r="E388" i="9" a="1"/>
  <c r="F189" i="9" a="1"/>
  <c r="E717" i="9" a="1"/>
  <c r="D481" i="9" a="1"/>
  <c r="E148" i="9" a="1"/>
  <c r="G767" i="9" a="1"/>
  <c r="G445" i="9" a="1"/>
  <c r="E384" i="9" a="1"/>
  <c r="E243" i="9" a="1"/>
  <c r="F753" i="9" a="1"/>
  <c r="E53" i="9" a="1"/>
  <c r="D577" i="9" a="1"/>
  <c r="E144" i="9" a="1"/>
  <c r="D972" i="9" a="1"/>
  <c r="E902" i="9" a="1"/>
  <c r="E838" i="9" a="1"/>
  <c r="D682" i="9" a="1"/>
  <c r="G896" i="9" a="1"/>
  <c r="D115" i="9" a="1"/>
  <c r="G740" i="9" a="1"/>
  <c r="G904" i="9" a="1"/>
  <c r="F823" i="9" a="1"/>
  <c r="F939" i="9" a="1"/>
  <c r="G465" i="9" a="1"/>
  <c r="E100" i="9" a="1"/>
  <c r="G843" i="9" a="1"/>
  <c r="E369" i="9" a="1"/>
  <c r="D581" i="9" a="1"/>
  <c r="F355" i="9" a="1"/>
  <c r="E490" i="9" a="1"/>
  <c r="G698" i="9" a="1"/>
  <c r="E18" i="9" a="1"/>
  <c r="F797" i="9" a="1"/>
  <c r="D565" i="9" a="1"/>
  <c r="F888" i="9" a="1"/>
  <c r="F456" i="9" a="1"/>
  <c r="F590" i="9" a="1"/>
  <c r="F265" i="9" a="1"/>
  <c r="G638" i="9" a="1"/>
  <c r="F612" i="9" a="1"/>
  <c r="E504" i="9" a="1"/>
  <c r="F12" i="9" a="1"/>
  <c r="E390" i="9" a="1"/>
  <c r="E452" i="9" a="1"/>
  <c r="D264" i="9" a="1"/>
  <c r="D591" i="9" a="1"/>
  <c r="E33" i="9" a="1"/>
  <c r="D223" i="9" a="1"/>
  <c r="D514" i="9" a="1"/>
  <c r="D342" i="9" a="1"/>
  <c r="D471" i="9" a="1"/>
  <c r="D665" i="9" a="1"/>
  <c r="D556" i="9" a="1"/>
  <c r="A883" i="9" a="1"/>
  <c r="A512" i="9" a="1"/>
  <c r="D313" i="9" a="1"/>
  <c r="E97" i="9" a="1"/>
  <c r="D188" i="9" a="1"/>
  <c r="A118" i="9" a="1"/>
  <c r="H36" i="9" a="1"/>
  <c r="F756" i="9" a="1"/>
  <c r="F368" i="9" a="1"/>
  <c r="G595" i="9" a="1"/>
  <c r="E687" i="9" a="1"/>
  <c r="E386" i="9" a="1"/>
  <c r="A563" i="9" a="1"/>
  <c r="E518" i="9" a="1"/>
  <c r="F664" i="9" a="1"/>
  <c r="D548" i="9" a="1"/>
  <c r="E621" i="9" a="1"/>
  <c r="A302" i="9" a="1"/>
  <c r="A452" i="9" a="1"/>
  <c r="I97" i="9" a="1"/>
  <c r="E261" i="9" a="1"/>
  <c r="F865" i="9" a="1"/>
  <c r="H769" i="9" a="1"/>
  <c r="D492" i="9" a="1"/>
  <c r="E694" i="9" a="1"/>
  <c r="G678" i="9" a="1"/>
  <c r="E850" i="9" a="1"/>
  <c r="F20" i="9" a="1"/>
  <c r="G809" i="9" a="1"/>
  <c r="D779" i="9" a="1"/>
  <c r="A275" i="9" a="1"/>
  <c r="D16" i="9" a="1"/>
  <c r="E931" i="9" a="1"/>
  <c r="D871" i="9" a="1"/>
  <c r="D79" i="9" a="1"/>
  <c r="D780" i="9" a="1"/>
  <c r="D266" i="9" a="1"/>
  <c r="F473" i="9" a="1"/>
  <c r="E831" i="9" a="1"/>
  <c r="D49" i="9" a="1"/>
  <c r="F748" i="9" a="1"/>
  <c r="F17" i="9" a="1"/>
  <c r="D470" i="9" a="1"/>
  <c r="E289" i="9" a="1"/>
  <c r="E464" i="9" a="1"/>
  <c r="D320" i="9" a="1"/>
  <c r="D273" i="9" a="1"/>
  <c r="E429" i="9" a="1"/>
  <c r="D250" i="9" a="1"/>
  <c r="A47" i="9" a="1"/>
  <c r="D128" i="9" a="1"/>
  <c r="D482" i="9" a="1"/>
  <c r="D903" i="9" a="1"/>
  <c r="D546" i="9" a="1"/>
  <c r="E917" i="9" a="1"/>
  <c r="D700" i="9" a="1"/>
  <c r="E576" i="9" a="1"/>
  <c r="D467" i="9" a="1"/>
  <c r="A649" i="9" a="1"/>
  <c r="D818" i="9" a="1"/>
  <c r="F965" i="9" a="1"/>
  <c r="D691" i="9" a="1"/>
  <c r="A656" i="9" a="1"/>
  <c r="D638" i="9" a="1"/>
  <c r="E746" i="9" a="1"/>
  <c r="E447" i="9" a="1"/>
  <c r="G786" i="9" a="1"/>
  <c r="E765" i="9" a="1"/>
  <c r="D497" i="9" a="1"/>
  <c r="F692" i="9" a="1"/>
  <c r="I812" i="9" a="1"/>
  <c r="E172" i="9" a="1"/>
  <c r="I104" i="9" a="1"/>
  <c r="D464" i="9" a="1"/>
  <c r="E683" i="9" a="1"/>
  <c r="E5" i="9" a="1"/>
  <c r="D408" i="9" a="1"/>
  <c r="D252" i="9" a="1"/>
  <c r="F919" i="9" a="1"/>
  <c r="D300" i="9" a="1"/>
  <c r="F821" i="9" a="1"/>
  <c r="F869" i="9" a="1"/>
  <c r="E956" i="9" a="1"/>
  <c r="D401" i="9" a="1"/>
  <c r="F892" i="9" a="1"/>
  <c r="A983" i="9" a="1"/>
  <c r="A515" i="9" a="1"/>
  <c r="D488" i="9" a="1"/>
  <c r="F641" i="9" a="1"/>
  <c r="D954" i="9" a="1"/>
  <c r="D732" i="9" a="1"/>
  <c r="I628" i="9" a="1"/>
  <c r="A593" i="9" a="1"/>
  <c r="E315" i="9" a="1"/>
  <c r="A104" i="9" a="1"/>
  <c r="D308" i="9" a="1"/>
  <c r="E795" i="9" a="1"/>
  <c r="D150" i="9" a="1"/>
  <c r="E720" i="9" a="1"/>
  <c r="D734" i="9" a="1"/>
  <c r="A71" i="9" a="1"/>
  <c r="D395" i="9" a="1"/>
  <c r="D221" i="9" a="1"/>
  <c r="F945" i="9" a="1"/>
  <c r="F636" i="9" a="1"/>
  <c r="E222" i="9" a="1"/>
  <c r="E410" i="9" a="1"/>
  <c r="E425" i="9" a="1"/>
  <c r="D234" i="9" a="1"/>
  <c r="D697" i="9" a="1"/>
  <c r="E114" i="9" a="1"/>
  <c r="D448" i="9" a="1"/>
  <c r="E251" i="9" a="1"/>
  <c r="E275" i="9" a="1"/>
  <c r="A827" i="9" a="1"/>
  <c r="E972" i="9" a="1"/>
  <c r="F354" i="9" a="1"/>
  <c r="D567" i="9" a="1"/>
  <c r="E953" i="9" a="1"/>
  <c r="E1000" i="9" a="1"/>
  <c r="E215" i="9" a="1"/>
  <c r="E911" i="9" a="1"/>
  <c r="D216" i="9" a="1"/>
  <c r="E789" i="9" a="1"/>
  <c r="E642" i="9" a="1"/>
  <c r="D914" i="9" a="1"/>
  <c r="A728" i="9" a="1"/>
  <c r="A850" i="9" a="1"/>
  <c r="D132" i="9" a="1"/>
  <c r="A703" i="9" a="1"/>
  <c r="D422" i="9" a="1"/>
  <c r="A938" i="9" a="1"/>
  <c r="G933" i="9" a="1"/>
  <c r="E349" i="9" a="1"/>
  <c r="D870" i="9" a="1"/>
  <c r="A690" i="9" a="1"/>
  <c r="E834" i="9" a="1"/>
  <c r="E799" i="9" a="1"/>
  <c r="E937" i="9" a="1"/>
  <c r="F778" i="9" a="1"/>
  <c r="E23" i="9" a="1"/>
  <c r="E109" i="9" a="1"/>
  <c r="D543" i="9" a="1"/>
  <c r="F414" i="9" a="1"/>
  <c r="E69" i="9" a="1"/>
  <c r="D141" i="9" a="1"/>
  <c r="G822" i="9" a="1"/>
  <c r="D316" i="9" a="1"/>
  <c r="E432" i="9" a="1"/>
  <c r="D679" i="9" a="1"/>
  <c r="E904" i="9" a="1"/>
  <c r="E913" i="9" a="1"/>
  <c r="A296" i="9" a="1"/>
  <c r="E173" i="9" a="1"/>
  <c r="D211" i="9" a="1"/>
  <c r="E41" i="9" a="1"/>
  <c r="E811" i="9" a="1"/>
  <c r="E951" i="9" a="1"/>
  <c r="A268" i="9" a="1"/>
  <c r="A913" i="9" a="1"/>
  <c r="E572" i="9" a="1"/>
  <c r="E19" i="9" a="1"/>
  <c r="D783" i="9" a="1"/>
  <c r="E182" i="9" a="1"/>
  <c r="D617" i="9" a="1"/>
  <c r="D925" i="9" a="1"/>
  <c r="E234" i="9" a="1"/>
  <c r="A188" i="9" a="1"/>
  <c r="F911" i="9" a="1"/>
  <c r="D845" i="9" a="1"/>
  <c r="D947" i="9" a="1"/>
  <c r="A553" i="9" a="1"/>
  <c r="A322" i="9" a="1"/>
  <c r="D785" i="9" a="1"/>
  <c r="I22" i="9" a="1"/>
  <c r="A68" i="9" a="1"/>
  <c r="F712" i="9" a="1"/>
  <c r="F497" i="9" a="1"/>
  <c r="E916" i="9" a="1"/>
  <c r="F251" i="9" a="1"/>
  <c r="E553" i="9" a="1"/>
  <c r="E27" i="9" a="1"/>
  <c r="E550" i="9" a="1"/>
  <c r="A506" i="9" a="1"/>
  <c r="A236" i="9" a="1"/>
  <c r="F529" i="9" a="1"/>
  <c r="F885" i="9" a="1"/>
  <c r="E759" i="9" a="1"/>
  <c r="E814" i="9" a="1"/>
  <c r="I158" i="9" a="1"/>
  <c r="D154" i="9" a="1"/>
  <c r="E104" i="9" a="1"/>
  <c r="E886" i="9" a="1"/>
  <c r="I29" i="9" a="1"/>
  <c r="D945" i="9" a="1"/>
  <c r="F519" i="9" a="1"/>
  <c r="E879" i="9" a="1"/>
  <c r="E961" i="9" a="1"/>
  <c r="D375" i="9" a="1"/>
  <c r="A806" i="9" a="1"/>
  <c r="A609" i="9" a="1"/>
  <c r="A8" i="9" a="1"/>
  <c r="E57" i="9" a="1"/>
  <c r="D110" i="9" a="1"/>
  <c r="D534" i="9" a="1"/>
  <c r="E613" i="9" a="1"/>
  <c r="A941" i="9" a="1"/>
  <c r="E696" i="9" a="1"/>
  <c r="D958" i="9" a="1"/>
  <c r="F25" i="9" a="1"/>
  <c r="E414" i="9" a="1"/>
  <c r="F166" i="9" a="1"/>
  <c r="D844" i="9" a="1"/>
  <c r="E44" i="9" a="1"/>
  <c r="F482" i="9" a="1"/>
  <c r="E399" i="9" a="1"/>
  <c r="G811" i="9" a="1"/>
  <c r="D107" i="9" a="1"/>
  <c r="F697" i="9" a="1"/>
  <c r="E240" i="9" a="1"/>
  <c r="A7" i="9" a="1"/>
  <c r="E563" i="9" a="1"/>
  <c r="D404" i="9" a="1"/>
  <c r="D721" i="9" a="1"/>
  <c r="D466" i="9" a="1"/>
  <c r="D926" i="9" a="1"/>
  <c r="A879" i="9" a="1"/>
  <c r="A545" i="9" a="1"/>
  <c r="D135" i="9" a="1"/>
  <c r="E107" i="9" a="1"/>
  <c r="E205" i="9" a="1"/>
  <c r="E521" i="9" a="1"/>
  <c r="D32" i="9" a="1"/>
  <c r="D892" i="9" a="1"/>
  <c r="A111" i="9" a="1"/>
  <c r="E878" i="9" a="1"/>
  <c r="E450" i="9" a="1"/>
  <c r="D369" i="9" a="1"/>
  <c r="G826" i="9" a="1"/>
  <c r="A140" i="9" a="1"/>
  <c r="D354" i="9" a="1"/>
  <c r="E413" i="9" a="1"/>
  <c r="I822" i="9" a="1"/>
  <c r="G824" i="9" a="1"/>
  <c r="F695" i="9" a="1"/>
  <c r="E308" i="9" a="1"/>
  <c r="F311" i="9" a="1"/>
  <c r="E150" i="9" a="1"/>
  <c r="F435" i="9" a="1"/>
  <c r="E147" i="9" a="1"/>
  <c r="F931" i="9" a="1"/>
  <c r="F708" i="9" a="1"/>
  <c r="G796" i="9" a="1"/>
  <c r="D641" i="9" a="1"/>
  <c r="D101" i="9" a="1"/>
  <c r="E661" i="9" a="1"/>
  <c r="I157" i="9" a="1"/>
  <c r="D302" i="9" a="1"/>
  <c r="G583" i="9" a="1"/>
  <c r="D333" i="9" a="1"/>
  <c r="E894" i="9" a="1"/>
  <c r="A479" i="9" a="1"/>
  <c r="E924" i="9" a="1"/>
  <c r="G584" i="9" a="1"/>
  <c r="D161" i="9" a="1"/>
  <c r="A548" i="9" a="1"/>
  <c r="E200" i="9" a="1"/>
  <c r="D784" i="9" a="1"/>
  <c r="D723" i="9" a="1"/>
  <c r="E401" i="9" a="1"/>
  <c r="D630" i="9" a="1"/>
  <c r="E647" i="9" a="1"/>
  <c r="E186" i="9" a="1"/>
  <c r="D508" i="9" a="1"/>
  <c r="E183" i="9" a="1"/>
  <c r="F255" i="9" a="1"/>
  <c r="E664" i="9" a="1"/>
  <c r="F774" i="9" a="1"/>
  <c r="E485" i="9" a="1"/>
  <c r="D523" i="9" a="1"/>
  <c r="D752" i="9" a="1"/>
  <c r="D206" i="9" a="1"/>
  <c r="A872" i="9" a="1"/>
  <c r="E980" i="9" a="1"/>
  <c r="F637" i="9" a="1"/>
  <c r="E581" i="9" a="1"/>
  <c r="E668" i="9" a="1"/>
  <c r="A385" i="9" a="1"/>
  <c r="A830" i="9" a="1"/>
  <c r="F95" i="9" a="1"/>
  <c r="E343" i="9" a="1"/>
  <c r="D281" i="9" a="1"/>
  <c r="E509" i="9" a="1"/>
  <c r="F159" i="9" a="1"/>
  <c r="A926" i="9" a="1"/>
  <c r="D415" i="9" a="1"/>
  <c r="D639" i="9" a="1"/>
  <c r="D805" i="9" a="1"/>
  <c r="F649" i="9" a="1"/>
  <c r="I993" i="9" a="1"/>
  <c r="E950" i="9" a="1"/>
  <c r="D109" i="9" a="1"/>
  <c r="I312" i="9" a="1"/>
  <c r="A915" i="9" a="1"/>
  <c r="I14" i="9" a="1"/>
  <c r="E426" i="9" a="1"/>
  <c r="E43" i="9" a="1"/>
  <c r="E632" i="9" a="1"/>
  <c r="E722" i="9" a="1"/>
  <c r="D151" i="9" a="1"/>
  <c r="F949" i="9" a="1"/>
  <c r="F204" i="9" a="1"/>
  <c r="G679" i="9" a="1"/>
  <c r="G582" i="9" a="1"/>
  <c r="E748" i="9" a="1"/>
  <c r="G478" i="9" a="1"/>
  <c r="D62" i="9" a="1"/>
  <c r="F933" i="9" a="1"/>
  <c r="F801" i="9" a="1"/>
  <c r="E217" i="9" a="1"/>
  <c r="E250" i="9" a="1"/>
  <c r="D36" i="9" a="1"/>
  <c r="A374" i="9" a="1"/>
  <c r="E652" i="9" a="1"/>
  <c r="E988" i="9" a="1"/>
  <c r="F634" i="9" a="1"/>
  <c r="E203" i="9" a="1"/>
  <c r="E752" i="9" a="1"/>
  <c r="D326" i="9" a="1"/>
  <c r="D403" i="9" a="1"/>
  <c r="A749" i="9" a="1"/>
  <c r="D350" i="9" a="1"/>
  <c r="D888" i="9" a="1"/>
  <c r="D673" i="9" a="1"/>
  <c r="D348" i="9" a="1"/>
  <c r="D459" i="9" a="1"/>
  <c r="E990" i="9" a="1"/>
  <c r="D474" i="9" a="1"/>
  <c r="D153" i="9" a="1"/>
  <c r="G928" i="9" a="1"/>
  <c r="D555" i="9" a="1"/>
  <c r="D17" i="9" a="1"/>
  <c r="D236" i="9" a="1"/>
  <c r="D881" i="9" a="1"/>
  <c r="E387" i="9" a="1"/>
  <c r="E801" i="9" a="1"/>
  <c r="D249" i="9" a="1"/>
  <c r="A947" i="9" a="1"/>
  <c r="A14" i="9" a="1"/>
  <c r="G867" i="9" a="1"/>
  <c r="A974" i="9" a="1"/>
  <c r="D568" i="9" a="1"/>
  <c r="A167" i="9" a="1"/>
  <c r="E684" i="9" a="1"/>
  <c r="A404" i="9" a="1"/>
  <c r="F195" i="9" a="1"/>
  <c r="D684" i="9" a="1"/>
  <c r="E843" i="9" a="1"/>
  <c r="A693" i="9" a="1"/>
  <c r="E793" i="9" a="1"/>
  <c r="E533" i="9" a="1"/>
  <c r="E145" i="9" a="1"/>
  <c r="D394" i="9" a="1"/>
  <c r="E11" i="9" a="1"/>
  <c r="E499" i="9" a="1"/>
  <c r="E512" i="9" a="1"/>
  <c r="D304" i="9" a="1"/>
  <c r="F88" i="9" a="1"/>
  <c r="E704" i="9" a="1"/>
  <c r="D545" i="9" a="1"/>
  <c r="I253" i="9" a="1"/>
  <c r="D901" i="9" a="1"/>
  <c r="A822" i="9" a="1"/>
  <c r="F808" i="9" a="1"/>
  <c r="D376" i="9" a="1"/>
  <c r="E373" i="9" a="1"/>
  <c r="E788" i="9" a="1"/>
  <c r="A958" i="9" a="1"/>
  <c r="D792" i="9" a="1"/>
  <c r="F376" i="9" a="1"/>
  <c r="D237" i="9" a="1"/>
  <c r="E999" i="9" a="1"/>
  <c r="A173" i="9" a="1"/>
  <c r="D526" i="9" a="1"/>
  <c r="F575" i="9" a="1"/>
  <c r="E908" i="9" a="1"/>
  <c r="D636" i="9" a="1"/>
  <c r="E377" i="9" a="1"/>
  <c r="E891" i="9" a="1"/>
  <c r="D929" i="9" a="1"/>
  <c r="A592" i="9" a="1"/>
  <c r="D84" i="9" a="1"/>
  <c r="A619" i="9" a="1"/>
  <c r="F956" i="9" a="1"/>
  <c r="E207" i="9" a="1"/>
  <c r="F552" i="9" a="1"/>
  <c r="E482" i="9" a="1"/>
  <c r="E189" i="9" a="1"/>
  <c r="E740" i="9" a="1"/>
  <c r="D424" i="9" a="1"/>
  <c r="F164" i="9" a="1"/>
  <c r="E379" i="9" a="1"/>
  <c r="D54" i="9" a="1"/>
  <c r="A979" i="9" a="1"/>
  <c r="D344" i="9" a="1"/>
  <c r="D758" i="9" a="1"/>
  <c r="E818" i="9" a="1"/>
  <c r="G622" i="9" a="1"/>
  <c r="D366" i="9" a="1"/>
  <c r="F901" i="9" a="1"/>
  <c r="A50" i="9" a="1"/>
  <c r="F441" i="9" a="1"/>
  <c r="E824" i="9" a="1"/>
  <c r="D301" i="9" a="1"/>
  <c r="A742" i="9" a="1"/>
  <c r="D75" i="9" a="1"/>
  <c r="D336" i="9" a="1"/>
  <c r="E184" i="9" a="1"/>
  <c r="D59" i="9" a="1"/>
  <c r="E487" i="9" a="1"/>
  <c r="D848" i="9" a="1"/>
  <c r="A677" i="9" a="1"/>
  <c r="A624" i="9" a="1"/>
  <c r="D478" i="9" a="1"/>
  <c r="A766" i="9" a="1"/>
  <c r="E989" i="9" a="1"/>
  <c r="D730" i="9" a="1"/>
  <c r="E945" i="9" a="1"/>
  <c r="E570" i="9" a="1"/>
  <c r="F730" i="9" a="1"/>
  <c r="E586" i="9" a="1"/>
  <c r="F564" i="9" a="1"/>
  <c r="F717" i="9" a="1"/>
  <c r="E899" i="9" a="1"/>
  <c r="F820" i="9" a="1"/>
  <c r="D65" i="9" a="1"/>
  <c r="F704" i="9" a="1"/>
  <c r="E646" i="9" a="1"/>
  <c r="A943" i="9" a="1"/>
  <c r="D261" i="9" a="1"/>
  <c r="D655" i="9" a="1"/>
  <c r="D769" i="9" a="1"/>
  <c r="A821" i="9" a="1"/>
  <c r="D322" i="9" a="1"/>
  <c r="A34" i="9" a="1"/>
  <c r="D280" i="9" a="1"/>
  <c r="E78" i="9" a="1"/>
  <c r="F313" i="9" a="1"/>
  <c r="A115" i="9" a="1"/>
  <c r="D649" i="9" a="1"/>
  <c r="D140" i="9" a="1"/>
  <c r="E779" i="9" a="1"/>
  <c r="D549" i="9" a="1"/>
  <c r="A949" i="9" a="1"/>
  <c r="A633" i="9" a="1"/>
  <c r="E756" i="9" a="1"/>
  <c r="D770" i="9" a="1"/>
  <c r="F203" i="9" a="1"/>
  <c r="E437" i="9" a="1"/>
  <c r="A824" i="9" a="1"/>
  <c r="E706" i="9" a="1"/>
  <c r="D265" i="9" a="1"/>
  <c r="A287" i="9" a="1"/>
  <c r="A829" i="9" a="1"/>
  <c r="E645" i="9" a="1"/>
  <c r="E358" i="9" a="1"/>
  <c r="F958" i="9" a="1"/>
  <c r="F239" i="9" a="1"/>
  <c r="F729" i="9" a="1"/>
  <c r="E155" i="9" a="1"/>
  <c r="A785" i="9" a="1"/>
  <c r="D93" i="9" a="1"/>
  <c r="D361" i="9" a="1"/>
  <c r="A862" i="9" a="1"/>
  <c r="E744" i="9" a="1"/>
  <c r="F643" i="9" a="1"/>
  <c r="D152" i="9" a="1"/>
  <c r="A815" i="9" a="1"/>
  <c r="D807" i="9" a="1"/>
  <c r="D76" i="9" a="1"/>
  <c r="E347" i="9" a="1"/>
  <c r="G831" i="9" a="1"/>
  <c r="A496" i="9" a="1"/>
  <c r="A437" i="9" a="1"/>
  <c r="D708" i="9" a="1"/>
  <c r="A22" i="9" a="1"/>
  <c r="D935" i="9" a="1"/>
  <c r="D674" i="9" a="1"/>
  <c r="A575" i="9" a="1"/>
  <c r="E331" i="9" a="1"/>
  <c r="F337" i="9" a="1"/>
  <c r="E329" i="9" a="1"/>
  <c r="G823" i="9" a="1"/>
  <c r="D262" i="9" a="1"/>
  <c r="A784" i="9" a="1"/>
  <c r="G590" i="9" a="1"/>
  <c r="E526" i="9" a="1"/>
  <c r="F472" i="9" a="1"/>
  <c r="E994" i="9" a="1"/>
  <c r="D282" i="9" a="1"/>
  <c r="D735" i="9" a="1"/>
  <c r="D683" i="9" a="1"/>
  <c r="D379" i="9" a="1"/>
  <c r="A42" i="9" a="1"/>
  <c r="A482" i="9" a="1"/>
  <c r="A581" i="9" a="1"/>
  <c r="F581" i="9" a="1"/>
  <c r="G705" i="9" a="1"/>
  <c r="D406" i="9" a="1"/>
  <c r="E609" i="9" a="1"/>
  <c r="E193" i="9" a="1"/>
  <c r="D385" i="9" a="1"/>
  <c r="D238" i="9" a="1"/>
  <c r="D839" i="9" a="1"/>
  <c r="D389" i="9" a="1"/>
  <c r="D726" i="9" a="1"/>
  <c r="E847" i="9" a="1"/>
  <c r="D157" i="9" a="1"/>
  <c r="E264" i="9" a="1"/>
  <c r="G842" i="9" a="1"/>
  <c r="D693" i="9" a="1"/>
  <c r="F326" i="9" a="1"/>
  <c r="D38" i="9" a="1"/>
  <c r="A899" i="9" a="1"/>
  <c r="E110" i="9" a="1"/>
  <c r="H454" i="9" a="1"/>
  <c r="A870" i="9" a="1"/>
  <c r="D426" i="9" a="1"/>
  <c r="A239" i="9" a="1"/>
  <c r="D610" i="9" a="1"/>
  <c r="D95" i="9" a="1"/>
  <c r="E670" i="9" a="1"/>
  <c r="E394" i="9" a="1"/>
  <c r="F623" i="9" a="1"/>
  <c r="E24" i="9" a="1"/>
  <c r="D144" i="9" a="1"/>
  <c r="E865" i="9" a="1"/>
  <c r="F864" i="9" a="1"/>
  <c r="D450" i="9" a="1"/>
  <c r="D156" i="9" a="1"/>
  <c r="A12" i="9" a="1"/>
  <c r="A997" i="9" a="1"/>
  <c r="D120" i="9" a="1"/>
  <c r="F961" i="9" a="1"/>
  <c r="D1001" i="9" a="1"/>
  <c r="E463" i="9" a="1"/>
  <c r="A251" i="9" a="1"/>
  <c r="D550" i="9" a="1"/>
  <c r="F707" i="9" a="1"/>
  <c r="D331" i="9" a="1"/>
  <c r="D86" i="9" a="1"/>
  <c r="D859" i="9" a="1"/>
  <c r="E433" i="9" a="1"/>
  <c r="A948" i="9" a="1"/>
  <c r="D227" i="9" a="1"/>
  <c r="E312" i="9" a="1"/>
  <c r="E626" i="9" a="1"/>
  <c r="E649" i="9" a="1"/>
  <c r="D94" i="9" a="1"/>
  <c r="A873" i="9" a="1"/>
  <c r="D937" i="9" a="1"/>
  <c r="D305" i="9" a="1"/>
  <c r="G702" i="9" a="1"/>
  <c r="G937" i="9" a="1"/>
  <c r="F525" i="9" a="1"/>
  <c r="F969" i="9" a="1"/>
  <c r="D619" i="9" a="1"/>
  <c r="E940" i="9" a="1"/>
  <c r="F786" i="9" a="1"/>
  <c r="A928" i="9" a="1"/>
  <c r="D796" i="9" a="1"/>
  <c r="F792" i="9" a="1"/>
  <c r="E244" i="9" a="1"/>
  <c r="A72" i="9" a="1"/>
  <c r="D811" i="9" a="1"/>
  <c r="D912" i="9" a="1"/>
  <c r="E418" i="9" a="1"/>
  <c r="E882" i="9" a="1"/>
  <c r="E897" i="9" a="1"/>
  <c r="D664" i="9" a="1"/>
  <c r="F16" i="9" a="1"/>
  <c r="E211" i="9" a="1"/>
  <c r="E151" i="9" a="1"/>
  <c r="F680" i="9" a="1"/>
  <c r="G885" i="9" a="1"/>
  <c r="D306" i="9" a="1"/>
  <c r="D116" i="9" a="1"/>
  <c r="D995" i="9" a="1"/>
  <c r="E728" i="9" a="1"/>
  <c r="E22" i="9" a="1"/>
  <c r="A425" i="9" a="1"/>
  <c r="G852" i="9" a="1"/>
  <c r="I657" i="9" a="1"/>
  <c r="E520" i="9" a="1"/>
  <c r="E699" i="9" a="1"/>
  <c r="D343" i="9" a="1"/>
  <c r="E753" i="9" a="1"/>
  <c r="F893" i="9" a="1"/>
  <c r="G446" i="9" a="1"/>
  <c r="F98" i="9" a="1"/>
  <c r="E719" i="9" a="1"/>
  <c r="E733" i="9" a="1"/>
  <c r="D73" i="9" a="1"/>
  <c r="E352" i="9" a="1"/>
  <c r="E612" i="9" a="1"/>
  <c r="D522" i="9" a="1"/>
  <c r="D43" i="9" a="1"/>
  <c r="I179" i="9" a="1"/>
  <c r="D813" i="9" a="1"/>
  <c r="E662" i="9" a="1"/>
  <c r="E341" i="9" a="1"/>
  <c r="E979" i="9" a="1"/>
  <c r="A119" i="9" a="1"/>
  <c r="E884" i="9" a="1"/>
  <c r="I185" i="9" a="1"/>
  <c r="E927" i="9" a="1"/>
  <c r="A896" i="9" a="1"/>
  <c r="F991" i="9" a="1"/>
  <c r="D621" i="9" a="1"/>
  <c r="E501" i="9" a="1"/>
  <c r="D92" i="9" a="1"/>
  <c r="D877" i="9" a="1"/>
  <c r="D834" i="9" a="1"/>
  <c r="A799" i="9" a="1"/>
  <c r="E141" i="9" a="1"/>
  <c r="D698" i="9" a="1"/>
  <c r="F955" i="9" a="1"/>
  <c r="G916" i="9" a="1"/>
  <c r="D529" i="9" a="1"/>
  <c r="F574" i="9" a="1"/>
  <c r="F973" i="9" a="1"/>
  <c r="E800" i="9" a="1"/>
  <c r="A907" i="9" a="1"/>
  <c r="D276" i="9" a="1"/>
  <c r="E855" i="9" a="1"/>
  <c r="D718" i="9" a="1"/>
  <c r="D334" i="9" a="1"/>
  <c r="F741" i="9" a="1"/>
  <c r="D6" i="9" a="1"/>
  <c r="F817" i="9" a="1"/>
  <c r="E266" i="9" a="1"/>
  <c r="D936" i="9" a="1"/>
  <c r="A36" i="9" a="1"/>
  <c r="D949" i="9" a="1"/>
  <c r="D212" i="9" a="1"/>
  <c r="D739" i="9" a="1"/>
  <c r="E743" i="9" a="1"/>
  <c r="A440" i="9" a="1"/>
  <c r="D626" i="9" a="1"/>
  <c r="A897" i="9" a="1"/>
  <c r="F754" i="9" a="1"/>
  <c r="D164" i="9" a="1"/>
  <c r="A504" i="9" a="1"/>
  <c r="G543" i="9" a="1"/>
  <c r="E966" i="9" a="1"/>
  <c r="I333" i="9" a="1"/>
  <c r="E919" i="9" a="1"/>
  <c r="H666" i="9" a="1"/>
  <c r="D202" i="9" a="1"/>
  <c r="D961" i="9" a="1"/>
  <c r="D85" i="9" a="1"/>
  <c r="E968" i="9" a="1"/>
  <c r="D104" i="9" a="1"/>
  <c r="E810" i="9" a="1"/>
  <c r="E508" i="9" a="1"/>
  <c r="A533" i="9" a="1"/>
  <c r="A946" i="9" a="1"/>
  <c r="D400" i="9" a="1"/>
  <c r="A332" i="9" a="1"/>
  <c r="I137" i="9" a="1"/>
  <c r="D208" i="9" a="1"/>
  <c r="D579" i="9" a="1"/>
  <c r="D228" i="9" a="1"/>
  <c r="A950" i="9" a="1"/>
  <c r="E998" i="9" a="1"/>
  <c r="D690" i="9" a="1"/>
  <c r="E723" i="9" a="1"/>
  <c r="I68" i="9" a="1"/>
  <c r="E77" i="9" a="1"/>
  <c r="G775" i="9" a="1"/>
  <c r="E513" i="9" a="1"/>
  <c r="D367" i="9" a="1"/>
  <c r="E174" i="9" a="1"/>
  <c r="D707" i="9" a="1"/>
  <c r="A41" i="9" a="1"/>
  <c r="F62" i="9" a="1"/>
  <c r="E511" i="9" a="1"/>
  <c r="E478" i="9" a="1"/>
  <c r="D499" i="9" a="1"/>
  <c r="A500" i="9" a="1"/>
  <c r="E403" i="9" a="1"/>
  <c r="A935" i="9" a="1"/>
  <c r="A587" i="9" a="1"/>
  <c r="D711" i="9" a="1"/>
  <c r="A740" i="9" a="1"/>
  <c r="D515" i="9" a="1"/>
  <c r="I374" i="9" a="1"/>
  <c r="E783" i="9" a="1"/>
  <c r="E281" i="9" a="1"/>
  <c r="D575" i="9" a="1"/>
  <c r="D57" i="9" a="1"/>
  <c r="D321" i="9" a="1"/>
  <c r="D299" i="9" a="1"/>
  <c r="D521" i="9" a="1"/>
  <c r="A40" i="9" a="1"/>
  <c r="D275" i="9" a="1"/>
  <c r="A507" i="9" a="1"/>
  <c r="A916" i="9" a="1"/>
  <c r="D295" i="9" a="1"/>
  <c r="E887" i="9" a="1"/>
  <c r="D689" i="9" a="1"/>
  <c r="E903" i="9" a="1"/>
  <c r="F987" i="9" a="1"/>
  <c r="E40" i="9" a="1"/>
  <c r="G722" i="9" a="1"/>
  <c r="E604" i="9" a="1"/>
  <c r="D285" i="9" a="1"/>
  <c r="D18" i="9" a="1"/>
  <c r="E344" i="9" a="1"/>
  <c r="F344" i="9" a="1"/>
  <c r="E933" i="9" a="1"/>
  <c r="E934" i="9" a="1"/>
  <c r="D419" i="9" a="1"/>
  <c r="D530" i="9" a="1"/>
  <c r="D976" i="9" a="1"/>
  <c r="F325" i="9" a="1"/>
  <c r="D886" i="9" a="1"/>
  <c r="D191" i="9" a="1"/>
  <c r="D880" i="9" a="1"/>
  <c r="D837" i="9" a="1"/>
  <c r="E695" i="9" a="1"/>
  <c r="D432" i="9" a="1"/>
  <c r="A993" i="9" a="1"/>
  <c r="E976" i="9" a="1"/>
  <c r="D607" i="9" a="1"/>
  <c r="E672" i="9" a="1"/>
  <c r="D100" i="9" a="1"/>
  <c r="A648" i="9" a="1"/>
  <c r="E600" i="9" a="1"/>
  <c r="A856" i="9" a="1"/>
  <c r="D554" i="9" a="1"/>
  <c r="A313" i="9" a="1"/>
  <c r="D185" i="9" a="1"/>
  <c r="D112" i="9" a="1"/>
  <c r="A884" i="9" a="1"/>
  <c r="E340" i="9" a="1"/>
  <c r="F496" i="9" a="1"/>
  <c r="F280" i="9" a="1"/>
  <c r="D562" i="9" a="1"/>
  <c r="F662" i="9" a="1"/>
  <c r="E492" i="9" a="1"/>
  <c r="D14" i="9" a="1"/>
  <c r="E754" i="9" a="1"/>
  <c r="E963" i="9" a="1"/>
  <c r="D318" i="9" a="1"/>
  <c r="A644" i="9" a="1"/>
  <c r="E299" i="9" a="1"/>
  <c r="D825" i="9" a="1"/>
  <c r="A232" i="9" a="1"/>
  <c r="A597" i="9" a="1"/>
  <c r="E46" i="9" a="1"/>
  <c r="E912" i="9" a="1"/>
  <c r="E802" i="9" a="1"/>
  <c r="D955" i="9" a="1"/>
  <c r="D382" i="9" a="1"/>
  <c r="A697" i="9" a="1"/>
  <c r="E103" i="9" a="1"/>
  <c r="G921" i="9" a="1"/>
  <c r="E220" i="9" a="1"/>
  <c r="E771" i="9" a="1"/>
  <c r="A18" i="9" a="1"/>
  <c r="A838" i="9" a="1"/>
  <c r="E731" i="9" a="1"/>
  <c r="E457" i="9" a="1"/>
  <c r="D968" i="9" a="1"/>
  <c r="E529" i="9" a="1"/>
  <c r="D108" i="9" a="1"/>
  <c r="D445" i="9" a="1"/>
  <c r="E774" i="9" a="1"/>
  <c r="F531" i="9" a="1"/>
  <c r="D180" i="9" a="1"/>
  <c r="D476" i="9" a="1"/>
  <c r="F596" i="9" a="1"/>
  <c r="D799" i="9" a="1"/>
  <c r="A269" i="9" a="1"/>
  <c r="A881" i="9" a="1"/>
  <c r="E555" i="9" a="1"/>
  <c r="E83" i="9" a="1"/>
  <c r="D35" i="9" a="1"/>
  <c r="A724" i="9" a="1"/>
  <c r="A203" i="9" a="1"/>
  <c r="E796" i="9" a="1"/>
  <c r="D600" i="9" a="1"/>
  <c r="D558" i="9" a="1"/>
  <c r="A200" i="9" a="1"/>
  <c r="D754" i="9" a="1"/>
  <c r="D130" i="9" a="1"/>
  <c r="A227" i="9" a="1"/>
  <c r="D751" i="9" a="1"/>
  <c r="A107" i="9" a="1"/>
  <c r="A920" i="9" a="1"/>
  <c r="E732" i="9" a="1"/>
  <c r="A327" i="9" a="1"/>
  <c r="E682" i="9" a="1"/>
  <c r="D10" i="9" a="1"/>
  <c r="A312" i="9" a="1"/>
  <c r="A803" i="9" a="1"/>
  <c r="D167" i="9" a="1"/>
  <c r="D836" i="9" a="1"/>
  <c r="F444" i="9" a="1"/>
  <c r="E118" i="9" a="1"/>
  <c r="E786" i="9" a="1"/>
  <c r="D856" i="9" a="1"/>
  <c r="A857" i="9" a="1"/>
  <c r="I247" i="9" a="1"/>
  <c r="F785" i="9" a="1"/>
  <c r="E223" i="9" a="1"/>
  <c r="A832" i="9" a="1"/>
  <c r="D893" i="9" a="1"/>
  <c r="D574" i="9" a="1"/>
  <c r="D66" i="9" a="1"/>
  <c r="D832" i="9" a="1"/>
  <c r="D444" i="9" a="1"/>
  <c r="E792" i="9" a="1"/>
  <c r="D242" i="9" a="1"/>
  <c r="A880" i="9" a="1"/>
  <c r="D547" i="9" a="1"/>
  <c r="E648" i="9" a="1"/>
  <c r="A918" i="9" a="1"/>
  <c r="A505" i="9" a="1"/>
  <c r="D962" i="9" a="1"/>
  <c r="A961" i="9" a="1"/>
  <c r="I493" i="9" a="1"/>
  <c r="D235" i="9" a="1"/>
  <c r="D970" i="9" a="1"/>
  <c r="D279" i="9" a="1"/>
  <c r="A733" i="9" a="1"/>
  <c r="A230" i="9" a="1"/>
  <c r="E982" i="9" a="1"/>
  <c r="F114" i="9" a="1"/>
  <c r="D742" i="9" a="1"/>
  <c r="D239" i="9" a="1"/>
  <c r="A651" i="9" a="1"/>
  <c r="A290" i="9" a="1"/>
  <c r="H746" i="9" a="1"/>
  <c r="E135" i="9" a="1"/>
  <c r="D63" i="9" a="1"/>
  <c r="E375" i="9" a="1"/>
  <c r="A985" i="9" a="1"/>
  <c r="D64" i="9" a="1"/>
  <c r="A78" i="9" a="1"/>
  <c r="A730" i="9" a="1"/>
  <c r="A700" i="9" a="1"/>
  <c r="I278" i="9" a="1"/>
  <c r="E278" i="9" a="1"/>
  <c r="A88" i="9" a="1"/>
  <c r="D1000" i="9" a="1"/>
  <c r="D270" i="9" a="1"/>
  <c r="D988" i="9" a="1"/>
  <c r="D363" i="9" a="1"/>
  <c r="A800" i="9" a="1"/>
  <c r="E451" i="9" a="1"/>
  <c r="D378" i="9" a="1"/>
  <c r="A713" i="9" a="1"/>
  <c r="D676" i="9" a="1"/>
  <c r="D627" i="9" a="1"/>
  <c r="D20" i="9" a="1"/>
  <c r="D750" i="9" a="1"/>
  <c r="D288" i="9" a="1"/>
  <c r="I130" i="9" a="1"/>
  <c r="D644" i="9" a="1"/>
  <c r="A117" i="9" a="1"/>
  <c r="I268" i="9" a="1"/>
  <c r="A925" i="9" a="1"/>
  <c r="I263" i="9" a="1"/>
  <c r="D40" i="9" a="1"/>
  <c r="D822" i="9" a="1"/>
  <c r="A123" i="9" a="1"/>
  <c r="D570" i="9" a="1"/>
  <c r="D917" i="9" a="1"/>
  <c r="D442" i="9" a="1"/>
  <c r="D843" i="9" a="1"/>
  <c r="D291" i="9" a="1"/>
  <c r="E730" i="9" a="1"/>
  <c r="A139" i="9" a="1"/>
  <c r="A127" i="9" a="1"/>
  <c r="D256" i="9" a="1"/>
  <c r="D46" i="9" a="1"/>
  <c r="E713" i="9" a="1"/>
  <c r="D960" i="9" a="1"/>
  <c r="D11" i="9" a="1"/>
  <c r="A568" i="9" a="1"/>
  <c r="E711" i="9" a="1"/>
  <c r="D971" i="9" a="1"/>
  <c r="D977" i="9" a="1"/>
  <c r="A32" i="9" a="1"/>
  <c r="D142" i="9" a="1"/>
  <c r="A919" i="9" a="1"/>
  <c r="A986" i="9" a="1"/>
  <c r="I71" i="9" a="1"/>
  <c r="D924" i="9" a="1"/>
  <c r="A194" i="9" a="1"/>
  <c r="A878" i="9" a="1"/>
  <c r="I15" i="9" a="1"/>
  <c r="E359" i="9" a="1"/>
  <c r="D987" i="9" a="1"/>
  <c r="F802" i="9" a="1"/>
  <c r="A321" i="9" a="1"/>
  <c r="D897" i="9" a="1"/>
  <c r="D147" i="9" a="1"/>
  <c r="A320" i="9" a="1"/>
  <c r="I265" i="9" a="1"/>
  <c r="I199" i="9" a="1"/>
  <c r="E813" i="9" a="1"/>
  <c r="D588" i="9" a="1"/>
  <c r="A934" i="9" a="1"/>
  <c r="A755" i="9" a="1"/>
  <c r="A937" i="9" a="1"/>
  <c r="D940" i="9" a="1"/>
  <c r="A169" i="9" a="1"/>
  <c r="D746" i="9" a="1"/>
  <c r="A752" i="9" a="1"/>
  <c r="E978" i="9" a="1"/>
  <c r="F898" i="9" a="1"/>
  <c r="D284" i="9" a="1"/>
  <c r="A964" i="9" a="1"/>
  <c r="I588" i="9" a="1"/>
  <c r="D652" i="9" a="1"/>
  <c r="A149" i="9" a="1"/>
  <c r="E654" i="9" a="1"/>
  <c r="D710" i="9" a="1"/>
  <c r="I87" i="9" a="1"/>
  <c r="H910" i="9" a="1"/>
  <c r="A356" i="9" a="1"/>
  <c r="E419" i="9" a="1"/>
  <c r="D645" i="9" a="1"/>
  <c r="E996" i="9" a="1"/>
  <c r="A99" i="9" a="1"/>
  <c r="A82" i="9" a="1"/>
  <c r="E804" i="9" a="1"/>
  <c r="A476" i="9" a="1"/>
  <c r="D728" i="9" a="1"/>
  <c r="A398" i="9" a="1"/>
  <c r="D724" i="9" a="1"/>
  <c r="A35" i="9" a="1"/>
  <c r="D616" i="9" a="1"/>
  <c r="D123" i="9" a="1"/>
  <c r="D353" i="9" a="1"/>
  <c r="D323" i="9" a="1"/>
  <c r="A704" i="9" a="1"/>
  <c r="D602" i="9" a="1"/>
  <c r="A709" i="9" a="1"/>
  <c r="E607" i="9" a="1"/>
  <c r="E293" i="9" a="1"/>
  <c r="D418" i="9" a="1"/>
  <c r="I675" i="9" a="1"/>
  <c r="I293" i="9" a="1"/>
  <c r="A488" i="9" a="1"/>
  <c r="E787" i="9" a="1"/>
  <c r="A428" i="9" a="1"/>
  <c r="A904" i="9" a="1"/>
  <c r="D919" i="9" a="1"/>
  <c r="A637" i="9" a="1"/>
  <c r="E844" i="9" a="1"/>
  <c r="E954" i="9" a="1"/>
  <c r="D190" i="9" a="1"/>
  <c r="A447" i="9" a="1"/>
  <c r="E126" i="9" a="1"/>
  <c r="D895" i="9" a="1"/>
  <c r="F929" i="9" a="1"/>
  <c r="E846" i="9" a="1"/>
  <c r="D687" i="9" a="1"/>
  <c r="A680" i="9" a="1"/>
  <c r="A65" i="9" a="1"/>
  <c r="D584" i="9" a="1"/>
  <c r="A48" i="9" a="1"/>
  <c r="D44" i="9" a="1"/>
  <c r="D356" i="9" a="1"/>
  <c r="E227" i="9" a="1"/>
  <c r="D787" i="9" a="1"/>
  <c r="D660" i="9" a="1"/>
  <c r="D452" i="9" a="1"/>
  <c r="E635" i="9" a="1"/>
  <c r="A623" i="9" a="1"/>
  <c r="A204" i="9" a="1"/>
  <c r="A399" i="9" a="1"/>
  <c r="A485" i="9" a="1"/>
  <c r="A984" i="9" a="1"/>
  <c r="D838" i="9" a="1"/>
  <c r="E823" i="9" a="1"/>
  <c r="D231" i="9" a="1"/>
  <c r="E601" i="9" a="1"/>
  <c r="D158" i="9" a="1"/>
  <c r="D393" i="9" a="1"/>
  <c r="A249" i="9" a="1"/>
  <c r="E691" i="9" a="1"/>
  <c r="D824" i="9" a="1"/>
  <c r="A737" i="9" a="1"/>
  <c r="D460" i="9" a="1"/>
  <c r="A370" i="9" a="1"/>
  <c r="D518" i="9" a="1"/>
  <c r="E712" i="9" a="1"/>
  <c r="D491" i="9" a="1"/>
  <c r="I89" i="9" a="1"/>
  <c r="D329" i="9" a="1"/>
  <c r="D709" i="9" a="1"/>
  <c r="E946" i="9" a="1"/>
  <c r="D541" i="9" a="1"/>
  <c r="D743" i="9" a="1"/>
  <c r="D878" i="9" a="1"/>
  <c r="A21" i="9" a="1"/>
  <c r="I208" i="9" a="1"/>
  <c r="E539" i="9" a="1"/>
  <c r="A660" i="9" a="1"/>
  <c r="E780" i="9" a="1"/>
  <c r="A962" i="9" a="1"/>
  <c r="D255" i="9" a="1"/>
  <c r="D727" i="9" a="1"/>
  <c r="E566" i="9" a="1"/>
  <c r="D498" i="9" a="1"/>
  <c r="I139" i="9" a="1"/>
  <c r="I273" i="9" a="1"/>
  <c r="E715" i="9" a="1"/>
  <c r="A74" i="9" a="1"/>
  <c r="D99" i="9" a="1"/>
  <c r="A959" i="9" a="1"/>
  <c r="A602" i="9" a="1"/>
  <c r="A574" i="9" a="1"/>
  <c r="D469" i="9" a="1"/>
  <c r="D767" i="9" a="1"/>
  <c r="D706" i="9" a="1"/>
  <c r="A843" i="9" a="1"/>
  <c r="A726" i="9" a="1"/>
  <c r="D797" i="9" a="1"/>
  <c r="E165" i="9" a="1"/>
  <c r="D927" i="9" a="1"/>
  <c r="D340" i="9" a="1"/>
  <c r="D21" i="9" a="1"/>
  <c r="A701" i="9" a="1"/>
  <c r="A6" i="9" a="1"/>
  <c r="A410" i="9" a="1"/>
  <c r="D868" i="9" a="1"/>
  <c r="A797" i="9" a="1"/>
  <c r="D504" i="9" a="1"/>
  <c r="D695" i="9" a="1"/>
  <c r="D196" i="9" a="1"/>
  <c r="D907" i="9" a="1"/>
  <c r="A90" i="9" a="1"/>
  <c r="D738" i="9" a="1"/>
  <c r="A655" i="9" a="1"/>
  <c r="E880" i="9" a="1"/>
  <c r="D932" i="9" a="1"/>
  <c r="A10" i="9" a="1"/>
  <c r="D942" i="9" a="1"/>
  <c r="D827" i="9" a="1"/>
  <c r="H266" i="9" a="1"/>
  <c r="I44" i="9" a="1"/>
  <c r="E926" i="9" a="1"/>
  <c r="F299" i="9" a="1"/>
  <c r="E928" i="9" a="1"/>
  <c r="D246" i="9" a="1"/>
  <c r="A170" i="9" a="1"/>
  <c r="I82" i="9" a="1"/>
  <c r="E106" i="9" a="1"/>
  <c r="A871" i="9" a="1"/>
  <c r="E952" i="9" a="1"/>
  <c r="D87" i="9" a="1"/>
  <c r="A477" i="9" a="1"/>
  <c r="A273" i="9" a="1"/>
  <c r="I294" i="9" a="1"/>
  <c r="E625" i="9" a="1"/>
  <c r="D786" i="9" a="1"/>
  <c r="E445" i="9" a="1"/>
  <c r="A569" i="9" a="1"/>
  <c r="A877" i="9" a="1"/>
  <c r="I933" i="9" a="1"/>
  <c r="D631" i="9" a="1"/>
  <c r="D542" i="9" a="1"/>
  <c r="D368" i="9" a="1"/>
  <c r="A707" i="9" a="1"/>
  <c r="A922" i="9" a="1"/>
  <c r="E680" i="9" a="1"/>
  <c r="I162" i="9" a="1"/>
  <c r="A777" i="9" a="1"/>
  <c r="F881" i="9" a="1"/>
  <c r="F422" i="9" a="1"/>
  <c r="H269" i="9" a="1"/>
  <c r="A892" i="9" a="1"/>
  <c r="D852" i="9" a="1"/>
  <c r="D800" i="9" a="1"/>
  <c r="E864" i="9" a="1"/>
  <c r="E542" i="9" a="1"/>
  <c r="F167" i="9" a="1"/>
  <c r="A980" i="9" a="1"/>
  <c r="A955" i="9" a="1"/>
  <c r="I240" i="9" a="1"/>
  <c r="A85" i="9" a="1"/>
  <c r="D244" i="9" a="1"/>
  <c r="D885" i="9" a="1"/>
  <c r="A431" i="9" a="1"/>
  <c r="D453" i="9" a="1"/>
  <c r="H895" i="9" a="1"/>
  <c r="F850" i="9" a="1"/>
  <c r="I159" i="9" a="1"/>
  <c r="A360" i="9" a="1"/>
  <c r="E26" i="9" a="1"/>
  <c r="A658" i="9" a="1"/>
  <c r="A793" i="9" a="1"/>
  <c r="A987" i="9" a="1"/>
  <c r="E820" i="9" a="1"/>
  <c r="A259" i="9" a="1"/>
  <c r="D287" i="9" a="1"/>
  <c r="A758" i="9" a="1"/>
  <c r="A136" i="9" a="1"/>
  <c r="A842" i="9" a="1"/>
  <c r="D714" i="9" a="1"/>
  <c r="F660" i="9" a="1"/>
  <c r="A371" i="9" a="1"/>
  <c r="F443" i="9" a="1"/>
  <c r="D360" i="9" a="1"/>
  <c r="D463" i="9" a="1"/>
  <c r="E596" i="9" a="1"/>
  <c r="A988" i="9" a="1"/>
  <c r="D525" i="9" a="1"/>
  <c r="E974" i="9" a="1"/>
  <c r="D443" i="9" a="1"/>
  <c r="E967" i="9" a="1"/>
  <c r="D764" i="9" a="1"/>
  <c r="I60" i="9" a="1"/>
  <c r="F119" i="9" a="1"/>
  <c r="A305" i="9" a="1"/>
  <c r="E973" i="9" a="1"/>
  <c r="D701" i="9" a="1"/>
  <c r="E34" i="9" a="1"/>
  <c r="D563" i="9" a="1"/>
  <c r="A81" i="9" a="1"/>
  <c r="A335" i="9" a="1"/>
  <c r="F54" i="9" a="1"/>
  <c r="D622" i="9" a="1"/>
  <c r="D647" i="9" a="1"/>
  <c r="D402" i="9" a="1"/>
  <c r="A626" i="9" a="1"/>
  <c r="A689" i="9" a="1"/>
  <c r="E31" i="9" a="1"/>
  <c r="F921" i="9" a="1"/>
  <c r="F67" i="9" a="1"/>
  <c r="F752" i="9" a="1"/>
  <c r="E474" i="9" a="1"/>
  <c r="D168" i="9" a="1"/>
  <c r="E641" i="9" a="1"/>
  <c r="D587" i="9" a="1"/>
  <c r="F657" i="9" a="1"/>
  <c r="E317" i="9" a="1"/>
  <c r="E892" i="9" a="1"/>
  <c r="A377" i="9" a="1"/>
  <c r="D849" i="9" a="1"/>
  <c r="E516" i="9" a="1"/>
  <c r="D583" i="9" a="1"/>
  <c r="E806" i="9" a="1"/>
  <c r="A457" i="9" a="1"/>
  <c r="A254" i="9" a="1"/>
  <c r="A531" i="9" a="1"/>
  <c r="G812" i="9" a="1"/>
  <c r="G674" i="9" a="1"/>
  <c r="E544" i="9" a="1"/>
  <c r="D325" i="9" a="1"/>
  <c r="F749" i="9" a="1"/>
  <c r="I354" i="9" a="1"/>
  <c r="E710" i="9" a="1"/>
  <c r="D241" i="9" a="1"/>
  <c r="F211" i="9" a="1"/>
  <c r="D539" i="9" a="1"/>
  <c r="E336" i="9" a="1"/>
  <c r="D427" i="9" a="1"/>
  <c r="A280" i="9" a="1"/>
  <c r="F133" i="9" a="1"/>
  <c r="A559" i="9" a="1"/>
  <c r="G874" i="9" a="1"/>
  <c r="D166" i="9" a="1"/>
  <c r="D775" i="9" a="1"/>
  <c r="E784" i="9" a="1"/>
  <c r="E565" i="9" a="1"/>
  <c r="D889" i="9" a="1"/>
  <c r="I207" i="9" a="1"/>
  <c r="A31" i="9" a="1"/>
  <c r="A109" i="9" a="1"/>
  <c r="D105" i="9" a="1"/>
  <c r="D347" i="9" a="1"/>
  <c r="A599" i="9" a="1"/>
  <c r="H704" i="9" a="1"/>
  <c r="A869" i="9" a="1"/>
  <c r="A324" i="9" a="1"/>
  <c r="F319" i="9" a="1"/>
  <c r="D39" i="9" a="1"/>
  <c r="F669" i="9" a="1"/>
  <c r="D815" i="9" a="1"/>
  <c r="D309" i="9" a="1"/>
  <c r="I128" i="9" a="1"/>
  <c r="I477" i="9" a="1"/>
  <c r="D798" i="9" a="1"/>
  <c r="D173" i="9" a="1"/>
  <c r="A772" i="9" a="1"/>
  <c r="A125" i="9" a="1"/>
  <c r="E936" i="9" a="1"/>
  <c r="A95" i="9" a="1"/>
  <c r="D233" i="9" a="1"/>
  <c r="E772" i="9" a="1"/>
  <c r="I132" i="9" a="1"/>
  <c r="I112" i="9" a="1"/>
  <c r="A55" i="9" a="1"/>
  <c r="D993" i="9" a="1"/>
  <c r="D303" i="9" a="1"/>
  <c r="A671" i="9" a="1"/>
  <c r="A725" i="9" a="1"/>
  <c r="I258" i="9" a="1"/>
  <c r="E857" i="9" a="1"/>
  <c r="E381" i="9" a="1"/>
  <c r="E365" i="9" a="1"/>
  <c r="I204" i="9" a="1"/>
  <c r="I154" i="9" a="1"/>
  <c r="D782" i="9" a="1"/>
  <c r="A319" i="9" a="1"/>
  <c r="E268" i="9" a="1"/>
  <c r="D717" i="9" a="1"/>
  <c r="E637" i="9" a="1"/>
  <c r="D601" i="9" a="1"/>
  <c r="D791" i="9" a="1"/>
  <c r="D479" i="9" a="1"/>
  <c r="D81" i="9" a="1"/>
  <c r="A786" i="9" a="1"/>
  <c r="D229" i="9" a="1"/>
  <c r="D97" i="9" a="1"/>
  <c r="A659" i="9" a="1"/>
  <c r="D661" i="9" a="1"/>
  <c r="E883" i="9" a="1"/>
  <c r="A137" i="9" a="1"/>
  <c r="D918" i="9" a="1"/>
  <c r="F789" i="9" a="1"/>
  <c r="D781" i="9" a="1"/>
  <c r="H235" i="9" a="1"/>
  <c r="A645" i="9" a="1"/>
  <c r="A484" i="9" a="1"/>
  <c r="F993" i="9" a="1"/>
  <c r="A29" i="9" a="1"/>
  <c r="A156" i="9" a="1"/>
  <c r="D511" i="9" a="1"/>
  <c r="A823" i="9" a="1"/>
  <c r="E808" i="9" a="1"/>
  <c r="D593" i="9" a="1"/>
  <c r="D713" i="9" a="1"/>
  <c r="A547" i="9" a="1"/>
  <c r="D263" i="9" a="1"/>
  <c r="A364" i="9" a="1"/>
  <c r="A524" i="9" a="1"/>
  <c r="D553" i="9" a="1"/>
  <c r="A605" i="9" a="1"/>
  <c r="D251" i="9" a="1"/>
  <c r="A419" i="9" a="1"/>
  <c r="D731" i="9" a="1"/>
  <c r="A817" i="9" a="1"/>
  <c r="E932" i="9" a="1"/>
  <c r="D416" i="9" a="1"/>
  <c r="D312" i="9" a="1"/>
  <c r="D286" i="9" a="1"/>
  <c r="D462" i="9" a="1"/>
  <c r="I205" i="9" a="1"/>
  <c r="I107" i="9" a="1"/>
  <c r="D268" i="9" a="1"/>
  <c r="D277" i="9" a="1"/>
  <c r="E938" i="9" a="1"/>
  <c r="A991" i="9" a="1"/>
  <c r="E1002" i="9" a="1"/>
  <c r="D794" i="9" a="1"/>
  <c r="E87" i="9" a="1"/>
  <c r="H870" i="9" a="1"/>
  <c r="I78" i="9" a="1"/>
  <c r="A923" i="9" a="1"/>
  <c r="E81" i="9" a="1"/>
  <c r="D808" i="9" a="1"/>
  <c r="D777" i="9" a="1"/>
  <c r="A459" i="9" a="1"/>
  <c r="E769" i="9" a="1"/>
  <c r="D245" i="9" a="1"/>
  <c r="D70" i="9" a="1"/>
  <c r="A258" i="9" a="1"/>
  <c r="D345" i="9" a="1"/>
  <c r="D468" i="9" a="1"/>
  <c r="A494" i="9" a="1"/>
  <c r="H439" i="9" a="1"/>
  <c r="I183" i="9" a="1"/>
  <c r="A270" i="9" a="1"/>
  <c r="D609" i="9" a="1"/>
  <c r="D906" i="9" a="1"/>
  <c r="I262" i="9" a="1"/>
  <c r="D477" i="9" a="1"/>
  <c r="A242" i="9" a="1"/>
  <c r="D757" i="9" a="1"/>
  <c r="D956" i="9" a="1"/>
  <c r="A116" i="9" a="1"/>
  <c r="A395" i="9" a="1"/>
  <c r="A625" i="9" a="1"/>
  <c r="I235" i="9" a="1"/>
  <c r="D119" i="9" a="1"/>
  <c r="A635" i="9" a="1"/>
  <c r="A100" i="9" a="1"/>
  <c r="A401" i="9" a="1"/>
  <c r="I282" i="9" a="1"/>
  <c r="E199" i="9" a="1"/>
  <c r="E768" i="9" a="1"/>
  <c r="D608" i="9" a="1"/>
  <c r="F607" i="9" a="1"/>
  <c r="E245" i="9" a="1"/>
  <c r="F944" i="9" a="1"/>
  <c r="E821" i="9" a="1"/>
  <c r="E777" i="9" a="1"/>
  <c r="E991" i="9" a="1"/>
  <c r="D981" i="9" a="1"/>
  <c r="E531" i="9" a="1"/>
  <c r="D973" i="9" a="1"/>
  <c r="D928" i="9" a="1"/>
  <c r="A449" i="9" a="1"/>
  <c r="E577" i="9" a="1"/>
  <c r="A11" i="9" a="1"/>
  <c r="D900" i="9" a="1"/>
  <c r="A944" i="9" a="1"/>
  <c r="D374" i="9" a="1"/>
  <c r="F605" i="9" a="1"/>
  <c r="F222" i="9" a="1"/>
  <c r="E517" i="9" a="1"/>
  <c r="D214" i="9" a="1"/>
  <c r="A967" i="9" a="1"/>
  <c r="D905" i="9" a="1"/>
  <c r="D494" i="9" a="1"/>
  <c r="D198" i="9" a="1"/>
  <c r="E658" i="9" a="1"/>
  <c r="H315" i="9" a="1"/>
  <c r="F960" i="9" a="1"/>
  <c r="I297" i="9" a="1"/>
  <c r="E852" i="9" a="1"/>
  <c r="D776" i="9" a="1"/>
  <c r="A182" i="9" a="1"/>
  <c r="I127" i="9" a="1"/>
  <c r="E366" i="9" a="1"/>
  <c r="A527" i="9" a="1"/>
  <c r="A994" i="9" a="1"/>
  <c r="D823" i="9" a="1"/>
  <c r="D933" i="9" a="1"/>
  <c r="A83" i="9" a="1"/>
  <c r="D272" i="9" a="1"/>
  <c r="E35" i="9" a="1"/>
  <c r="A848" i="9" a="1"/>
  <c r="E62" i="9" a="1"/>
  <c r="D817" i="9" a="1"/>
  <c r="E216" i="9" a="1"/>
  <c r="D965" i="9" a="1"/>
  <c r="D182" i="9" a="1"/>
  <c r="D386" i="9" a="1"/>
  <c r="D480" i="9" a="1"/>
  <c r="E698" i="9" a="1"/>
  <c r="D675" i="9" a="1"/>
  <c r="D740" i="9" a="1"/>
  <c r="D951" i="9" a="1"/>
  <c r="D82" i="9" a="1"/>
  <c r="I898" i="9" a="1"/>
  <c r="A552" i="9" a="1"/>
  <c r="E965" i="9" a="1"/>
  <c r="A421" i="9" a="1"/>
  <c r="I149" i="9" a="1"/>
  <c r="E503" i="9" a="1"/>
  <c r="D485" i="9" a="1"/>
  <c r="E337" i="9" a="1"/>
  <c r="E959" i="9" a="1"/>
  <c r="A224" i="9" a="1"/>
  <c r="F769" i="9" a="1"/>
  <c r="E603" i="9" a="1"/>
  <c r="E90" i="9" a="1"/>
  <c r="D980" i="9" a="1"/>
  <c r="A965" i="9" a="1"/>
  <c r="A731" i="9" a="1"/>
  <c r="A807" i="9" a="1"/>
  <c r="D420" i="9" a="1"/>
  <c r="A874" i="9" a="1"/>
  <c r="D217" i="9" a="1"/>
  <c r="A992" i="9" a="1"/>
  <c r="A91" i="9" a="1"/>
  <c r="E738" i="9" a="1"/>
  <c r="D170" i="9" a="1"/>
  <c r="E1001" i="9" a="1"/>
  <c r="D685" i="9" a="1"/>
  <c r="A710" i="9" a="1"/>
  <c r="D52" i="9" a="1"/>
  <c r="D974" i="9" a="1"/>
  <c r="A131" i="9" a="1"/>
  <c r="D83" i="9" a="1"/>
  <c r="A266" i="9" a="1"/>
  <c r="E187" i="9" a="1"/>
  <c r="A1000" i="9" a="1"/>
  <c r="A640" i="9" a="1"/>
  <c r="E734" i="9" a="1"/>
  <c r="D599" i="9" a="1"/>
  <c r="I583" i="9" a="1"/>
  <c r="D755" i="9" a="1"/>
  <c r="D747" i="9" a="1"/>
  <c r="D745" i="9" a="1"/>
  <c r="G541" i="9" a="1"/>
  <c r="A39" i="9" a="1"/>
  <c r="D96" i="9" a="1"/>
  <c r="E496" i="9" a="1"/>
  <c r="D640" i="9" a="1"/>
  <c r="A353" i="9" a="1"/>
  <c r="A339" i="9" a="1"/>
  <c r="F857" i="9" a="1"/>
  <c r="D370" i="9" a="1"/>
  <c r="D67" i="9" a="1"/>
  <c r="A343" i="9" a="1"/>
  <c r="A776" i="9" a="1"/>
  <c r="D592" i="9" a="1"/>
  <c r="I173" i="9" a="1"/>
  <c r="D580" i="9" a="1"/>
  <c r="I303" i="9" a="1"/>
  <c r="E510" i="9" a="1"/>
  <c r="F883" i="9" a="1"/>
  <c r="A472" i="9" a="1"/>
  <c r="D680" i="9" a="1"/>
  <c r="D346" i="9" a="1"/>
  <c r="F644" i="9" a="1"/>
  <c r="D357" i="9" a="1"/>
  <c r="D884" i="9" a="1"/>
  <c r="H641" i="9" a="1"/>
  <c r="A521" i="9" a="1"/>
  <c r="I287" i="9" a="1"/>
  <c r="A274" i="9" a="1"/>
  <c r="F952" i="9" a="1"/>
  <c r="D41" i="9" a="1"/>
  <c r="A662" i="9" a="1"/>
  <c r="I155" i="9" a="1"/>
  <c r="I288" i="9" a="1"/>
  <c r="D145" i="9" a="1"/>
  <c r="D355" i="9" a="1"/>
  <c r="D23" i="9" a="1"/>
  <c r="E898" i="9" a="1"/>
  <c r="D804" i="9" a="1"/>
  <c r="A286" i="9" a="1"/>
  <c r="A212" i="9" a="1"/>
  <c r="E636" i="9" a="1"/>
  <c r="D98" i="9" a="1"/>
  <c r="D874" i="9" a="1"/>
  <c r="I35" i="9" a="1"/>
  <c r="I8" i="9" a="1"/>
  <c r="H79" i="9" a="1"/>
  <c r="I11" i="9" a="1"/>
  <c r="D53" i="9" a="1"/>
  <c r="D737" i="9" a="1"/>
  <c r="F694" i="9" a="1"/>
  <c r="A394" i="9" a="1"/>
  <c r="D831" i="9" a="1"/>
  <c r="E981" i="9" a="1"/>
  <c r="F614" i="9" a="1"/>
  <c r="D596" i="9" a="1"/>
  <c r="D566" i="9" a="1"/>
  <c r="A596" i="9" a="1"/>
  <c r="E906" i="9" a="1"/>
  <c r="I332" i="9" a="1"/>
  <c r="I222" i="9" a="1"/>
  <c r="A798" i="9" a="1"/>
  <c r="D176" i="9" a="1"/>
  <c r="E99" i="9" a="1"/>
  <c r="D766" i="9" a="1"/>
  <c r="A390" i="9" a="1"/>
  <c r="I289" i="9" a="1"/>
  <c r="E949" i="9" a="1"/>
  <c r="A427" i="9" a="1"/>
  <c r="D390" i="9" a="1"/>
  <c r="E987" i="9" a="1"/>
  <c r="D772" i="9" a="1"/>
  <c r="A37" i="9" a="1"/>
  <c r="E709" i="9" a="1"/>
  <c r="A611" i="9" a="1"/>
  <c r="A58" i="9" a="1"/>
  <c r="A978" i="9" a="1"/>
  <c r="D944" i="9" a="1"/>
  <c r="E138" i="9" a="1"/>
  <c r="D441" i="9" a="1"/>
  <c r="I243" i="9" a="1"/>
  <c r="D338" i="9" a="1"/>
  <c r="H59" i="9" a="1"/>
  <c r="D364" i="9" a="1"/>
  <c r="E493" i="9" a="1"/>
  <c r="A430" i="9" a="1"/>
  <c r="D867" i="9" a="1"/>
  <c r="F494" i="9" a="1"/>
  <c r="I65" i="9" a="1"/>
  <c r="A828" i="9" a="1"/>
  <c r="E406" i="9" a="1"/>
  <c r="A712" i="9" a="1"/>
  <c r="D768" i="9" a="1"/>
  <c r="D60" i="9" a="1"/>
  <c r="A340" i="9" a="1"/>
  <c r="A722" i="9" a="1"/>
  <c r="D605" i="9" a="1"/>
  <c r="D45" i="9" a="1"/>
  <c r="A557" i="9" a="1"/>
  <c r="E674" i="9" a="1"/>
  <c r="A445" i="9" a="1"/>
  <c r="D199" i="9" a="1"/>
  <c r="A407" i="9" a="1"/>
  <c r="D696" i="9" a="1"/>
  <c r="I96" i="9" a="1"/>
  <c r="A336" i="9" a="1"/>
  <c r="A539" i="9" a="1"/>
  <c r="D860" i="9" a="1"/>
  <c r="H449" i="9" a="1"/>
  <c r="D475" i="9" a="1"/>
  <c r="A665" i="9" a="1"/>
  <c r="A151" i="9" a="1"/>
  <c r="D967" i="9" a="1"/>
  <c r="D658" i="9" a="1"/>
  <c r="D629" i="9" a="1"/>
  <c r="A13" i="9" a="1"/>
  <c r="A455" i="9" a="1"/>
  <c r="A248" i="9" a="1"/>
  <c r="I239" i="9" a="1"/>
  <c r="D1002" i="9" a="1"/>
  <c r="A814" i="9" a="1"/>
  <c r="A990" i="9" a="1"/>
  <c r="D985" i="9" a="1"/>
  <c r="H303" i="9" a="1"/>
  <c r="A518" i="9" a="1"/>
  <c r="I7" i="9" a="1"/>
  <c r="D943" i="9" a="1"/>
  <c r="D716" i="9" a="1"/>
  <c r="H719" i="9" a="1"/>
  <c r="A231" i="9" a="1"/>
  <c r="H600" i="9" a="1"/>
  <c r="D812" i="9" a="1"/>
  <c r="H524" i="9" a="1"/>
  <c r="E440" i="9" a="1"/>
  <c r="D882" i="9" a="1"/>
  <c r="D975" i="9" a="1"/>
  <c r="A682" i="9" a="1"/>
  <c r="I271" i="9" a="1"/>
  <c r="A716" i="9" a="1"/>
  <c r="D28" i="9" a="1"/>
  <c r="I257" i="9" a="1"/>
  <c r="A794" i="9" a="1"/>
  <c r="I30" i="9" a="1"/>
  <c r="I58" i="9" a="1"/>
  <c r="I757" i="9" a="1"/>
  <c r="A345" i="9" a="1"/>
  <c r="A215" i="9" a="1"/>
  <c r="A460" i="9" a="1"/>
  <c r="I747" i="9" a="1"/>
  <c r="A382" i="9" a="1"/>
  <c r="A189" i="9" a="1"/>
  <c r="A528" i="9" a="1"/>
  <c r="A435" i="9" a="1"/>
  <c r="D524" i="9" a="1"/>
  <c r="A281" i="9" a="1"/>
  <c r="A694" i="9" a="1"/>
  <c r="D793" i="9" a="1"/>
  <c r="D380" i="9" a="1"/>
  <c r="F953" i="9" a="1"/>
  <c r="A113" i="9" a="1"/>
  <c r="F999" i="9" a="1"/>
  <c r="A28" i="9" a="1"/>
  <c r="D589" i="9" a="1"/>
  <c r="I197" i="9" a="1"/>
  <c r="E469" i="9" a="1"/>
  <c r="E832" i="9" a="1"/>
  <c r="D814" i="9" a="1"/>
  <c r="I31" i="9" a="1"/>
  <c r="A796" i="9" a="1"/>
  <c r="E288" i="9" a="1"/>
  <c r="E685" i="9" a="1"/>
  <c r="D668" i="9" a="1"/>
  <c r="D659" i="9" a="1"/>
  <c r="A314" i="9" a="1"/>
  <c r="D625" i="9" a="1"/>
  <c r="A558" i="9" a="1"/>
  <c r="A101" i="9" a="1"/>
  <c r="F670" i="9" a="1"/>
  <c r="D429" i="9" a="1"/>
  <c r="E741" i="9" a="1"/>
  <c r="H589" i="9" a="1"/>
  <c r="D821" i="9" a="1"/>
  <c r="A44" i="9" a="1"/>
  <c r="D963" i="9" a="1"/>
  <c r="A620" i="9" a="1"/>
  <c r="D544" i="9" a="1"/>
  <c r="A859" i="9" a="1"/>
  <c r="A560" i="9" a="1"/>
  <c r="D778" i="9" a="1"/>
  <c r="I903" i="9" a="1"/>
  <c r="I93" i="9" a="1"/>
  <c r="H799" i="9" a="1"/>
  <c r="D552" i="9" a="1"/>
  <c r="A317" i="9" a="1"/>
  <c r="I32" i="9" a="1"/>
  <c r="A483" i="9" a="1"/>
  <c r="A56" i="9" a="1"/>
  <c r="A9" i="9" a="1"/>
  <c r="A719" i="9" a="1"/>
  <c r="I688" i="9" a="1"/>
  <c r="I168" i="9" a="1"/>
  <c r="I494" i="9" a="1"/>
  <c r="A556" i="9" a="1"/>
  <c r="A260" i="9" a="1"/>
  <c r="A669" i="9" a="1"/>
  <c r="D969" i="9" a="1"/>
  <c r="I669" i="9" a="1"/>
  <c r="H409" i="9" a="1"/>
  <c r="A887" i="9" a="1"/>
  <c r="A498" i="9" a="1"/>
  <c r="I49" i="9" a="1"/>
  <c r="H39" i="9" a="1"/>
  <c r="H844" i="9" a="1"/>
  <c r="H760" i="9" a="1"/>
  <c r="H11" i="9" a="1"/>
  <c r="H311" i="9" a="1"/>
  <c r="I648" i="9" a="1"/>
  <c r="I772" i="9" a="1"/>
  <c r="A225" i="9" a="1"/>
  <c r="A59" i="9" a="1"/>
  <c r="D371" i="9" a="1"/>
  <c r="A901" i="9" a="1"/>
  <c r="A562" i="9" a="1"/>
  <c r="A837" i="9" a="1"/>
  <c r="E812" i="9" a="1"/>
  <c r="A631" i="9" a="1"/>
  <c r="A210" i="9" a="1"/>
  <c r="A446" i="9" a="1"/>
  <c r="H375" i="9" a="1"/>
  <c r="H143" i="9" a="1"/>
  <c r="A228" i="9" a="1"/>
  <c r="D121" i="9" a="1"/>
  <c r="A960" i="9" a="1"/>
  <c r="A643" i="9" a="1"/>
  <c r="D648" i="9" a="1"/>
  <c r="A684" i="9" a="1"/>
  <c r="I62" i="9" a="1"/>
  <c r="H440" i="9" a="1"/>
  <c r="I37" i="9" a="1"/>
  <c r="A863" i="9" a="1"/>
  <c r="I845" i="9" a="1"/>
  <c r="D703" i="9" a="1"/>
  <c r="D623" i="9" a="1"/>
  <c r="A604" i="9" a="1"/>
  <c r="D681" i="9" a="1"/>
  <c r="A475" i="9" a="1"/>
  <c r="A668" i="9" a="1"/>
  <c r="A595" i="9" a="1"/>
  <c r="E763" i="9" a="1"/>
  <c r="A886" i="9" a="1"/>
  <c r="A908" i="9" a="1"/>
  <c r="E95" i="9" a="1"/>
  <c r="A653" i="9" a="1"/>
  <c r="D999" i="9" a="1"/>
  <c r="D143" i="9" a="1"/>
  <c r="A787" i="9" a="1"/>
  <c r="E169" i="9" a="1"/>
  <c r="D160" i="9" a="1"/>
  <c r="D953" i="9" a="1"/>
  <c r="A309" i="9" a="1"/>
  <c r="D359" i="9" a="1"/>
  <c r="A299" i="9" a="1"/>
  <c r="D997" i="9" a="1"/>
  <c r="A503" i="9" a="1"/>
  <c r="E653" i="9" a="1"/>
  <c r="I353" i="9" a="1"/>
  <c r="A639" i="9" a="1"/>
  <c r="E686" i="9" a="1"/>
  <c r="D966" i="9" a="1"/>
  <c r="D984" i="9" a="1"/>
  <c r="D377" i="9" a="1"/>
  <c r="I45" i="9" a="1"/>
  <c r="A304" i="9" a="1"/>
  <c r="D806" i="9" a="1"/>
  <c r="A129" i="9" a="1"/>
  <c r="I43" i="9" a="1"/>
  <c r="A64" i="9" a="1"/>
  <c r="D830" i="9" a="1"/>
  <c r="A326" i="9" a="1"/>
  <c r="H441" i="9" a="1"/>
  <c r="I244" i="9" a="1"/>
  <c r="A441" i="9" a="1"/>
  <c r="I350" i="9" a="1"/>
  <c r="A310" i="9" a="1"/>
  <c r="A802" i="9" a="1"/>
  <c r="A246" i="9" a="1"/>
  <c r="A159" i="9" a="1"/>
  <c r="E807" i="9" a="1"/>
  <c r="A685" i="9" a="1"/>
  <c r="I988" i="9" a="1"/>
  <c r="I99" i="9" a="1"/>
  <c r="I242" i="9" a="1"/>
  <c r="A676" i="9" a="1"/>
  <c r="A350" i="9" a="1"/>
  <c r="A614" i="9" a="1"/>
  <c r="A679" i="9" a="1"/>
  <c r="I932" i="9" a="1"/>
  <c r="D762" i="9" a="1"/>
  <c r="D915" i="9" a="1"/>
  <c r="H519" i="9" a="1"/>
  <c r="A820" i="9" a="1"/>
  <c r="I952" i="9" a="1"/>
  <c r="I549" i="9" a="1"/>
  <c r="A298" i="9" a="1"/>
  <c r="H290" i="9" a="1"/>
  <c r="A92" i="9" a="1"/>
  <c r="I682" i="9" a="1"/>
  <c r="D678" i="9" a="1"/>
  <c r="I108" i="9" a="1"/>
  <c r="H546" i="9" a="1"/>
  <c r="A235" i="9" a="1"/>
  <c r="D810" i="9" a="1"/>
  <c r="A583" i="9" a="1"/>
  <c r="A272" i="9" a="1"/>
  <c r="A688" i="9" a="1"/>
  <c r="I320" i="9" a="1"/>
  <c r="D507" i="9" a="1"/>
  <c r="A788" i="9" a="1"/>
  <c r="A791" i="9" a="1"/>
  <c r="A511" i="9" a="1"/>
  <c r="A185" i="9" a="1"/>
  <c r="I160" i="9" a="1"/>
  <c r="A164" i="9" a="1"/>
  <c r="A508" i="9" a="1"/>
  <c r="D192" i="9" a="1"/>
  <c r="A51" i="9" a="1"/>
  <c r="E870" i="9" a="1"/>
  <c r="A128" i="9" a="1"/>
  <c r="F805" i="9" a="1"/>
  <c r="A757" i="9" a="1"/>
  <c r="A551" i="9" a="1"/>
  <c r="A590" i="9" a="1"/>
  <c r="A179" i="9" a="1"/>
  <c r="E467" i="9" a="1"/>
  <c r="D733" i="9" a="1"/>
  <c r="D853" i="9" a="1"/>
  <c r="A308" i="9" a="1"/>
  <c r="D210" i="9" a="1"/>
  <c r="I482" i="9" a="1"/>
  <c r="A818" i="9" a="1"/>
  <c r="D866" i="9" a="1"/>
  <c r="A77" i="9" a="1"/>
  <c r="A720" i="9" a="1"/>
  <c r="A391" i="9" a="1"/>
  <c r="A686" i="9" a="1"/>
  <c r="A970" i="9" a="1"/>
  <c r="A865" i="9" a="1"/>
  <c r="A160" i="9" a="1"/>
  <c r="D667" i="9" a="1"/>
  <c r="A911" i="9" a="1"/>
  <c r="A622" i="9" a="1"/>
  <c r="I738" i="9" a="1"/>
  <c r="H796" i="9" a="1"/>
  <c r="H395" i="9" a="1"/>
  <c r="H764" i="9" a="1"/>
  <c r="I224" i="9" a="1"/>
  <c r="A27" i="9" a="1"/>
  <c r="I308" i="9" a="1"/>
  <c r="I663" i="9" a="1"/>
  <c r="D982" i="9" a="1"/>
  <c r="A153" i="9" a="1"/>
  <c r="A835" i="9" a="1"/>
  <c r="D449" i="9" a="1"/>
  <c r="D819" i="9" a="1"/>
  <c r="I393" i="9" a="1"/>
  <c r="I448" i="9" a="1"/>
  <c r="H759" i="9" a="1"/>
  <c r="H564" i="9" a="1"/>
  <c r="H544" i="9" a="1"/>
  <c r="E923" i="9" a="1"/>
  <c r="A924" i="9" a="1"/>
  <c r="D715" i="9" a="1"/>
  <c r="I176" i="9" a="1"/>
  <c r="A143" i="9" a="1"/>
  <c r="A714" i="9" a="1"/>
  <c r="A469" i="9" a="1"/>
  <c r="D615" i="9" a="1"/>
  <c r="A362" i="9" a="1"/>
  <c r="I572" i="9" a="1"/>
  <c r="A711" i="9" a="1"/>
  <c r="A351" i="9" a="1"/>
  <c r="A931" i="9" a="1"/>
  <c r="D446" i="9" a="1"/>
  <c r="I187" i="9" a="1"/>
  <c r="I72" i="9" a="1"/>
  <c r="A79" i="9" a="1"/>
  <c r="D686" i="9" a="1"/>
  <c r="A464" i="9" a="1"/>
  <c r="H664" i="9" a="1"/>
  <c r="D705" i="9" a="1"/>
  <c r="A735" i="9" a="1"/>
  <c r="D902" i="9" a="1"/>
  <c r="E762" i="9" a="1"/>
  <c r="D939" i="9" a="1"/>
  <c r="D998" i="9" a="1"/>
  <c r="D857" i="9" a="1"/>
  <c r="D458" i="9" a="1"/>
  <c r="A201" i="9" a="1"/>
  <c r="D137" i="9" a="1"/>
  <c r="I143" i="9" a="1"/>
  <c r="A60" i="9" a="1"/>
  <c r="D869" i="9" a="1"/>
  <c r="A198" i="9" a="1"/>
  <c r="I937" i="9" a="1"/>
  <c r="A252" i="9" a="1"/>
  <c r="D12" i="9" a="1"/>
  <c r="E958" i="9" a="1"/>
  <c r="F392" i="9" a="1"/>
  <c r="A845" i="9" a="1"/>
  <c r="A674" i="9" a="1"/>
  <c r="I133" i="9" a="1"/>
  <c r="A929" i="9" a="1"/>
  <c r="D195" i="9" a="1"/>
  <c r="A86" i="9" a="1"/>
  <c r="A5" i="9" a="1"/>
  <c r="E735" i="9" a="1"/>
  <c r="E528" i="9" a="1"/>
  <c r="A114" i="9" a="1"/>
  <c r="A936" i="9" a="1"/>
  <c r="D930" i="9" a="1"/>
  <c r="F1000" i="9" a="1"/>
  <c r="I124" i="9" a="1"/>
  <c r="A977" i="9" a="1"/>
  <c r="D891" i="9" a="1"/>
  <c r="I598" i="9" a="1"/>
  <c r="E939" i="9" a="1"/>
  <c r="E342" i="9" a="1"/>
  <c r="E441" i="9" a="1"/>
  <c r="D858" i="9" a="1"/>
  <c r="D692" i="9" a="1"/>
  <c r="D573" i="9" a="1"/>
  <c r="I214" i="9" a="1"/>
  <c r="A463" i="9" a="1"/>
  <c r="A486" i="9" a="1"/>
  <c r="A408" i="9" a="1"/>
  <c r="I254" i="9" a="1"/>
  <c r="A63" i="9" a="1"/>
  <c r="E975" i="9" a="1"/>
  <c r="D876" i="9" a="1"/>
  <c r="A972" i="9" a="1"/>
  <c r="D722" i="9" a="1"/>
  <c r="A554" i="9" a="1"/>
  <c r="A708" i="9" a="1"/>
  <c r="H45" i="9" a="1"/>
  <c r="D662" i="9" a="1"/>
  <c r="I163" i="9" a="1"/>
  <c r="I317" i="9" a="1"/>
  <c r="H373" i="9" a="1"/>
  <c r="E977" i="9" a="1"/>
  <c r="A306" i="9" a="1"/>
  <c r="A759" i="9" a="1"/>
  <c r="I279" i="9" a="1"/>
  <c r="D991" i="9" a="1"/>
  <c r="A782" i="9" a="1"/>
  <c r="I103" i="9" a="1"/>
  <c r="A293" i="9" a="1"/>
  <c r="I338" i="9" a="1"/>
  <c r="H484" i="9" a="1"/>
  <c r="A325" i="9" a="1"/>
  <c r="H838" i="9" a="1"/>
  <c r="H361" i="9" a="1"/>
  <c r="H469" i="9" a="1"/>
  <c r="A851" i="9" a="1"/>
  <c r="A403" i="9" a="1"/>
  <c r="A303" i="9" a="1"/>
  <c r="I39" i="9" a="1"/>
  <c r="H229" i="9" a="1"/>
  <c r="I116" i="9" a="1"/>
  <c r="D846" i="9" a="1"/>
  <c r="I697" i="9" a="1"/>
  <c r="D910" i="9" a="1"/>
  <c r="I21" i="9" a="1"/>
  <c r="I270" i="9" a="1"/>
  <c r="I172" i="9" a="1"/>
  <c r="D922" i="9" a="1"/>
  <c r="D996" i="9" a="1"/>
  <c r="A87" i="9" a="1"/>
  <c r="I51" i="9" a="1"/>
  <c r="H72" i="9" a="1"/>
  <c r="D456" i="9" a="1"/>
  <c r="D847" i="9" a="1"/>
  <c r="D788" i="9" a="1"/>
  <c r="I408" i="9" a="1"/>
  <c r="D148" i="9" a="1"/>
  <c r="A812" i="9" a="1"/>
  <c r="D978" i="9" a="1"/>
  <c r="A876" i="9" a="1"/>
  <c r="D528" i="9" a="1"/>
  <c r="H30" i="9" a="1"/>
  <c r="I744" i="9" a="1"/>
  <c r="D557" i="9" a="1"/>
  <c r="D436" i="9" a="1"/>
  <c r="I284" i="9" a="1"/>
  <c r="I53" i="9" a="1"/>
  <c r="I117" i="9" a="1"/>
  <c r="H404" i="9" a="1"/>
  <c r="A98" i="9" a="1"/>
  <c r="I508" i="9" a="1"/>
  <c r="I574" i="9" a="1"/>
  <c r="H985" i="9" a="1"/>
  <c r="A217" i="9" a="1"/>
  <c r="I129" i="9" a="1"/>
  <c r="A453" i="9" a="1"/>
  <c r="A743" i="9" a="1"/>
  <c r="H525" i="9" a="1"/>
  <c r="A580" i="9" a="1"/>
  <c r="I304" i="9" a="1"/>
  <c r="A902" i="9" a="1"/>
  <c r="I209" i="9" a="1"/>
  <c r="A914" i="9" a="1"/>
  <c r="I702" i="9" a="1"/>
  <c r="A413" i="9" a="1"/>
  <c r="A438" i="9" a="1"/>
  <c r="D25" i="9" a="1"/>
  <c r="A94" i="9" a="1"/>
  <c r="D760" i="9" a="1"/>
  <c r="I327" i="9" a="1"/>
  <c r="A145" i="9" a="1"/>
  <c r="D311" i="9" a="1"/>
  <c r="A729" i="9" a="1"/>
  <c r="I838" i="9" a="1"/>
  <c r="I389" i="9" a="1"/>
  <c r="I5" i="9" a="1"/>
  <c r="A397" i="9" a="1"/>
  <c r="A608" i="9" a="1"/>
  <c r="I839" i="9" a="1"/>
  <c r="A606" i="9" a="1"/>
  <c r="A657" i="9" a="1"/>
  <c r="A903" i="9" a="1"/>
  <c r="I250" i="9" a="1"/>
  <c r="A738" i="9" a="1"/>
  <c r="A652" i="9" a="1"/>
  <c r="A628" i="9" a="1"/>
  <c r="D789" i="9" a="1"/>
  <c r="A813" i="9" a="1"/>
  <c r="A734" i="9" a="1"/>
  <c r="I763" i="9" a="1"/>
  <c r="A311" i="9" a="1"/>
  <c r="H780" i="9" a="1"/>
  <c r="A795" i="9" a="1"/>
  <c r="A285" i="9" a="1"/>
  <c r="I645" i="9" a="1"/>
  <c r="A836" i="9" a="1"/>
  <c r="H574" i="9" a="1"/>
  <c r="A570" i="9" a="1"/>
  <c r="I376" i="9" a="1"/>
  <c r="I67" i="9" a="1"/>
  <c r="I280" i="9" a="1"/>
  <c r="I548" i="9" a="1"/>
  <c r="I575" i="9" a="1"/>
  <c r="I111" i="9" a="1"/>
  <c r="H625" i="9" a="1"/>
  <c r="I483" i="9" a="1"/>
  <c r="A932" i="9" a="1"/>
  <c r="A910" i="9" a="1"/>
  <c r="H325" i="9" a="1"/>
  <c r="A866" i="9" a="1"/>
  <c r="D756" i="9" a="1"/>
  <c r="A161" i="9" a="1"/>
  <c r="I57" i="9" a="1"/>
  <c r="A80" i="9" a="1"/>
  <c r="I94" i="9" a="1"/>
  <c r="I9" i="9" a="1"/>
  <c r="A763" i="9" a="1"/>
  <c r="A89" i="9" a="1"/>
  <c r="A839" i="9" a="1"/>
  <c r="A465" i="9" a="1"/>
  <c r="I33" i="9" a="1"/>
  <c r="A284" i="9" a="1"/>
  <c r="I727" i="9" a="1"/>
  <c r="H280" i="9" a="1"/>
  <c r="D816" i="9" a="1"/>
  <c r="D875" i="9" a="1"/>
  <c r="I291" i="9" a="1"/>
  <c r="I782" i="9" a="1"/>
  <c r="H192" i="9" a="1"/>
  <c r="A889" i="9" a="1"/>
  <c r="I274" i="9" a="1"/>
  <c r="A764" i="9" a="1"/>
  <c r="D392" i="9" a="1"/>
  <c r="A393" i="9" a="1"/>
  <c r="D989" i="9" a="1"/>
  <c r="A542" i="9" a="1"/>
  <c r="H60" i="9" a="1"/>
  <c r="I753" i="9" a="1"/>
  <c r="H494" i="9" a="1"/>
  <c r="A295" i="9" a="1"/>
  <c r="A971" i="9" a="1"/>
  <c r="H491" i="9" a="1"/>
  <c r="A854" i="9" a="1"/>
  <c r="D920" i="9" a="1"/>
  <c r="H379" i="9" a="1"/>
  <c r="A473" i="9" a="1"/>
  <c r="D964" i="9" a="1"/>
  <c r="I717" i="9" a="1"/>
  <c r="A76" i="9" a="1"/>
  <c r="I458" i="9" a="1"/>
  <c r="I18" i="9" a="1"/>
  <c r="A810" i="9" a="1"/>
  <c r="A617" i="9" a="1"/>
  <c r="I732" i="9" a="1"/>
  <c r="H649" i="9" a="1"/>
  <c r="H120" i="9" a="1"/>
  <c r="D908" i="9" a="1"/>
  <c r="D923" i="9" a="1"/>
  <c r="D671" i="9" a="1"/>
  <c r="A15" i="9" a="1"/>
  <c r="A834" i="9" a="1"/>
  <c r="A739" i="9" a="1"/>
  <c r="D181" i="9" a="1"/>
  <c r="D941" i="9" a="1"/>
  <c r="A847" i="9" a="1"/>
  <c r="I36" i="9" a="1"/>
  <c r="A43" i="9" a="1"/>
  <c r="A466" i="9" a="1"/>
  <c r="D896" i="9" a="1"/>
  <c r="A206" i="9" a="1"/>
  <c r="I957" i="9" a="1"/>
  <c r="D501" i="9" a="1"/>
  <c r="A526" i="9" a="1"/>
  <c r="D670" i="9" a="1"/>
  <c r="D590" i="9" a="1"/>
  <c r="A875" i="9" a="1"/>
  <c r="H849" i="9" a="1"/>
  <c r="D851" i="9" a="1"/>
  <c r="H396" i="9" a="1"/>
  <c r="D948" i="9" a="1"/>
  <c r="I122" i="9" a="1"/>
  <c r="E816" i="9" a="1"/>
  <c r="I24" i="9" a="1"/>
  <c r="I990" i="9" a="1"/>
  <c r="A400" i="9" a="1"/>
  <c r="A905" i="9" a="1"/>
  <c r="A458" i="9" a="1"/>
  <c r="A133" i="9" a="1"/>
  <c r="A768" i="9" a="1"/>
  <c r="A579" i="9" a="1"/>
  <c r="I12" i="9" a="1"/>
  <c r="I498" i="9" a="1"/>
  <c r="A103" i="9" a="1"/>
  <c r="A736" i="9" a="1"/>
  <c r="A634" i="9" a="1"/>
  <c r="I261" i="9" a="1"/>
  <c r="A702" i="9" a="1"/>
  <c r="A124" i="9" a="1"/>
  <c r="D69" i="9" a="1"/>
  <c r="A389" i="9" a="1"/>
  <c r="D753" i="9" a="1"/>
  <c r="A520" i="9" a="1"/>
  <c r="I171" i="9" a="1"/>
  <c r="A576" i="9" a="1"/>
  <c r="H594" i="9" a="1"/>
  <c r="I195" i="9" a="1"/>
  <c r="I228" i="9" a="1"/>
  <c r="I667" i="9" a="1"/>
  <c r="D802" i="9" a="1"/>
  <c r="I775" i="9" a="1"/>
  <c r="A418" i="9" a="1"/>
  <c r="I394" i="9" a="1"/>
  <c r="A667" i="9" a="1"/>
  <c r="I907" i="9" a="1"/>
  <c r="H49" i="9" a="1"/>
  <c r="H916" i="9" a="1"/>
  <c r="A264" i="9" a="1"/>
  <c r="I118" i="9" a="1"/>
  <c r="A748" i="9" a="1"/>
  <c r="I147" i="9" a="1"/>
  <c r="D729" i="9" a="1"/>
  <c r="H455" i="9" a="1"/>
  <c r="H44" i="9" a="1"/>
  <c r="H891" i="9" a="1"/>
  <c r="I249" i="9" a="1"/>
  <c r="I335" i="9" a="1"/>
  <c r="H19" i="9" a="1"/>
  <c r="I348" i="9" a="1"/>
  <c r="I379" i="9" a="1"/>
  <c r="A586" i="9" a="1"/>
  <c r="A956" i="9" a="1"/>
  <c r="D310" i="9" a="1"/>
  <c r="I447" i="9" a="1"/>
  <c r="A933" i="9" a="1"/>
  <c r="A361" i="9" a="1"/>
  <c r="H715" i="9" a="1"/>
  <c r="A650" i="9" a="1"/>
  <c r="I349" i="9" a="1"/>
  <c r="A20" i="9" a="1"/>
  <c r="H479" i="9" a="1"/>
  <c r="A195" i="9" a="1"/>
  <c r="A900" i="9" a="1"/>
  <c r="H540" i="9" a="1"/>
  <c r="I74" i="9" a="1"/>
  <c r="I457" i="9" a="1"/>
  <c r="I170" i="9" a="1"/>
  <c r="A981" i="9" a="1"/>
  <c r="H274" i="9" a="1"/>
  <c r="A588" i="9" a="1"/>
  <c r="D744" i="9" a="1"/>
  <c r="A52" i="9" a="1"/>
  <c r="I643" i="9" a="1"/>
  <c r="A917" i="9" a="1"/>
  <c r="A882" i="9" a="1"/>
  <c r="I969" i="9" a="1"/>
  <c r="I299" i="9" a="1"/>
  <c r="I587" i="9" a="1"/>
  <c r="H669" i="9" a="1"/>
  <c r="I506" i="9" a="1"/>
  <c r="D505" i="9" a="1"/>
  <c r="A493" i="9" a="1"/>
  <c r="A294" i="9" a="1"/>
  <c r="H946" i="9" a="1"/>
  <c r="I237" i="9" a="1"/>
  <c r="A70" i="9" a="1"/>
  <c r="D850" i="9" a="1"/>
  <c r="D835" i="9" a="1"/>
  <c r="A158" i="9" a="1"/>
  <c r="H505" i="9" a="1"/>
  <c r="A420" i="9" a="1"/>
  <c r="I318" i="9" a="1"/>
  <c r="I164" i="9" a="1"/>
  <c r="D749" i="9" a="1"/>
  <c r="I79" i="9" a="1"/>
  <c r="E724" i="9" a="1"/>
  <c r="I110" i="9" a="1"/>
  <c r="D218" i="9" a="1"/>
  <c r="I76" i="9" a="1"/>
  <c r="D801" i="9" a="1"/>
  <c r="I773" i="9" a="1"/>
  <c r="I434" i="9" a="1"/>
  <c r="H96" i="9" a="1"/>
  <c r="I272" i="9" a="1"/>
  <c r="A715" i="9" a="1"/>
  <c r="A585" i="9" a="1"/>
  <c r="D74" i="9" a="1"/>
  <c r="D677" i="9" a="1"/>
  <c r="H890" i="9" a="1"/>
  <c r="I358" i="9" a="1"/>
  <c r="H596" i="9" a="1"/>
  <c r="A540" i="9" a="1"/>
  <c r="A355" i="9" a="1"/>
  <c r="I136" i="9" a="1"/>
  <c r="A271" i="9" a="1"/>
  <c r="I322" i="9" a="1"/>
  <c r="I468" i="9" a="1"/>
  <c r="H340" i="9" a="1"/>
  <c r="H410" i="9" a="1"/>
  <c r="I296" i="9" a="1"/>
  <c r="H516" i="9" a="1"/>
  <c r="A289" i="9" a="1"/>
  <c r="H359" i="9" a="1"/>
  <c r="I671" i="9" a="1"/>
  <c r="H224" i="9" a="1"/>
  <c r="D872" i="9" a="1"/>
  <c r="A19" i="9" a="1"/>
  <c r="A696" i="9" a="1"/>
  <c r="A263" i="9" a="1"/>
  <c r="A209" i="9" a="1"/>
  <c r="I552" i="9" a="1"/>
  <c r="I339" i="9" a="1"/>
  <c r="A890" i="9" a="1"/>
  <c r="A833" i="9" a="1"/>
  <c r="A73" i="9" a="1"/>
  <c r="A536" i="9" a="1"/>
  <c r="A132" i="9" a="1"/>
  <c r="A909" i="9" a="1"/>
  <c r="H514" i="9" a="1"/>
  <c r="D899" i="9" a="1"/>
  <c r="I767" i="9" a="1"/>
  <c r="D946" i="9" a="1"/>
  <c r="A392" i="9" a="1"/>
  <c r="I80" i="9" a="1"/>
  <c r="D736" i="9" a="1"/>
  <c r="H184" i="9" a="1"/>
  <c r="D315" i="9" a="1"/>
  <c r="A509" i="9" a="1"/>
  <c r="I100" i="9" a="1"/>
  <c r="A49" i="9" a="1"/>
  <c r="A861" i="9" a="1"/>
  <c r="I467" i="9" a="1"/>
  <c r="I106" i="9" a="1"/>
  <c r="H145" i="9" a="1"/>
  <c r="D614" i="9" a="1"/>
  <c r="D983" i="9" a="1"/>
  <c r="A222" i="9" a="1"/>
  <c r="H434" i="9" a="1"/>
  <c r="A197" i="9" a="1"/>
  <c r="H29" i="9" a="1"/>
  <c r="H210" i="9" a="1"/>
  <c r="A670" i="9" a="1"/>
  <c r="I808" i="9" a="1"/>
  <c r="A750" i="9" a="1"/>
  <c r="I884" i="9" a="1"/>
  <c r="I532" i="9" a="1"/>
  <c r="A808" i="9" a="1"/>
  <c r="I527" i="9" a="1"/>
  <c r="I218" i="9" a="1"/>
  <c r="I798" i="9" a="1"/>
  <c r="I196" i="9" a="1"/>
  <c r="I868" i="9" a="1"/>
  <c r="I142" i="9" a="1"/>
  <c r="A678" i="9" a="1"/>
  <c r="A705" i="9" a="1"/>
  <c r="I326" i="9" a="1"/>
  <c r="I982" i="9" a="1"/>
  <c r="A329" i="9" a="1"/>
  <c r="A783" i="9" a="1"/>
  <c r="A424" i="9" a="1"/>
  <c r="A801" i="9" a="1"/>
  <c r="H169" i="9" a="1"/>
  <c r="A434" i="9" a="1"/>
  <c r="I419" i="9" a="1"/>
  <c r="A646" i="9" a="1"/>
  <c r="A963" i="9" a="1"/>
  <c r="H46" i="9" a="1"/>
  <c r="A184" i="9" a="1"/>
  <c r="H925" i="9" a="1"/>
  <c r="H351" i="9" a="1"/>
  <c r="I909" i="9" a="1"/>
  <c r="A549" i="9" a="1"/>
  <c r="A255" i="9" a="1"/>
  <c r="I672" i="9" a="1"/>
  <c r="I47" i="9" a="1"/>
  <c r="I227" i="9" a="1"/>
  <c r="I878" i="9" a="1"/>
  <c r="I619" i="9" a="1"/>
  <c r="I427" i="9" a="1"/>
  <c r="A921" i="9" a="1"/>
  <c r="I894" i="9" a="1"/>
  <c r="H565" i="9" a="1"/>
  <c r="G12" i="9" a="1"/>
  <c r="I109" i="9" a="1"/>
  <c r="H55" i="9" a="1"/>
  <c r="A108" i="9" a="1"/>
  <c r="A831" i="9" a="1"/>
  <c r="A773" i="9" a="1"/>
  <c r="A54" i="9" a="1"/>
  <c r="A330" i="9" a="1"/>
  <c r="A66" i="9" a="1"/>
  <c r="A966" i="9" a="1"/>
  <c r="A489" i="9" a="1"/>
  <c r="I558" i="9" a="1"/>
  <c r="H256" i="9" a="1"/>
  <c r="A120" i="9" a="1"/>
  <c r="I301" i="9" a="1"/>
  <c r="A241" i="9" a="1"/>
  <c r="A805" i="9" a="1"/>
  <c r="A75" i="9" a="1"/>
  <c r="A541" i="9" a="1"/>
  <c r="I174" i="9" a="1"/>
  <c r="A672" i="9" a="1"/>
  <c r="A282" i="9" a="1"/>
  <c r="H255" i="9" a="1"/>
  <c r="A490" i="9" a="1"/>
  <c r="A584" i="9" a="1"/>
  <c r="D586" i="9" a="1"/>
  <c r="A895" i="9" a="1"/>
  <c r="H207" i="9" a="1"/>
  <c r="I314" i="9" a="1"/>
  <c r="A610" i="9" a="1"/>
  <c r="H770" i="9" a="1"/>
  <c r="D820" i="9" a="1"/>
  <c r="D873" i="9" a="1"/>
  <c r="A753" i="9" a="1"/>
  <c r="A223" i="9" a="1"/>
  <c r="I387" i="9" a="1"/>
  <c r="I743" i="9" a="1"/>
  <c r="I577" i="9" a="1"/>
  <c r="I652" i="9" a="1"/>
  <c r="I328" i="9" a="1"/>
  <c r="I662" i="9" a="1"/>
  <c r="H58" i="9" a="1"/>
  <c r="H306" i="9" a="1"/>
  <c r="G58" i="9" a="1"/>
  <c r="G184" i="9" a="1"/>
  <c r="I370" i="9" a="1"/>
  <c r="H852" i="9" a="1"/>
  <c r="H309" i="9" a="1"/>
  <c r="H695" i="9" a="1"/>
  <c r="H140" i="9" a="1"/>
  <c r="I554" i="9" a="1"/>
  <c r="A894" i="9" a="1"/>
  <c r="H349" i="9" a="1"/>
  <c r="H689" i="9" a="1"/>
  <c r="A523" i="9" a="1"/>
  <c r="H419" i="9" a="1"/>
  <c r="I920" i="9" a="1"/>
  <c r="A300" i="9" a="1"/>
  <c r="A363" i="9" a="1"/>
  <c r="I300" i="9" a="1"/>
  <c r="I997" i="9" a="1"/>
  <c r="H284" i="9" a="1"/>
  <c r="H552" i="9" a="1"/>
  <c r="G38" i="9" a="1"/>
  <c r="H475" i="9" a="1"/>
  <c r="I876" i="9" a="1"/>
  <c r="I530" i="9" a="1"/>
  <c r="G181" i="9" a="1"/>
  <c r="G174" i="9" a="1"/>
  <c r="I454" i="9" a="1"/>
  <c r="I286" i="9" a="1"/>
  <c r="I212" i="9" a="1"/>
  <c r="G79" i="9" a="1"/>
  <c r="H521" i="9" a="1"/>
  <c r="I23" i="9" a="1"/>
  <c r="A774" i="9" a="1"/>
  <c r="A155" i="9" a="1"/>
  <c r="H529" i="9" a="1"/>
  <c r="A121" i="9" a="1"/>
  <c r="H640" i="9" a="1"/>
  <c r="A717" i="9" a="1"/>
  <c r="H144" i="9" a="1"/>
  <c r="A367" i="9" a="1"/>
  <c r="H474" i="9" a="1"/>
  <c r="I181" i="9" a="1"/>
  <c r="I760" i="9" a="1"/>
  <c r="G341" i="9" a="1"/>
  <c r="H41" i="9" a="1"/>
  <c r="H635" i="9" a="1"/>
  <c r="I1000" i="9" a="1"/>
  <c r="A439" i="9" a="1"/>
  <c r="H200" i="9" a="1"/>
  <c r="I827" i="9" a="1"/>
  <c r="I365" i="9" a="1"/>
  <c r="A402" i="9" a="1"/>
  <c r="D952" i="9" a="1"/>
  <c r="A627" i="9" a="1"/>
  <c r="A497" i="9" a="1"/>
  <c r="I562" i="9" a="1"/>
  <c r="I959" i="9" a="1"/>
  <c r="H534" i="9" a="1"/>
  <c r="I713" i="9" a="1"/>
  <c r="D990" i="9" a="1"/>
  <c r="A454" i="9" a="1"/>
  <c r="H154" i="9" a="1"/>
  <c r="H435" i="9" a="1"/>
  <c r="I618" i="9" a="1"/>
  <c r="I695" i="9" a="1"/>
  <c r="A951" i="9" a="1"/>
  <c r="I166" i="9" a="1"/>
  <c r="I330" i="9" a="1"/>
  <c r="A844" i="9" a="1"/>
  <c r="I91" i="9" a="1"/>
  <c r="I64" i="9" a="1"/>
  <c r="A982" i="9" a="1"/>
  <c r="H156" i="9" a="1"/>
  <c r="I255" i="9" a="1"/>
  <c r="A214" i="9" a="1"/>
  <c r="I631" i="9" a="1"/>
  <c r="D842" i="9" a="1"/>
  <c r="I918" i="9" a="1"/>
  <c r="A202" i="9" a="1"/>
  <c r="G32" i="9" a="1"/>
  <c r="D833" i="9" a="1"/>
  <c r="I309" i="9" a="1"/>
  <c r="A448" i="9" a="1"/>
  <c r="A348" i="9" a="1"/>
  <c r="H159" i="9" a="1"/>
  <c r="I668" i="9" a="1"/>
  <c r="A893" i="9" a="1"/>
  <c r="I245" i="9" a="1"/>
  <c r="A573" i="9" a="1"/>
  <c r="A411" i="9" a="1"/>
  <c r="A38" i="9" a="1"/>
  <c r="I764" i="9" a="1"/>
  <c r="I13" i="9" a="1"/>
  <c r="I617" i="9" a="1"/>
  <c r="A578" i="9" a="1"/>
  <c r="I452" i="9" a="1"/>
  <c r="A168" i="9" a="1"/>
  <c r="A666" i="9" a="1"/>
  <c r="H950" i="9" a="1"/>
  <c r="A283" i="9" a="1"/>
  <c r="I81" i="9" a="1"/>
  <c r="A530" i="9" a="1"/>
  <c r="A24" i="9" a="1"/>
  <c r="H990" i="9" a="1"/>
  <c r="I947" i="9" a="1"/>
  <c r="H324" i="9" a="1"/>
  <c r="A165" i="9" a="1"/>
  <c r="A868" i="9" a="1"/>
  <c r="I364" i="9" a="1"/>
  <c r="A144" i="9" a="1"/>
  <c r="G151" i="9" a="1"/>
  <c r="G24" i="9" a="1"/>
  <c r="I113" i="9" a="1"/>
  <c r="I341" i="9" a="1"/>
  <c r="I281" i="9" a="1"/>
  <c r="H753" i="9" a="1"/>
  <c r="H364" i="9" a="1"/>
  <c r="I807" i="9" a="1"/>
  <c r="A213" i="9" a="1"/>
  <c r="H328" i="9" a="1"/>
  <c r="H659" i="9" a="1"/>
  <c r="A443" i="9" a="1"/>
  <c r="A375" i="9" a="1"/>
  <c r="I520" i="9" a="1"/>
  <c r="H329" i="9" a="1"/>
  <c r="A315" i="9" a="1"/>
  <c r="D909" i="9" a="1"/>
  <c r="A415" i="9" a="1"/>
  <c r="H480" i="9" a="1"/>
  <c r="H22" i="9" a="1"/>
  <c r="H121" i="9" a="1"/>
  <c r="G37" i="9" a="1"/>
  <c r="G240" i="9" a="1"/>
  <c r="I979" i="9" a="1"/>
  <c r="G359" i="9" a="1"/>
  <c r="I630" i="9" a="1"/>
  <c r="G428" i="9" a="1"/>
  <c r="H215" i="9" a="1"/>
  <c r="A589" i="9" a="1"/>
  <c r="H279" i="9" a="1"/>
  <c r="H197" i="9" a="1"/>
  <c r="A471" i="9" a="1"/>
  <c r="I674" i="9" a="1"/>
  <c r="I182" i="9" a="1"/>
  <c r="H264" i="9" a="1"/>
  <c r="I560" i="9" a="1"/>
  <c r="D950" i="9" a="1"/>
  <c r="A126" i="9" a="1"/>
  <c r="A388" i="9" a="1"/>
  <c r="I315" i="9" a="1"/>
  <c r="A135" i="9" a="1"/>
  <c r="A510" i="9" a="1"/>
  <c r="H537" i="9" a="1"/>
  <c r="I566" i="9" a="1"/>
  <c r="H412" i="9" a="1"/>
  <c r="H893" i="9" a="1"/>
  <c r="A279" i="9" a="1"/>
  <c r="D632" i="9" a="1"/>
  <c r="I324" i="9" a="1"/>
  <c r="A550" i="9" a="1"/>
  <c r="D719" i="9" a="1"/>
  <c r="A245" i="9" a="1"/>
  <c r="A514" i="9" a="1"/>
  <c r="A849" i="9" a="1"/>
  <c r="I178" i="9" a="1"/>
  <c r="A954" i="9" a="1"/>
  <c r="H231" i="9" a="1"/>
  <c r="A885" i="9" a="1"/>
  <c r="A147" i="9" a="1"/>
  <c r="I399" i="9" a="1"/>
  <c r="I331" i="9" a="1"/>
  <c r="I305" i="9" a="1"/>
  <c r="A927" i="9" a="1"/>
  <c r="I25" i="9" a="1"/>
  <c r="H824" i="9" a="1"/>
  <c r="D986" i="9" a="1"/>
  <c r="I306" i="9" a="1"/>
  <c r="D994" i="9" a="1"/>
  <c r="D957" i="9" a="1"/>
  <c r="I417" i="9" a="1"/>
  <c r="H584" i="9" a="1"/>
  <c r="A727" i="9" a="1"/>
  <c r="A61" i="9" a="1"/>
  <c r="D809" i="9" a="1"/>
  <c r="A247" i="9" a="1"/>
  <c r="I908" i="9" a="1"/>
  <c r="D894" i="9" a="1"/>
  <c r="I517" i="9" a="1"/>
  <c r="D938" i="9" a="1"/>
  <c r="I512" i="9" a="1"/>
  <c r="A615" i="9" a="1"/>
  <c r="A384" i="9" a="1"/>
  <c r="D358" i="9" a="1"/>
  <c r="A858" i="9" a="1"/>
  <c r="I190" i="9" a="1"/>
  <c r="A341" i="9" a="1"/>
  <c r="H905" i="9" a="1"/>
  <c r="I472" i="9" a="1"/>
  <c r="H399" i="9" a="1"/>
  <c r="A957" i="9" a="1"/>
  <c r="H654" i="9" a="1"/>
  <c r="A642" i="9" a="1"/>
  <c r="A193" i="9" a="1"/>
  <c r="I972" i="9" a="1"/>
  <c r="A423" i="9" a="1"/>
  <c r="I438" i="9" a="1"/>
  <c r="H465" i="9" a="1"/>
  <c r="I41" i="9" a="1"/>
  <c r="A780" i="9" a="1"/>
  <c r="D840" i="9" a="1"/>
  <c r="A16" i="9" a="1"/>
  <c r="H815" i="9" a="1"/>
  <c r="D465" i="9" a="1"/>
  <c r="A405" i="9" a="1"/>
  <c r="D761" i="9" a="1"/>
  <c r="A582" i="9" a="1"/>
  <c r="A174" i="9" a="1"/>
  <c r="A819" i="9" a="1"/>
  <c r="H100" i="9" a="1"/>
  <c r="H97" i="9" a="1"/>
  <c r="H65" i="9" a="1"/>
  <c r="I351" i="9" a="1"/>
  <c r="D911" i="9" a="1"/>
  <c r="A142" i="9" a="1"/>
  <c r="I420" i="9" a="1"/>
  <c r="I917" i="9" a="1"/>
  <c r="H955" i="9" a="1"/>
  <c r="A654" i="9" a="1"/>
  <c r="A989" i="9" a="1"/>
  <c r="I54" i="9" a="1"/>
  <c r="H604" i="9" a="1"/>
  <c r="I202" i="9" a="1"/>
  <c r="A380" i="9" a="1"/>
  <c r="I206" i="9" a="1"/>
  <c r="H559" i="9" a="1"/>
  <c r="I412" i="9" a="1"/>
  <c r="D861" i="9" a="1"/>
  <c r="A33" i="9" a="1"/>
  <c r="A853" i="9" a="1"/>
  <c r="A522" i="9" a="1"/>
  <c r="A456" i="9" a="1"/>
  <c r="I398" i="9" a="1"/>
  <c r="H194" i="9" a="1"/>
  <c r="H712" i="9" a="1"/>
  <c r="A555" i="9" a="1"/>
  <c r="I522" i="9" a="1"/>
  <c r="A240" i="9" a="1"/>
  <c r="A480" i="9" a="1"/>
  <c r="H547" i="9" a="1"/>
  <c r="A354" i="9" a="1"/>
  <c r="I66" i="9" a="1"/>
  <c r="A25" i="9" a="1"/>
  <c r="H115" i="9" a="1"/>
  <c r="I723" i="9" a="1"/>
  <c r="A172" i="9" a="1"/>
  <c r="I902" i="9" a="1"/>
  <c r="I537" i="9" a="1"/>
  <c r="D628" i="9" a="1"/>
  <c r="A718" i="9" a="1"/>
  <c r="D572" i="9" a="1"/>
  <c r="I55" i="9" a="1"/>
  <c r="I131" i="9" a="1"/>
  <c r="I529" i="9" a="1"/>
  <c r="H204" i="9" a="1"/>
  <c r="I778" i="9" a="1"/>
  <c r="I114" i="9" a="1"/>
  <c r="I95" i="9" a="1"/>
  <c r="I769" i="9" a="1"/>
  <c r="I69" i="9" a="1"/>
  <c r="D175" i="9" a="1"/>
  <c r="H645" i="9" a="1"/>
  <c r="I943" i="9" a="1"/>
  <c r="I307" i="9" a="1"/>
  <c r="A572" i="9" a="1"/>
  <c r="A809" i="9" a="1"/>
  <c r="A491" i="9" a="1"/>
  <c r="H199" i="9" a="1"/>
  <c r="D887" i="9" a="1"/>
  <c r="A342" i="9" a="1"/>
  <c r="A968" i="9" a="1"/>
  <c r="A337" i="9" a="1"/>
  <c r="A816" i="9" a="1"/>
  <c r="H346" i="9" a="1"/>
  <c r="H214" i="9" a="1"/>
  <c r="A379" i="9" a="1"/>
  <c r="A243" i="9" a="1"/>
  <c r="A316" i="9" a="1"/>
  <c r="A412" i="9" a="1"/>
  <c r="I857" i="9" a="1"/>
  <c r="I140" i="9" a="1"/>
  <c r="H811" i="9" a="1"/>
  <c r="I473" i="9" a="1"/>
  <c r="H461" i="9" a="1"/>
  <c r="A208" i="9" a="1"/>
  <c r="A567" i="9" a="1"/>
  <c r="G162" i="9" a="1"/>
  <c r="H367" i="9" a="1"/>
  <c r="H555" i="9" a="1"/>
  <c r="H859" i="9" a="1"/>
  <c r="G259" i="9" a="1"/>
  <c r="H964" i="9" a="1"/>
  <c r="I46" i="9" a="1"/>
  <c r="H94" i="9" a="1"/>
  <c r="I213" i="9" a="1"/>
  <c r="I939" i="9" a="1"/>
  <c r="H394" i="9" a="1"/>
  <c r="A218" i="9" a="1"/>
  <c r="H304" i="9" a="1"/>
  <c r="A721" i="9" a="1"/>
  <c r="A664" i="9" a="1"/>
  <c r="D704" i="9" a="1"/>
  <c r="A422" i="9" a="1"/>
  <c r="A840" i="9" a="1"/>
  <c r="D748" i="9" a="1"/>
  <c r="A621" i="9" a="1"/>
  <c r="H212" i="9" a="1"/>
  <c r="H111" i="9" a="1"/>
  <c r="H382" i="9" a="1"/>
  <c r="I699" i="9" a="1"/>
  <c r="H464" i="9" a="1"/>
  <c r="H422" i="9" a="1"/>
  <c r="I325" i="9" a="1"/>
  <c r="I449" i="9" a="1"/>
  <c r="A767" i="9" a="1"/>
  <c r="G35" i="9" a="1"/>
  <c r="I372" i="9" a="1"/>
  <c r="G200" i="9" a="1"/>
  <c r="I841" i="9" a="1"/>
  <c r="I10" i="9" a="1"/>
  <c r="A953" i="9" a="1"/>
  <c r="A433" i="9" a="1"/>
  <c r="A939" i="9" a="1"/>
  <c r="A747" i="9" a="1"/>
  <c r="H744" i="9" a="1"/>
  <c r="A187" i="9" a="1"/>
  <c r="I233" i="9" a="1"/>
  <c r="A233" i="9" a="1"/>
  <c r="A636" i="9" a="1"/>
  <c r="G208" i="9" a="1"/>
  <c r="I599" i="9" a="1"/>
  <c r="H962" i="9" a="1"/>
  <c r="A687" i="9" a="1"/>
  <c r="A761" i="9" a="1"/>
  <c r="A775" i="9" a="1"/>
  <c r="D440" i="9" a="1"/>
  <c r="A372" i="9" a="1"/>
  <c r="D759" i="9" a="1"/>
  <c r="A62" i="9" a="1"/>
  <c r="D672" i="9" a="1"/>
  <c r="I105" i="9" a="1"/>
  <c r="A45" i="9" a="1"/>
  <c r="A338" i="9" a="1"/>
  <c r="D979" i="9" a="1"/>
  <c r="I642" i="9" a="1"/>
  <c r="A211" i="9" a="1"/>
  <c r="I382" i="9" a="1"/>
  <c r="A177" i="9" a="1"/>
  <c r="A804" i="9" a="1"/>
  <c r="I193" i="9" a="1"/>
  <c r="A150" i="9" a="1"/>
  <c r="H840" i="9" a="1"/>
  <c r="A519" i="9" a="1"/>
  <c r="A216" i="9" a="1"/>
  <c r="I50" i="9" a="1"/>
  <c r="A265" i="9" a="1"/>
  <c r="D657" i="9" a="1"/>
  <c r="D232" i="9" a="1"/>
  <c r="A770" i="9" a="1"/>
  <c r="D317" i="9" a="1"/>
  <c r="A301" i="9" a="1"/>
  <c r="H390" i="9" a="1"/>
  <c r="A96" i="9" a="1"/>
  <c r="A544" i="9" a="1"/>
  <c r="D569" i="9" a="1"/>
  <c r="D883" i="9" a="1"/>
  <c r="I329" i="9" a="1"/>
  <c r="I28" i="9" a="1"/>
  <c r="A97" i="9" a="1"/>
  <c r="I897" i="9" a="1"/>
  <c r="A940" i="9" a="1"/>
  <c r="A277" i="9" a="1"/>
  <c r="D879" i="9" a="1"/>
  <c r="A566" i="9" a="1"/>
  <c r="A534" i="9" a="1"/>
  <c r="D654" i="9" a="1"/>
  <c r="A292" i="9" a="1"/>
  <c r="H14" i="9" a="1"/>
  <c r="I17" i="9" a="1"/>
  <c r="D765" i="9" a="1"/>
  <c r="D959" i="9" a="1"/>
  <c r="I150" i="9" a="1"/>
  <c r="I246" i="9" a="1"/>
  <c r="H275" i="9" a="1"/>
  <c r="A603" i="9" a="1"/>
  <c r="I234" i="9" a="1"/>
  <c r="H819" i="9" a="1"/>
  <c r="A297" i="9" a="1"/>
  <c r="I679" i="9" a="1"/>
  <c r="I285" i="9" a="1"/>
  <c r="H51" i="9" a="1"/>
  <c r="A661" i="9" a="1"/>
  <c r="A663" i="9" a="1"/>
  <c r="D509" i="9" a="1"/>
  <c r="I989" i="9" a="1"/>
  <c r="I215" i="9" a="1"/>
  <c r="D904" i="9" a="1"/>
  <c r="H930" i="9" a="1"/>
  <c r="I20" i="9" a="1"/>
  <c r="I229" i="9" a="1"/>
  <c r="I264" i="9" a="1"/>
  <c r="H545" i="9" a="1"/>
  <c r="H714" i="9" a="1"/>
  <c r="I797" i="9" a="1"/>
  <c r="A250" i="9" a="1"/>
  <c r="I817" i="9" a="1"/>
  <c r="A67" i="9" a="1"/>
  <c r="A698" i="9" a="1"/>
  <c r="A825" i="9" a="1"/>
  <c r="I693" i="9" a="1"/>
  <c r="A102" i="9" a="1"/>
  <c r="I944" i="9" a="1"/>
  <c r="H462" i="9" a="1"/>
  <c r="D720" i="9" a="1"/>
  <c r="A436" i="9" a="1"/>
  <c r="A769" i="9" a="1"/>
  <c r="I144" i="9" a="1"/>
  <c r="H405" i="9" a="1"/>
  <c r="A695" i="9" a="1"/>
  <c r="I718" i="9" a="1"/>
  <c r="I790" i="9" a="1"/>
  <c r="D795" i="9" a="1"/>
  <c r="D702" i="9" a="1"/>
  <c r="A328" i="9" a="1"/>
  <c r="D863" i="9" a="1"/>
  <c r="A196" i="9" a="1"/>
  <c r="A451" i="9" a="1"/>
  <c r="A291" i="9" a="1"/>
  <c r="I310" i="9" a="1"/>
  <c r="H515" i="9" a="1"/>
  <c r="I151" i="9" a="1"/>
  <c r="I503" i="9" a="1"/>
  <c r="H775" i="9" a="1"/>
  <c r="H31" i="9" a="1"/>
  <c r="I283" i="9" a="1"/>
  <c r="I167" i="9" a="1"/>
  <c r="A945" i="9" a="1"/>
  <c r="A598" i="9" a="1"/>
  <c r="A368" i="9" a="1"/>
  <c r="A969" i="9" a="1"/>
  <c r="I115" i="9" a="1"/>
  <c r="H680" i="9" a="1"/>
  <c r="A723" i="9" a="1"/>
  <c r="H579" i="9" a="1"/>
  <c r="H530" i="9" a="1"/>
  <c r="A641" i="9" a="1"/>
  <c r="I169" i="9" a="1"/>
  <c r="I363" i="9" a="1"/>
  <c r="A467" i="9" a="1"/>
  <c r="H312" i="9" a="1"/>
  <c r="A754" i="9" a="1"/>
  <c r="I83" i="9" a="1"/>
  <c r="H136" i="9" a="1"/>
  <c r="I251" i="9" a="1"/>
  <c r="A429" i="9" a="1"/>
  <c r="I275" i="9" a="1"/>
  <c r="D828" i="9" a="1"/>
  <c r="D992" i="9" a="1"/>
  <c r="H620" i="9" a="1"/>
  <c r="A426" i="9" a="1"/>
  <c r="A683" i="9" a="1"/>
  <c r="A358" i="9" a="1"/>
  <c r="A409" i="9" a="1"/>
  <c r="I177" i="9" a="1"/>
  <c r="A852" i="9" a="1"/>
  <c r="A122" i="9" a="1"/>
  <c r="H450" i="9" a="1"/>
  <c r="A352" i="9" a="1"/>
  <c r="H696" i="9" a="1"/>
  <c r="A952" i="9" a="1"/>
  <c r="G7" i="9" a="1"/>
  <c r="H829" i="9" a="1"/>
  <c r="H606" i="9" a="1"/>
  <c r="I414" i="9" a="1"/>
  <c r="I579" i="9" a="1"/>
  <c r="G317" i="9" a="1"/>
  <c r="H273" i="9" a="1"/>
  <c r="H102" i="9" a="1"/>
  <c r="I266" i="9" a="1"/>
  <c r="H568" i="9" a="1"/>
  <c r="H313" i="9" a="1"/>
  <c r="I444" i="9" a="1"/>
  <c r="A183" i="9" a="1"/>
  <c r="I175" i="9" a="1"/>
  <c r="H699" i="9" a="1"/>
  <c r="I653" i="9" a="1"/>
  <c r="I670" i="9" a="1"/>
  <c r="I684" i="9" a="1"/>
  <c r="A191" i="9" a="1"/>
  <c r="H90" i="9" a="1"/>
  <c r="A732" i="9" a="1"/>
  <c r="I813" i="9" a="1"/>
  <c r="A386" i="9" a="1"/>
  <c r="H431" i="9" a="1"/>
  <c r="A387" i="9" a="1"/>
  <c r="H767" i="9" a="1"/>
  <c r="G5" i="9" a="1"/>
  <c r="A192" i="9" a="1"/>
  <c r="I392" i="9" a="1"/>
  <c r="G34" i="9" a="1"/>
  <c r="I141" i="9" a="1"/>
  <c r="H706" i="9" a="1"/>
  <c r="H232" i="9" a="1"/>
  <c r="H700" i="9" a="1"/>
  <c r="A841" i="9" a="1"/>
  <c r="H448" i="9" a="1"/>
  <c r="I923" i="9" a="1"/>
  <c r="A462" i="9" a="1"/>
  <c r="A166" i="9" a="1"/>
  <c r="D864" i="9" a="1"/>
  <c r="I829" i="9" a="1"/>
  <c r="I369" i="9" a="1"/>
  <c r="I153" i="9" a="1"/>
  <c r="H729" i="9" a="1"/>
  <c r="D699" i="9" a="1"/>
  <c r="D598" i="9" a="1"/>
  <c r="H296" i="9" a="1"/>
  <c r="H609" i="9" a="1"/>
  <c r="G313" i="9" a="1"/>
  <c r="H755" i="9" a="1"/>
  <c r="A347" i="9" a="1"/>
  <c r="D934" i="9" a="1"/>
  <c r="H246" i="9" a="1"/>
  <c r="A53" i="9" a="1"/>
  <c r="A416" i="9" a="1"/>
  <c r="G281" i="9" a="1"/>
  <c r="I390" i="9" a="1"/>
  <c r="H196" i="9" a="1"/>
  <c r="H724" i="9" a="1"/>
  <c r="A318" i="9" a="1"/>
  <c r="I866" i="9" a="1"/>
  <c r="H556" i="9" a="1"/>
  <c r="H408" i="9" a="1"/>
  <c r="H253" i="9" a="1"/>
  <c r="G420" i="9" a="1"/>
  <c r="G85" i="9" a="1"/>
  <c r="H180" i="9" a="1"/>
  <c r="A745" i="9" a="1"/>
  <c r="H720" i="9" a="1"/>
  <c r="A186" i="9" a="1"/>
  <c r="H417" i="9" a="1"/>
  <c r="H88" i="9" a="1"/>
  <c r="G377" i="9" a="1"/>
  <c r="A359" i="9" a="1"/>
  <c r="A517" i="9" a="1"/>
  <c r="H5" i="9" a="1"/>
  <c r="I343" i="9" a="1"/>
  <c r="H737" i="9" a="1"/>
  <c r="D643" i="9" a="1"/>
  <c r="I252" i="9" a="1"/>
  <c r="H114" i="9" a="1"/>
  <c r="A692" i="9" a="1"/>
  <c r="A607" i="9" a="1"/>
  <c r="I48" i="9" a="1"/>
  <c r="A333" i="9" a="1"/>
  <c r="A23" i="9" a="1"/>
  <c r="I405" i="9" a="1"/>
  <c r="H175" i="9" a="1"/>
  <c r="H342" i="9" a="1"/>
  <c r="I862" i="9" a="1"/>
  <c r="I495" i="9" a="1"/>
  <c r="G296" i="9" a="1"/>
  <c r="G442" i="9" a="1"/>
  <c r="I751" i="9" a="1"/>
  <c r="A973" i="9" a="1"/>
  <c r="A529" i="9" a="1"/>
  <c r="H817" i="9" a="1"/>
  <c r="H923" i="9" a="1"/>
  <c r="I858" i="9" a="1"/>
  <c r="I397" i="9" a="1"/>
  <c r="H339" i="9" a="1"/>
  <c r="I194" i="9" a="1"/>
  <c r="A346" i="9" a="1"/>
  <c r="I407" i="9" a="1"/>
  <c r="H597" i="9" a="1"/>
  <c r="I56" i="9" a="1"/>
  <c r="D913" i="9" a="1"/>
  <c r="D771" i="9" a="1"/>
  <c r="I98" i="9" a="1"/>
  <c r="I892" i="9" a="1"/>
  <c r="G22" i="9" a="1"/>
  <c r="H608" i="9" a="1"/>
  <c r="H922" i="9" a="1"/>
  <c r="H847" i="9" a="1"/>
  <c r="H62" i="9" a="1"/>
  <c r="H287" i="9" a="1"/>
  <c r="G290" i="9" a="1"/>
  <c r="G304" i="9" a="1"/>
  <c r="D725" i="9" a="1"/>
  <c r="A478" i="9" a="1"/>
  <c r="G295" i="9" a="1"/>
  <c r="I134" i="9" a="1"/>
  <c r="I724" i="9" a="1"/>
  <c r="I784" i="9" a="1"/>
  <c r="I736" i="9" a="1"/>
  <c r="A577" i="9" a="1"/>
  <c r="I791" i="9" a="1"/>
  <c r="H332" i="9" a="1"/>
  <c r="I774" i="9" a="1"/>
  <c r="H586" i="9" a="1"/>
  <c r="H986" i="9" a="1"/>
  <c r="H35" i="9" a="1"/>
  <c r="I971" i="9" a="1"/>
  <c r="H970" i="9" a="1"/>
  <c r="I557" i="9" a="1"/>
  <c r="A138" i="9" a="1"/>
  <c r="I84" i="9" a="1"/>
  <c r="H567" i="9" a="1"/>
  <c r="G197" i="9" a="1"/>
  <c r="H927" i="9" a="1"/>
  <c r="I780" i="9" a="1"/>
  <c r="I569" i="9" a="1"/>
  <c r="I323" i="9" a="1"/>
  <c r="H973" i="9" a="1"/>
  <c r="G146" i="9" a="1"/>
  <c r="I826" i="9" a="1"/>
  <c r="H850" i="9" a="1"/>
  <c r="G382" i="9" a="1"/>
  <c r="I523" i="9" a="1"/>
  <c r="H557" i="9" a="1"/>
  <c r="H138" i="9" a="1"/>
  <c r="H424" i="9" a="1"/>
  <c r="H170" i="9" a="1"/>
  <c r="I721" i="9" a="1"/>
  <c r="I647" i="9" a="1"/>
  <c r="I875" i="9" a="1"/>
  <c r="H490" i="9" a="1"/>
  <c r="H520" i="9" a="1"/>
  <c r="H363" i="9" a="1"/>
  <c r="D854" i="9" a="1"/>
  <c r="I543" i="9" a="1"/>
  <c r="A178" i="9" a="1"/>
  <c r="A1001" i="9" a="1"/>
  <c r="D763" i="9" a="1"/>
  <c r="G47" i="9" a="1"/>
  <c r="H779" i="9" a="1"/>
  <c r="H995" i="9" a="1"/>
  <c r="A357" i="9" a="1"/>
  <c r="H73" i="9" a="1"/>
  <c r="A532" i="9" a="1"/>
  <c r="H646" i="9" a="1"/>
  <c r="A864" i="9" a="1"/>
  <c r="H761" i="9" a="1"/>
  <c r="H85" i="9" a="1"/>
  <c r="G65" i="9" a="1"/>
  <c r="I466" i="9" a="1"/>
  <c r="I762" i="9" a="1"/>
  <c r="H960" i="9" a="1"/>
  <c r="H860" i="9" a="1"/>
  <c r="H612" i="9" a="1"/>
  <c r="A366" i="9" a="1"/>
  <c r="G367" i="9" a="1"/>
  <c r="H476" i="9" a="1"/>
  <c r="I565" i="9" a="1"/>
  <c r="G164" i="9" a="1"/>
  <c r="H283" i="9" a="1"/>
  <c r="H365" i="9" a="1"/>
  <c r="H289" i="9" a="1"/>
  <c r="A244" i="9" a="1"/>
  <c r="A331" i="9" a="1"/>
  <c r="I146" i="9" a="1"/>
  <c r="A891" i="9" a="1"/>
  <c r="A180" i="9" a="1"/>
  <c r="H241" i="9" a="1"/>
  <c r="I484" i="9" a="1"/>
  <c r="A134" i="9" a="1"/>
  <c r="A616" i="9" a="1"/>
  <c r="I161" i="9" a="1"/>
  <c r="H839" i="9" a="1"/>
  <c r="G147" i="9" a="1"/>
  <c r="H541" i="9" a="1"/>
  <c r="G81" i="9" a="1"/>
  <c r="H969" i="9" a="1"/>
  <c r="A691" i="9" a="1"/>
  <c r="I211" i="9" a="1"/>
  <c r="G190" i="9" a="1"/>
  <c r="H792" i="9" a="1"/>
  <c r="I485" i="9" a="1"/>
  <c r="I34" i="9" a="1"/>
  <c r="H48" i="9" a="1"/>
  <c r="G40" i="9" a="1"/>
  <c r="G106" i="9" a="1"/>
  <c r="G330" i="9" a="1"/>
  <c r="A461" i="9" a="1"/>
  <c r="H841" i="9" a="1"/>
  <c r="H205" i="9" a="1"/>
  <c r="H110" i="9" a="1"/>
  <c r="I470" i="9" a="1"/>
  <c r="H504" i="9" a="1"/>
  <c r="A373" i="9" a="1"/>
  <c r="I367" i="9" a="1"/>
  <c r="I488" i="9" a="1"/>
  <c r="A154" i="9" a="1"/>
  <c r="H177" i="9" a="1"/>
  <c r="H64" i="9" a="1"/>
  <c r="I453" i="9" a="1"/>
  <c r="A417" i="9" a="1"/>
  <c r="I533" i="9" a="1"/>
  <c r="G356" i="9" a="1"/>
  <c r="H977" i="9" a="1"/>
  <c r="H442" i="9" a="1"/>
  <c r="H776" i="9" a="1"/>
  <c r="I737" i="9" a="1"/>
  <c r="H87" i="9" a="1"/>
  <c r="G348" i="9" a="1"/>
  <c r="H734" i="9" a="1"/>
  <c r="I75" i="9" a="1"/>
  <c r="H150" i="9" a="1"/>
  <c r="H835" i="9" a="1"/>
  <c r="I371" i="9" a="1"/>
  <c r="H907" i="9" a="1"/>
  <c r="H682" i="9" a="1"/>
  <c r="A618" i="9" a="1"/>
  <c r="H133" i="9" a="1"/>
  <c r="I976" i="9" a="1"/>
  <c r="G323" i="9" a="1"/>
  <c r="I421" i="9" a="1"/>
  <c r="G196" i="9" a="1"/>
  <c r="G177" i="9" a="1"/>
  <c r="I994" i="9" a="1"/>
  <c r="G283" i="9" a="1"/>
  <c r="H423" i="9" a="1"/>
  <c r="I835" i="9" a="1"/>
  <c r="I217" i="9" a="1"/>
  <c r="H116" i="9" a="1"/>
  <c r="H750" i="9" a="1"/>
  <c r="I496" i="9" a="1"/>
  <c r="H368" i="9" a="1"/>
  <c r="A744" i="9" a="1"/>
  <c r="H873" i="9" a="1"/>
  <c r="H615" i="9" a="1"/>
  <c r="G393" i="9" a="1"/>
  <c r="H949" i="9" a="1"/>
  <c r="G252" i="9" a="1"/>
  <c r="H952" i="9" a="1"/>
  <c r="H123" i="9" a="1"/>
  <c r="G239" i="9" a="1"/>
  <c r="H272" i="9" a="1"/>
  <c r="H414" i="9" a="1"/>
  <c r="I400" i="9" a="1"/>
  <c r="G401" i="9" a="1"/>
  <c r="I361" i="9" a="1"/>
  <c r="H903" i="9" a="1"/>
  <c r="I504" i="9" a="1"/>
  <c r="G67" i="9" a="1"/>
  <c r="H909" i="9" a="1"/>
  <c r="H7" i="9" a="1"/>
  <c r="G308" i="9" a="1"/>
  <c r="A771" i="9" a="1"/>
  <c r="G87" i="9" a="1"/>
  <c r="A765" i="9" a="1"/>
  <c r="I837" i="9" a="1"/>
  <c r="I442" i="9" a="1"/>
  <c r="I316" i="9" a="1"/>
  <c r="H155" i="9" a="1"/>
  <c r="I802" i="9" a="1"/>
  <c r="I52" i="9" a="1"/>
  <c r="A220" i="9" a="1"/>
  <c r="I514" i="9" a="1"/>
  <c r="G143" i="9" a="1"/>
  <c r="G233" i="9" a="1"/>
  <c r="I581" i="9" a="1"/>
  <c r="H581" i="9" a="1"/>
  <c r="H249" i="9" a="1"/>
  <c r="H268" i="9" a="1"/>
  <c r="H188" i="9" a="1"/>
  <c r="A673" i="9" a="1"/>
  <c r="H885" i="9" a="1"/>
  <c r="H34" i="9" a="1"/>
  <c r="I59" i="9" a="1"/>
  <c r="I687" i="9" a="1"/>
  <c r="A110" i="9" a="1"/>
  <c r="H444" i="9" a="1"/>
  <c r="I792" i="9" a="1"/>
  <c r="I260" i="9" a="1"/>
  <c r="H814" i="9" a="1"/>
  <c r="I225" i="9" a="1"/>
  <c r="H384" i="9" a="1"/>
  <c r="I295" i="9" a="1"/>
  <c r="I70" i="9" a="1"/>
  <c r="H822" i="9" a="1"/>
  <c r="A525" i="9" a="1"/>
  <c r="G33" i="9" a="1"/>
  <c r="A181" i="9" a="1"/>
  <c r="I874" i="9" a="1"/>
  <c r="G98" i="9" a="1"/>
  <c r="I186" i="9" a="1"/>
  <c r="A535" i="9" a="1"/>
  <c r="I19" i="9" a="1"/>
  <c r="I88" i="9" a="1"/>
  <c r="H898" i="9" a="1"/>
  <c r="H877" i="9" a="1"/>
  <c r="G138" i="9" a="1"/>
  <c r="G59" i="9" a="1"/>
  <c r="I192" i="9" a="1"/>
  <c r="A369" i="9" a="1"/>
  <c r="A502" i="9" a="1"/>
  <c r="I779" i="9" a="1"/>
  <c r="I595" i="9" a="1"/>
  <c r="H314" i="9" a="1"/>
  <c r="A998" i="9" a="1"/>
  <c r="A474" i="9" a="1"/>
  <c r="H369" i="9" a="1"/>
  <c r="I843" i="9" a="1"/>
  <c r="H721" i="9" a="1"/>
  <c r="I638" i="9" a="1"/>
  <c r="A130" i="9" a="1"/>
  <c r="I277" i="9" a="1"/>
  <c r="I954" i="9" a="1"/>
  <c r="I728" i="9" a="1"/>
  <c r="H833" i="9" a="1"/>
  <c r="A612" i="9" a="1"/>
  <c r="H673" i="9" a="1"/>
  <c r="G30" i="9" a="1"/>
  <c r="H679" i="9" a="1"/>
  <c r="H418" i="9" a="1"/>
  <c r="A378" i="9" a="1"/>
  <c r="H697" i="9" a="1"/>
  <c r="H681" i="9" a="1"/>
  <c r="G243" i="9" a="1"/>
  <c r="I373" i="9" a="1"/>
  <c r="H234" i="9" a="1"/>
  <c r="A860" i="9" a="1"/>
  <c r="A432" i="9" a="1"/>
  <c r="A190" i="9" a="1"/>
  <c r="A106" i="9" a="1"/>
  <c r="H508" i="9" a="1"/>
  <c r="A846" i="9" a="1"/>
  <c r="A205" i="9" a="1"/>
  <c r="A57" i="9" a="1"/>
  <c r="H855" i="9" a="1"/>
  <c r="A253" i="9" a="1"/>
  <c r="I905" i="9" a="1"/>
  <c r="G294" i="9" a="1"/>
  <c r="I481" i="9" a="1"/>
  <c r="I966" i="9" a="1"/>
  <c r="H152" i="9" a="1"/>
  <c r="A942" i="9" a="1"/>
  <c r="I337" i="9" a="1"/>
  <c r="A468" i="9" a="1"/>
  <c r="I624" i="9" a="1"/>
  <c r="G82" i="9" a="1"/>
  <c r="H356" i="9" a="1"/>
  <c r="I953" i="9" a="1"/>
  <c r="H837" i="9" a="1"/>
  <c r="H653" i="9" a="1"/>
  <c r="I119" i="9" a="1"/>
  <c r="I720" i="9" a="1"/>
  <c r="G176" i="9" a="1"/>
  <c r="A930" i="9" a="1"/>
  <c r="I700" i="9" a="1"/>
  <c r="I585" i="9" a="1"/>
  <c r="I664" i="9" a="1"/>
  <c r="A487" i="9" a="1"/>
  <c r="H531" i="9" a="1"/>
  <c r="G88" i="9" a="1"/>
  <c r="G414" i="9" a="1"/>
  <c r="H513" i="9" a="1"/>
  <c r="H6" i="9" a="1"/>
  <c r="G86" i="9" a="1"/>
  <c r="I490" i="9" a="1"/>
  <c r="A237" i="9" a="1"/>
  <c r="I428" i="9" a="1"/>
  <c r="I729" i="9" a="1"/>
  <c r="G202" i="9" a="1"/>
  <c r="G148" i="9" a="1"/>
  <c r="I535" i="9" a="1"/>
  <c r="I545" i="9" a="1"/>
  <c r="G436" i="9" a="1"/>
  <c r="I539" i="9" a="1"/>
  <c r="H582" i="9" a="1"/>
  <c r="H507" i="9" a="1"/>
  <c r="H509" i="9" a="1"/>
  <c r="H371" i="9" a="1"/>
  <c r="G264" i="9" a="1"/>
  <c r="H148" i="9" a="1"/>
  <c r="I818" i="9" a="1"/>
  <c r="H856" i="9" a="1"/>
  <c r="H655" i="9" a="1"/>
  <c r="D790" i="9" a="1"/>
  <c r="I191" i="9" a="1"/>
  <c r="H945" i="9" a="1"/>
  <c r="I755" i="9" a="1"/>
  <c r="I184" i="9" a="1"/>
  <c r="I681" i="9" a="1"/>
  <c r="H602" i="9" a="1"/>
  <c r="I216" i="9" a="1"/>
  <c r="H366" i="9" a="1"/>
  <c r="A207" i="9" a="1"/>
  <c r="H691" i="9" a="1"/>
  <c r="H401" i="9" a="1"/>
  <c r="A278" i="9" a="1"/>
  <c r="A383" i="9" a="1"/>
  <c r="I998" i="9" a="1"/>
  <c r="A538" i="9" a="1"/>
  <c r="H971" i="9" a="1"/>
  <c r="I821" i="9" a="1"/>
  <c r="H250" i="9" a="1"/>
  <c r="H89" i="9" a="1"/>
  <c r="A565" i="9" a="1"/>
  <c r="I345" i="9" a="1"/>
  <c r="I232" i="9" a="1"/>
  <c r="I916" i="9" a="1"/>
  <c r="H397" i="9" a="1"/>
  <c r="I123" i="9" a="1"/>
  <c r="G403" i="9" a="1"/>
  <c r="I605" i="9" a="1"/>
  <c r="G299" i="9" a="1"/>
  <c r="H386" i="9" a="1"/>
  <c r="H203" i="9" a="1"/>
  <c r="H370" i="9" a="1"/>
  <c r="A499" i="9" a="1"/>
  <c r="H112" i="9" a="1"/>
  <c r="H793" i="9" a="1"/>
  <c r="I101" i="9" a="1"/>
  <c r="H244" i="9" a="1"/>
  <c r="I949" i="9" a="1"/>
  <c r="I1002" i="9" a="1"/>
  <c r="A760" i="9" a="1"/>
  <c r="I201" i="9" a="1"/>
  <c r="H139" i="9" a="1"/>
  <c r="H149" i="9" a="1"/>
  <c r="I637" i="9" a="1"/>
  <c r="I602" i="9" a="1"/>
  <c r="I854" i="9" a="1"/>
  <c r="H389" i="9" a="1"/>
  <c r="H270" i="9" a="1"/>
  <c r="A746" i="9" a="1"/>
  <c r="I977" i="9" a="1"/>
  <c r="I594" i="9" a="1"/>
  <c r="H398" i="9" a="1"/>
  <c r="G172" i="9" a="1"/>
  <c r="H867" i="9" a="1"/>
  <c r="I985" i="9" a="1"/>
  <c r="I621" i="9" a="1"/>
  <c r="H820" i="9" a="1"/>
  <c r="H447" i="9" a="1"/>
  <c r="H337" i="9" a="1"/>
  <c r="I509" i="9" a="1"/>
  <c r="H432" i="9" a="1"/>
  <c r="I639" i="9" a="1"/>
  <c r="I689" i="9" a="1"/>
  <c r="I788" i="9" a="1"/>
  <c r="I564" i="9" a="1"/>
  <c r="H124" i="9" a="1"/>
  <c r="I528" i="9" a="1"/>
  <c r="I256" i="9" a="1"/>
  <c r="I592" i="9" a="1"/>
  <c r="I27" i="9" a="1"/>
  <c r="I967" i="9" a="1"/>
  <c r="I145" i="9" a="1"/>
  <c r="A501" i="9" a="1"/>
  <c r="I347" i="9" a="1"/>
  <c r="I220" i="9" a="1"/>
  <c r="H550" i="9" a="1"/>
  <c r="I403" i="9" a="1"/>
  <c r="H623" i="9" a="1"/>
  <c r="H186" i="9" a="1"/>
  <c r="G140" i="9" a="1"/>
  <c r="G56" i="9" a="1"/>
  <c r="G251" i="9" a="1"/>
  <c r="I200" i="9" a="1"/>
  <c r="A157" i="9" a="1"/>
  <c r="I138" i="9" a="1"/>
  <c r="G71" i="9" a="1"/>
  <c r="H928" i="9" a="1"/>
  <c r="H294" i="9" a="1"/>
  <c r="H242" i="9" a="1"/>
  <c r="G307" i="9" a="1"/>
  <c r="A492" i="9" a="1"/>
  <c r="G371" i="9" a="1"/>
  <c r="I676" i="9" a="1"/>
  <c r="G105" i="9" a="1"/>
  <c r="I344" i="9" a="1"/>
  <c r="G279" i="9" a="1"/>
  <c r="H981" i="9" a="1"/>
  <c r="G142" i="9" a="1"/>
  <c r="H656" i="9" a="1"/>
  <c r="I754" i="9" a="1"/>
  <c r="A751" i="9" a="1"/>
  <c r="H527" i="9" a="1"/>
  <c r="I542" i="9" a="1"/>
  <c r="I935" i="9" a="1"/>
  <c r="I646" i="9" a="1"/>
  <c r="H892" i="9" a="1"/>
  <c r="I870" i="9" a="1"/>
  <c r="I461" i="9" a="1"/>
  <c r="H42" i="9" a="1"/>
  <c r="H160" i="9" a="1"/>
  <c r="G271" i="9" a="1"/>
  <c r="H227" i="9" a="1"/>
  <c r="H407" i="9" a="1"/>
  <c r="H911" i="9" a="1"/>
  <c r="H153" i="9" a="1"/>
  <c r="A630" i="9" a="1"/>
  <c r="I302" i="9" a="1"/>
  <c r="H751" i="9" a="1"/>
  <c r="G44" i="9" a="1"/>
  <c r="I880" i="9" a="1"/>
  <c r="I346" i="9" a="1"/>
  <c r="I85" i="9" a="1"/>
  <c r="H963" i="9" a="1"/>
  <c r="A171" i="9" a="1"/>
  <c r="H932" i="9" a="1"/>
  <c r="H477" i="9" a="1"/>
  <c r="I756" i="9" a="1"/>
  <c r="G31" i="9" a="1"/>
  <c r="H580" i="9" a="1"/>
  <c r="I609" i="9" a="1"/>
  <c r="G186" i="9" a="1"/>
  <c r="G84" i="9" a="1"/>
  <c r="G100" i="9" a="1"/>
  <c r="I267" i="9" a="1"/>
  <c r="I404" i="9" a="1"/>
  <c r="I474" i="9" a="1"/>
  <c r="I836" i="9" a="1"/>
  <c r="H372" i="9" a="1"/>
  <c r="H257" i="9" a="1"/>
  <c r="I198" i="9" a="1"/>
  <c r="H103" i="9" a="1"/>
  <c r="H377" i="9" a="1"/>
  <c r="H248" i="9" a="1"/>
  <c r="G145" i="9" a="1"/>
  <c r="H698" i="9" a="1"/>
  <c r="G149" i="9" a="1"/>
  <c r="H599" i="9" a="1"/>
  <c r="H710" i="9" a="1"/>
  <c r="H629" i="9" a="1"/>
  <c r="G278" i="9" a="1"/>
  <c r="H259" i="9" a="1"/>
  <c r="H391" i="9" a="1"/>
  <c r="G94" i="9" a="1"/>
  <c r="H768" i="9" a="1"/>
  <c r="H37" i="9" a="1"/>
  <c r="I938" i="9" a="1"/>
  <c r="I833" i="9" a="1"/>
  <c r="H677" i="9" a="1"/>
  <c r="G309" i="9" a="1"/>
  <c r="I135" i="9" a="1"/>
  <c r="H362" i="9" a="1"/>
  <c r="G21" i="9" a="1"/>
  <c r="G246" i="9" a="1"/>
  <c r="I828" i="9" a="1"/>
  <c r="G57" i="9" a="1"/>
  <c r="H460" i="9" a="1"/>
  <c r="I409" i="9" a="1"/>
  <c r="H685" i="9" a="1"/>
  <c r="H495" i="9" a="1"/>
  <c r="H236" i="9" a="1"/>
  <c r="H658" i="9" a="1"/>
  <c r="G50" i="9" a="1"/>
  <c r="H466" i="9" a="1"/>
  <c r="I352" i="9" a="1"/>
  <c r="H501" i="9" a="1"/>
  <c r="H193" i="9" a="1"/>
  <c r="I934" i="9" a="1"/>
  <c r="H416" i="9" a="1"/>
  <c r="H228" i="9" a="1"/>
  <c r="I910" i="9" a="1"/>
  <c r="H632" i="9" a="1"/>
  <c r="G327" i="9" a="1"/>
  <c r="A376" i="9" a="1"/>
  <c r="G127" i="9" a="1"/>
  <c r="H56" i="9" a="1"/>
  <c r="H348" i="9" a="1"/>
  <c r="G117" i="9" a="1"/>
  <c r="G19" i="9" a="1"/>
  <c r="I360" i="9" a="1"/>
  <c r="H500" i="9" a="1"/>
  <c r="I706" i="9" a="1"/>
  <c r="I221" i="9" a="1"/>
  <c r="I436" i="9" a="1"/>
  <c r="H392" i="9" a="1"/>
  <c r="I848" i="9" a="1"/>
  <c r="H718" i="9" a="1"/>
  <c r="G369" i="9" a="1"/>
  <c r="H592" i="9" a="1"/>
  <c r="H245" i="9" a="1"/>
  <c r="H894" i="9" a="1"/>
  <c r="G319" i="9" a="1"/>
  <c r="I634" i="9" a="1"/>
  <c r="G256" i="9" a="1"/>
  <c r="I906" i="9" a="1"/>
  <c r="G63" i="9" a="1"/>
  <c r="I942" i="9" a="1"/>
  <c r="I824" i="9" a="1"/>
  <c r="G235" i="9" a="1"/>
  <c r="I694" i="9" a="1"/>
  <c r="H502" i="9" a="1"/>
  <c r="G357" i="9" a="1"/>
  <c r="H826" i="9" a="1"/>
  <c r="H590" i="9" a="1"/>
  <c r="H131" i="9" a="1"/>
  <c r="H137" i="9" a="1"/>
  <c r="H561" i="9" a="1"/>
  <c r="H684" i="9" a="1"/>
  <c r="H181" i="9" a="1"/>
  <c r="I750" i="9" a="1"/>
  <c r="H976" i="9" a="1"/>
  <c r="G215" i="9" a="1"/>
  <c r="H322" i="9" a="1"/>
  <c r="H621" i="9" a="1"/>
  <c r="H880" i="9" a="1"/>
  <c r="H702" i="9" a="1"/>
  <c r="I340" i="9" a="1"/>
  <c r="A93" i="9" a="1"/>
  <c r="I692" i="9" a="1"/>
  <c r="G397" i="9" a="1"/>
  <c r="H647" i="9" a="1"/>
  <c r="G229" i="9" a="1"/>
  <c r="A516" i="9" a="1"/>
  <c r="H711" i="9" a="1"/>
  <c r="H787" i="9" a="1"/>
  <c r="H688" i="9" a="1"/>
  <c r="I416" i="9" a="1"/>
  <c r="H917" i="9" a="1"/>
  <c r="I980" i="9" a="1"/>
  <c r="G77" i="9" a="1"/>
  <c r="I500" i="9" a="1"/>
  <c r="I616" i="9" a="1"/>
  <c r="H201" i="9" a="1"/>
  <c r="H478" i="9" a="1"/>
  <c r="H331" i="9" a="1"/>
  <c r="I710" i="9" a="1"/>
  <c r="G27" i="9" a="1"/>
  <c r="H237" i="9" a="1"/>
  <c r="I410" i="9" a="1"/>
  <c r="I940" i="9" a="1"/>
  <c r="H926" i="9" a="1"/>
  <c r="A789" i="9" a="1"/>
  <c r="H532" i="9" a="1"/>
  <c r="A163" i="9" a="1"/>
  <c r="I411" i="9" a="1"/>
  <c r="I611" i="9" a="1"/>
  <c r="I513" i="9" a="1"/>
  <c r="G231" i="9" a="1"/>
  <c r="G131" i="9" a="1"/>
  <c r="G273" i="9" a="1"/>
  <c r="H183" i="9" a="1"/>
  <c r="I561" i="9" a="1"/>
  <c r="I733" i="9" a="1"/>
  <c r="G407" i="9" a="1"/>
  <c r="H983" i="9" a="1"/>
  <c r="I863" i="9" a="1"/>
  <c r="H278" i="9" a="1"/>
  <c r="H912" i="9" a="1"/>
  <c r="I712" i="9" a="1"/>
  <c r="H554" i="9" a="1"/>
  <c r="I816" i="9" a="1"/>
  <c r="I480" i="9" a="1"/>
  <c r="H443" i="9" a="1"/>
  <c r="I842" i="9" a="1"/>
  <c r="I873" i="9" a="1"/>
  <c r="H50" i="9" a="1"/>
  <c r="H458" i="9" a="1"/>
  <c r="H522" i="9" a="1"/>
  <c r="G217" i="9" a="1"/>
  <c r="H357" i="9" a="1"/>
  <c r="H307" i="9" a="1"/>
  <c r="A226" i="9" a="1"/>
  <c r="H754" i="9" a="1"/>
  <c r="H667" i="9" a="1"/>
  <c r="H825" i="9" a="1"/>
  <c r="G387" i="9" a="1"/>
  <c r="I401" i="9" a="1"/>
  <c r="G178" i="9" a="1"/>
  <c r="A543" i="9" a="1"/>
  <c r="H872" i="9" a="1"/>
  <c r="I386" i="9" a="1"/>
  <c r="H233" i="9" a="1"/>
  <c r="H605" i="9" a="1"/>
  <c r="H806" i="9" a="1"/>
  <c r="G150" i="9" a="1"/>
  <c r="H807" i="9" a="1"/>
  <c r="H732" i="9" a="1"/>
  <c r="G361" i="9" a="1"/>
  <c r="I777" i="9" a="1"/>
  <c r="H772" i="9" a="1"/>
  <c r="H209" i="9" a="1"/>
  <c r="A537" i="9" a="1"/>
  <c r="I914" i="9" a="1"/>
  <c r="I705" i="9" a="1"/>
  <c r="H453" i="9" a="1"/>
  <c r="I604" i="9" a="1"/>
  <c r="H323" i="9" a="1"/>
  <c r="G400" i="9" a="1"/>
  <c r="I900" i="9" a="1"/>
  <c r="A234" i="9" a="1"/>
  <c r="H708" i="9" a="1"/>
  <c r="G413" i="9" a="1"/>
  <c r="H354" i="9" a="1"/>
  <c r="G241" i="9" a="1"/>
  <c r="H726" i="9" a="1"/>
  <c r="I465" i="9" a="1"/>
  <c r="G10" i="9" a="1"/>
  <c r="I734" i="9" a="1"/>
  <c r="G396" i="9" a="1"/>
  <c r="H320" i="9" a="1"/>
  <c r="H92" i="9" a="1"/>
  <c r="H528" i="9" a="1"/>
  <c r="H436" i="9" a="1"/>
  <c r="G104" i="9" a="1"/>
  <c r="I739" i="9" a="1"/>
  <c r="H777" i="9" a="1"/>
  <c r="H9" i="9" a="1"/>
  <c r="I879" i="9" a="1"/>
  <c r="H498" i="9" a="1"/>
  <c r="G118" i="9" a="1"/>
  <c r="G302" i="9" a="1"/>
  <c r="H752" i="9" a="1"/>
  <c r="I649" i="9" a="1"/>
  <c r="I359" i="9" a="1"/>
  <c r="H998" i="9" a="1"/>
  <c r="I963" i="9" a="1"/>
  <c r="H81" i="9" a="1"/>
  <c r="I930" i="9" a="1"/>
  <c r="G232" i="9" a="1"/>
  <c r="H902" i="9" a="1"/>
  <c r="G376" i="9" a="1"/>
  <c r="G337" i="9" a="1"/>
  <c r="G370" i="9" a="1"/>
  <c r="I730" i="9" a="1"/>
  <c r="A112" i="9" a="1"/>
  <c r="I766" i="9" a="1"/>
  <c r="H75" i="9" a="1"/>
  <c r="H334" i="9" a="1"/>
  <c r="G244" i="9" a="1"/>
  <c r="I927" i="9" a="1"/>
  <c r="G121" i="9" a="1"/>
  <c r="I432" i="9" a="1"/>
  <c r="H959" i="9" a="1"/>
  <c r="G409" i="9" a="1"/>
  <c r="G426" i="9" a="1"/>
  <c r="H25" i="9" a="1"/>
  <c r="I683" i="9" a="1"/>
  <c r="I864" i="9" a="1"/>
  <c r="I126" i="9" a="1"/>
  <c r="H570" i="9" a="1"/>
  <c r="H869" i="9" a="1"/>
  <c r="H164" i="9" a="1"/>
  <c r="H463" i="9" a="1"/>
  <c r="I785" i="9" a="1"/>
  <c r="G242" i="9" a="1"/>
  <c r="H221" i="9" a="1"/>
  <c r="H352" i="9" a="1"/>
  <c r="H951" i="9" a="1"/>
  <c r="H158" i="9" a="1"/>
  <c r="H122" i="9" a="1"/>
  <c r="H413" i="9" a="1"/>
  <c r="H27" i="9" a="1"/>
  <c r="G230" i="9" a="1"/>
  <c r="H32" i="9" a="1"/>
  <c r="H125" i="9" a="1"/>
  <c r="I896" i="9" a="1"/>
  <c r="G102" i="9" a="1"/>
  <c r="H637" i="9" a="1"/>
  <c r="I955" i="9" a="1"/>
  <c r="I741" i="9" a="1"/>
  <c r="I882" i="9" a="1"/>
  <c r="H773" i="9" a="1"/>
  <c r="H539" i="9" a="1"/>
  <c r="G227" i="9" a="1"/>
  <c r="G214" i="9" a="1"/>
  <c r="H1001" i="9" a="1"/>
  <c r="G315" i="9" a="1"/>
  <c r="H523" i="9" a="1"/>
  <c r="I73" i="9" a="1"/>
  <c r="G9" i="9" a="1"/>
  <c r="I811" i="9" a="1"/>
  <c r="I555" i="9" a="1"/>
  <c r="H786" i="9" a="1"/>
  <c r="G314" i="9" a="1"/>
  <c r="I342" i="9" a="1"/>
  <c r="I623" i="9" a="1"/>
  <c r="H167" i="9" a="1"/>
  <c r="G250" i="9" a="1"/>
  <c r="H578" i="9" a="1"/>
  <c r="I696" i="9" a="1"/>
  <c r="A601" i="9" a="1"/>
  <c r="G289" i="9" a="1"/>
  <c r="H260" i="9" a="1"/>
  <c r="I384" i="9" a="1"/>
  <c r="H630" i="9" a="1"/>
  <c r="H974" i="9" a="1"/>
  <c r="I607" i="9" a="1"/>
  <c r="G193" i="9" a="1"/>
  <c r="H854" i="9" a="1"/>
  <c r="G83" i="9" a="1"/>
  <c r="I996" i="9" a="1"/>
  <c r="I901" i="9" a="1"/>
  <c r="H572" i="9" a="1"/>
  <c r="H863" i="9" a="1"/>
  <c r="I6" i="9" a="1"/>
  <c r="I478" i="9" a="1"/>
  <c r="H967" i="9" a="1"/>
  <c r="H675" i="9" a="1"/>
  <c r="H492" i="9" a="1"/>
  <c r="I456" i="9" a="1"/>
  <c r="I765" i="9" a="1"/>
  <c r="I499" i="9" a="1"/>
  <c r="H965" i="9" a="1"/>
  <c r="I651" i="9" a="1"/>
  <c r="I853" i="9" a="1"/>
  <c r="H383" i="9" a="1"/>
  <c r="H503" i="9" a="1"/>
  <c r="I867" i="9" a="1"/>
  <c r="I501" i="9" a="1"/>
  <c r="H782" i="9" a="1"/>
  <c r="H12" i="9" a="1"/>
  <c r="H934" i="9" a="1"/>
  <c r="G169" i="9" a="1"/>
  <c r="I423" i="9" a="1"/>
  <c r="G209" i="9" a="1"/>
  <c r="G268" i="9" a="1"/>
  <c r="H742" i="9" a="1"/>
  <c r="I446" i="9" a="1"/>
  <c r="I919" i="9" a="1"/>
  <c r="H459" i="9" a="1"/>
  <c r="I413" i="9" a="1"/>
  <c r="H652" i="9" a="1"/>
  <c r="H481" i="9" a="1"/>
  <c r="H644" i="9" a="1"/>
  <c r="I471" i="9" a="1"/>
  <c r="H683" i="9" a="1"/>
  <c r="G390" i="9" a="1"/>
  <c r="H813" i="9" a="1"/>
  <c r="I502" i="9" a="1"/>
  <c r="H218" i="9" a="1"/>
  <c r="H628" i="9" a="1"/>
  <c r="H239" i="9" a="1"/>
  <c r="I893" i="9" a="1"/>
  <c r="G322" i="9" a="1"/>
  <c r="H741" i="9" a="1"/>
  <c r="H52" i="9" a="1"/>
  <c r="H119" i="9" a="1"/>
  <c r="A495" i="9" a="1"/>
  <c r="H848" i="9" a="1"/>
  <c r="H766" i="9" a="1"/>
  <c r="H535" i="9" a="1"/>
  <c r="H538" i="9" a="1"/>
  <c r="A647" i="9" a="1"/>
  <c r="I570" i="9" a="1"/>
  <c r="A811" i="9" a="1"/>
  <c r="H220" i="9" a="1"/>
  <c r="I597" i="9" a="1"/>
  <c r="A855" i="9" a="1"/>
  <c r="H437" i="9" a="1"/>
  <c r="I487" i="9" a="1"/>
  <c r="H118" i="9" a="1"/>
  <c r="I319" i="9" a="1"/>
  <c r="I236" i="9" a="1"/>
  <c r="I567" i="9" a="1"/>
  <c r="I673" i="9" a="1"/>
  <c r="H406" i="9" a="1"/>
  <c r="G253" i="9" a="1"/>
  <c r="I464" i="9" a="1"/>
  <c r="H166" i="9" a="1"/>
  <c r="A756" i="9" a="1"/>
  <c r="H282" i="9" a="1"/>
  <c r="H627" i="9" a="1"/>
  <c r="A229" i="9" a="1"/>
  <c r="I536" i="9" a="1"/>
  <c r="I768" i="9" a="1"/>
  <c r="H53" i="9" a="1"/>
  <c r="H717" i="9" a="1"/>
  <c r="G53" i="9" a="1"/>
  <c r="H263" i="9" a="1"/>
  <c r="H577" i="9" a="1"/>
  <c r="H940" i="9" a="1"/>
  <c r="H899" i="9" a="1"/>
  <c r="H445" i="9" a="1"/>
  <c r="H758" i="9" a="1"/>
  <c r="I26" i="9" a="1"/>
  <c r="H937" i="9" a="1"/>
  <c r="I366" i="9" a="1"/>
  <c r="H784" i="9" a="1"/>
  <c r="G206" i="9" a="1"/>
  <c r="H797" i="9" a="1"/>
  <c r="I677" i="9" a="1"/>
  <c r="H526" i="9" a="1"/>
  <c r="G74" i="9" a="1"/>
  <c r="G404" i="9" a="1"/>
  <c r="H69" i="9" a="1"/>
  <c r="H127" i="9" a="1"/>
  <c r="G220" i="9" a="1"/>
  <c r="I883" i="9" a="1"/>
  <c r="H70" i="9" a="1"/>
  <c r="H603" i="9" a="1"/>
  <c r="G180" i="9" a="1"/>
  <c r="H832" i="9" a="1"/>
  <c r="G80" i="9" a="1"/>
  <c r="G310" i="9" a="1"/>
  <c r="H639" i="9" a="1"/>
  <c r="H18" i="9" a="1"/>
  <c r="H705" i="9" a="1"/>
  <c r="I463" i="9" a="1"/>
  <c r="G379" i="9" a="1"/>
  <c r="I573" i="9" a="1"/>
  <c r="G262" i="9" a="1"/>
  <c r="G128" i="9" a="1"/>
  <c r="G388" i="9" a="1"/>
  <c r="I719" i="9" a="1"/>
  <c r="A334" i="9" a="1"/>
  <c r="I660" i="9" a="1"/>
  <c r="I591" i="9" a="1"/>
  <c r="H633" i="9" a="1"/>
  <c r="I796" i="9" a="1"/>
  <c r="H725" i="9" a="1"/>
  <c r="I435" i="9" a="1"/>
  <c r="H803" i="9" a="1"/>
  <c r="G297" i="9" a="1"/>
  <c r="H344" i="9" a="1"/>
  <c r="I801" i="9" a="1"/>
  <c r="I999" i="9" a="1"/>
  <c r="G95" i="9" a="1"/>
  <c r="G293" i="9" a="1"/>
  <c r="H206" i="9" a="1"/>
  <c r="H795" i="9" a="1"/>
  <c r="H485" i="9" a="1"/>
  <c r="H265" i="9" a="1"/>
  <c r="G66" i="9" a="1"/>
  <c r="G247" i="9" a="1"/>
  <c r="H735" i="9" a="1"/>
  <c r="G236" i="9" a="1"/>
  <c r="H202" i="9" a="1"/>
  <c r="H723" i="9" a="1"/>
  <c r="H347" i="9" a="1"/>
  <c r="G366" i="9" a="1"/>
  <c r="H997" i="9" a="1"/>
  <c r="H956" i="9" a="1"/>
  <c r="I655" i="9" a="1"/>
  <c r="H865" i="9" a="1"/>
  <c r="I716" i="9" a="1"/>
  <c r="G107" i="9" a="1"/>
  <c r="H736" i="9" a="1"/>
  <c r="G368" i="9" a="1"/>
  <c r="G226" i="9" a="1"/>
  <c r="I445" i="9" a="1"/>
  <c r="H936" i="9" a="1"/>
  <c r="G338" i="9" a="1"/>
  <c r="A912" i="9" a="1"/>
  <c r="H107" i="9" a="1"/>
  <c r="H866" i="9" a="1"/>
  <c r="H467" i="9" a="1"/>
  <c r="A219" i="9" a="1"/>
  <c r="I368" i="9" a="1"/>
  <c r="H267" i="9" a="1"/>
  <c r="G394" i="9" a="1"/>
  <c r="H882" i="9" a="1"/>
  <c r="H943" i="9" a="1"/>
  <c r="G333" i="9" a="1"/>
  <c r="I362" i="9" a="1"/>
  <c r="H831" i="9" a="1"/>
  <c r="H358" i="9" a="1"/>
  <c r="H611" i="9" a="1"/>
  <c r="G199" i="9" a="1"/>
  <c r="G286" i="9" a="1"/>
  <c r="I606" i="9" a="1"/>
  <c r="G218" i="9" a="1"/>
  <c r="I90" i="9" a="1"/>
  <c r="H765" i="9" a="1"/>
  <c r="H20" i="9" a="1"/>
  <c r="I640" i="9" a="1"/>
  <c r="G14" i="9" a="1"/>
  <c r="H886" i="9" a="1"/>
  <c r="G435" i="9" a="1"/>
  <c r="I497" i="9" a="1"/>
  <c r="A564" i="9" a="1"/>
  <c r="H874" i="9" a="1"/>
  <c r="I915" i="9" a="1"/>
  <c r="H914" i="9" a="1"/>
  <c r="H938" i="9" a="1"/>
  <c r="H846" i="9" a="1"/>
  <c r="H319" i="9" a="1"/>
  <c r="G61" i="9" a="1"/>
  <c r="H506" i="9" a="1"/>
  <c r="G318" i="9" a="1"/>
  <c r="I546" i="9" a="1"/>
  <c r="H146" i="9" a="1"/>
  <c r="H816" i="9" a="1"/>
  <c r="I380" i="9" a="1"/>
  <c r="G55" i="9" a="1"/>
  <c r="G45" i="9" a="1"/>
  <c r="A741" i="9" a="1"/>
  <c r="G311" i="9" a="1"/>
  <c r="H701" i="9" a="1"/>
  <c r="H271" i="9" a="1"/>
  <c r="A888" i="9" a="1"/>
  <c r="G225" i="9" a="1"/>
  <c r="I850" i="9" a="1"/>
  <c r="I793" i="9" a="1"/>
  <c r="A906" i="9" a="1"/>
  <c r="I355" i="9" a="1"/>
  <c r="H809" i="9" a="1"/>
  <c r="H756" i="9" a="1"/>
  <c r="H86" i="9" a="1"/>
  <c r="H230" i="9" a="1"/>
  <c r="H341" i="9" a="1"/>
  <c r="I576" i="9" a="1"/>
  <c r="H82" i="9" a="1"/>
  <c r="I425" i="9" a="1"/>
  <c r="H738" i="9" a="1"/>
  <c r="H583" i="9" a="1"/>
  <c r="I800" i="9" a="1"/>
  <c r="A323" i="9" a="1"/>
  <c r="H195" i="9" a="1"/>
  <c r="H595" i="9" a="1"/>
  <c r="I544" i="9" a="1"/>
  <c r="H828" i="9" a="1"/>
  <c r="I248" i="9" a="1"/>
  <c r="G72" i="9" a="1"/>
  <c r="I551" i="9" a="1"/>
  <c r="I534" i="9" a="1"/>
  <c r="I613" i="9" a="1"/>
  <c r="H161" i="9" a="1"/>
  <c r="I698" i="9" a="1"/>
  <c r="A381" i="9" a="1"/>
  <c r="H493" i="9" a="1"/>
  <c r="I806" i="9" a="1"/>
  <c r="H836" i="9" a="1"/>
  <c r="G185" i="9" a="1"/>
  <c r="H551" i="9" a="1"/>
  <c r="H919" i="9" a="1"/>
  <c r="I298" i="9" a="1"/>
  <c r="G383" i="9" a="1"/>
  <c r="I860" i="9" a="1"/>
  <c r="I823" i="9" a="1"/>
  <c r="I928" i="9" a="1"/>
  <c r="H240" i="9" a="1"/>
  <c r="H560" i="9" a="1"/>
  <c r="G198" i="9" a="1"/>
  <c r="I519" i="9" a="1"/>
  <c r="A307" i="9" a="1"/>
  <c r="H482" i="9" a="1"/>
  <c r="A600" i="9" a="1"/>
  <c r="I378" i="9" a="1"/>
  <c r="H217" i="9" a="1"/>
  <c r="I814" i="9" a="1"/>
  <c r="I921" i="9" a="1"/>
  <c r="H499" i="9" a="1"/>
  <c r="G42" i="9" a="1"/>
  <c r="I887" i="9" a="1"/>
  <c r="H798" i="9" a="1"/>
  <c r="A681" i="9" a="1"/>
  <c r="I889" i="9" a="1"/>
  <c r="H933" i="9" a="1"/>
  <c r="A141" i="9" a="1"/>
  <c r="G216" i="9" a="1"/>
  <c r="H302" i="9" a="1"/>
  <c r="G18" i="9" a="1"/>
  <c r="H889" i="9" a="1"/>
  <c r="H219" i="9" a="1"/>
  <c r="H251" i="9" a="1"/>
  <c r="G381" i="9" a="1"/>
  <c r="I603" i="9" a="1"/>
  <c r="H374" i="9" a="1"/>
  <c r="G159" i="9" a="1"/>
  <c r="I749" i="9" a="1"/>
  <c r="H157" i="9" a="1"/>
  <c r="I722" i="9" a="1"/>
  <c r="I810" i="9" a="1"/>
  <c r="G219" i="9" a="1"/>
  <c r="H286" i="9" a="1"/>
  <c r="I230" i="9" a="1"/>
  <c r="I661" i="9" a="1"/>
  <c r="G269" i="9" a="1"/>
  <c r="I538" i="9" a="1"/>
  <c r="I871" i="9" a="1"/>
  <c r="A706" i="9" a="1"/>
  <c r="I568" i="9" a="1"/>
  <c r="H978" i="9" a="1"/>
  <c r="I852" i="9" a="1"/>
  <c r="G257" i="9" a="1"/>
  <c r="I881" i="9" a="1"/>
  <c r="H694" i="9" a="1"/>
  <c r="G263" i="9" a="1"/>
  <c r="H243" i="9" a="1"/>
  <c r="H141" i="9" a="1"/>
  <c r="G392" i="9" a="1"/>
  <c r="H208" i="9" a="1"/>
  <c r="A781" i="9" a="1"/>
  <c r="A267" i="9" a="1"/>
  <c r="H411" i="9" a="1"/>
  <c r="I658" i="9" a="1"/>
  <c r="G423" i="9" a="1"/>
  <c r="H733" i="9" a="1"/>
  <c r="I922" i="9" a="1"/>
  <c r="I984" i="9" a="1"/>
  <c r="H338" i="9" a="1"/>
  <c r="I582" i="9" a="1"/>
  <c r="G402" i="9" a="1"/>
  <c r="H28" i="9" a="1"/>
  <c r="I377" i="9" a="1"/>
  <c r="I815" i="9" a="1"/>
  <c r="I92" i="9" a="1"/>
  <c r="H747" i="9" a="1"/>
  <c r="I913" i="9" a="1"/>
  <c r="H292" i="9" a="1"/>
  <c r="H785" i="9" a="1"/>
  <c r="A975" i="9" a="1"/>
  <c r="H172" i="9" a="1"/>
  <c r="H10" i="9" a="1"/>
  <c r="I861" i="9" a="1"/>
  <c r="H834" i="9" a="1"/>
  <c r="H8" i="9" a="1"/>
  <c r="H672" i="9" a="1"/>
  <c r="A199" i="9" a="1"/>
  <c r="H614" i="9" a="1"/>
  <c r="I440" i="9" a="1"/>
  <c r="G135" i="9" a="1"/>
  <c r="H425" i="9" a="1"/>
  <c r="H301" i="9" a="1"/>
  <c r="H686" i="9" a="1"/>
  <c r="I156" i="9" a="1"/>
  <c r="H994" i="9" a="1"/>
  <c r="H774" i="9" a="1"/>
  <c r="G291" i="9" a="1"/>
  <c r="I650" i="9" a="1"/>
  <c r="H915" i="9" a="1"/>
  <c r="H553" i="9" a="1"/>
  <c r="H613" i="9" a="1"/>
  <c r="I612" i="9" a="1"/>
  <c r="G398" i="9" a="1"/>
  <c r="I789" i="9" a="1"/>
  <c r="G64" i="9" a="1"/>
  <c r="H517" i="9" a="1"/>
  <c r="A481" i="9" a="1"/>
  <c r="I313" i="9" a="1"/>
  <c r="H571" i="9" a="1"/>
  <c r="A162" i="9" a="1"/>
  <c r="G437" i="9" a="1"/>
  <c r="H78" i="9" a="1"/>
  <c r="G282" i="9" a="1"/>
  <c r="H636" i="9" a="1"/>
  <c r="I152" i="9" a="1"/>
  <c r="H693" i="9" a="1"/>
  <c r="G298" i="9" a="1"/>
  <c r="H226" i="9" a="1"/>
  <c r="I708" i="9" a="1"/>
  <c r="H762" i="9" a="1"/>
  <c r="H288" i="9" a="1"/>
  <c r="G168" i="9" a="1"/>
  <c r="I847" i="9" a="1"/>
  <c r="I489" i="9" a="1"/>
  <c r="I891" i="9" a="1"/>
  <c r="H472" i="9" a="1"/>
  <c r="I787" i="9" a="1"/>
  <c r="H662" i="9" a="1"/>
  <c r="G68" i="9" a="1"/>
  <c r="G343" i="9" a="1"/>
  <c r="H252" i="9" a="1"/>
  <c r="H650" i="9" a="1"/>
  <c r="G411" i="9" a="1"/>
  <c r="I748" i="9" a="1"/>
  <c r="H15" i="9" a="1"/>
  <c r="I983" i="9" a="1"/>
  <c r="G17" i="9" a="1"/>
  <c r="G136" i="9" a="1"/>
  <c r="H618" i="9" a="1"/>
  <c r="I388" i="9" a="1"/>
  <c r="I492" i="9" a="1"/>
  <c r="G316" i="9" a="1"/>
  <c r="H875" i="9" a="1"/>
  <c r="I578" i="9" a="1"/>
  <c r="H996" i="9" a="1"/>
  <c r="H222" i="9" a="1"/>
  <c r="I855" i="9" a="1"/>
  <c r="H385" i="9" a="1"/>
  <c r="G141" i="9" a="1"/>
  <c r="G166" i="9" a="1"/>
  <c r="G158" i="9" a="1"/>
  <c r="H935" i="9" a="1"/>
  <c r="H802" i="9" a="1"/>
  <c r="G421" i="9" a="1"/>
  <c r="I832" i="9" a="1"/>
  <c r="H830" i="9" a="1"/>
  <c r="H388" i="9" a="1"/>
  <c r="I223" i="9" a="1"/>
  <c r="G6" i="9" a="1"/>
  <c r="H95" i="9" a="1"/>
  <c r="H291" i="9" a="1"/>
  <c r="G321" i="9" a="1"/>
  <c r="I654" i="9" a="1"/>
  <c r="H345" i="9" a="1"/>
  <c r="H740" i="9" a="1"/>
  <c r="H446" i="9" a="1"/>
  <c r="G363" i="9" a="1"/>
  <c r="I385" i="9" a="1"/>
  <c r="H61" i="9" a="1"/>
  <c r="G417" i="9" a="1"/>
  <c r="G364" i="9" a="1"/>
  <c r="I725" i="9" a="1"/>
  <c r="G375" i="9" a="1"/>
  <c r="I383" i="9" a="1"/>
  <c r="H496" i="9" a="1"/>
  <c r="H861" i="9" a="1"/>
  <c r="H918" i="9" a="1"/>
  <c r="H789" i="9" a="1"/>
  <c r="A826" i="9" a="1"/>
  <c r="G132" i="9" a="1"/>
  <c r="H173" i="9" a="1"/>
  <c r="I794" i="9" a="1"/>
  <c r="I601" i="9" a="1"/>
  <c r="G96" i="9" a="1"/>
  <c r="H26" i="9" a="1"/>
  <c r="G70" i="9" a="1"/>
  <c r="I290" i="9" a="1"/>
  <c r="G416" i="9" a="1"/>
  <c r="H763" i="9" a="1"/>
  <c r="H745" i="9" a="1"/>
  <c r="G301" i="9" a="1"/>
  <c r="I241" i="9" a="1"/>
  <c r="G424" i="9" a="1"/>
  <c r="I553" i="9" a="1"/>
  <c r="I556" i="9" a="1"/>
  <c r="G425" i="9" a="1"/>
  <c r="H63" i="9" a="1"/>
  <c r="A69" i="9" a="1"/>
  <c r="I995" i="9" a="1"/>
  <c r="H318" i="9" a="1"/>
  <c r="H674" i="9" a="1"/>
  <c r="I869" i="9" a="1"/>
  <c r="G129" i="9" a="1"/>
  <c r="H743" i="9" a="1"/>
  <c r="H966" i="9" a="1"/>
  <c r="G405" i="9" a="1"/>
  <c r="I431" i="9" a="1"/>
  <c r="G99" i="9" a="1"/>
  <c r="H247" i="9" a="1"/>
  <c r="I958" i="9" a="1"/>
  <c r="H421" i="9" a="1"/>
  <c r="H676" i="9" a="1"/>
  <c r="H979" i="9" a="1"/>
  <c r="I357" i="9" a="1"/>
  <c r="H487" i="9" a="1"/>
  <c r="G124" i="9" a="1"/>
  <c r="I820" i="9" a="1"/>
  <c r="I629" i="9" a="1"/>
  <c r="I375" i="9" a="1"/>
  <c r="I831" i="9" a="1"/>
  <c r="H428" i="9" a="1"/>
  <c r="H781" i="9" a="1"/>
  <c r="I429" i="9" a="1"/>
  <c r="H709" i="9" a="1"/>
  <c r="H24" i="9" a="1"/>
  <c r="G346" i="9" a="1"/>
  <c r="I614" i="9" a="1"/>
  <c r="I510" i="9" a="1"/>
  <c r="H558" i="9" a="1"/>
  <c r="I830" i="9" a="1"/>
  <c r="I973" i="9" a="1"/>
  <c r="H864" i="9" a="1"/>
  <c r="H619" i="9" a="1"/>
  <c r="G432" i="9" a="1"/>
  <c r="G305" i="9" a="1"/>
  <c r="I761" i="9" a="1"/>
  <c r="H906" i="9" a="1"/>
  <c r="H810" i="9" a="1"/>
  <c r="I189" i="9" a="1"/>
  <c r="G223" i="9" a="1"/>
  <c r="I120" i="9" a="1"/>
  <c r="H178" i="9" a="1"/>
  <c r="G355" i="9" a="1"/>
  <c r="I38" i="9" a="1"/>
  <c r="H575" i="9" a="1"/>
  <c r="H585" i="9" a="1"/>
  <c r="H326" i="9" a="1"/>
  <c r="G385" i="9" a="1"/>
  <c r="I210" i="9" a="1"/>
  <c r="I165" i="9" a="1"/>
  <c r="H66" i="9" a="1"/>
  <c r="H968" i="9" a="1"/>
  <c r="G410" i="9" a="1"/>
  <c r="H851" i="9" a="1"/>
  <c r="H651" i="9" a="1"/>
  <c r="H77" i="9" a="1"/>
  <c r="I439" i="9" a="1"/>
  <c r="I956" i="9" a="1"/>
  <c r="I805" i="9" a="1"/>
  <c r="H330" i="9" a="1"/>
  <c r="G116" i="9" a="1"/>
  <c r="I895" i="9" a="1"/>
  <c r="G427" i="9" a="1"/>
  <c r="I437" i="9" a="1"/>
  <c r="I620" i="9" a="1"/>
  <c r="H113" i="9" a="1"/>
  <c r="I929" i="9" a="1"/>
  <c r="G213" i="9" a="1"/>
  <c r="G362" i="9" a="1"/>
  <c r="I61" i="9" a="1"/>
  <c r="I924" i="9" a="1"/>
  <c r="I460" i="9" a="1"/>
  <c r="G440" i="9" a="1"/>
  <c r="H483" i="9" a="1"/>
  <c r="G270" i="9" a="1"/>
  <c r="I586" i="9" a="1"/>
  <c r="H355" i="9" a="1"/>
  <c r="G101" i="9" a="1"/>
  <c r="H512" i="9" a="1"/>
  <c r="A442" i="9" a="1"/>
  <c r="I479" i="9" a="1"/>
  <c r="H888" i="9" a="1"/>
  <c r="I396" i="9" a="1"/>
  <c r="H845" i="9" a="1"/>
  <c r="G419" i="9" a="1"/>
  <c r="I525" i="9" a="1"/>
  <c r="I518" i="9" a="1"/>
  <c r="I986" i="9" a="1"/>
  <c r="A867" i="9" a="1"/>
  <c r="H470" i="9" a="1"/>
  <c r="G221" i="9" a="1"/>
  <c r="G384" i="9" a="1"/>
  <c r="H783" i="9" a="1"/>
  <c r="G76" i="9" a="1"/>
  <c r="H171" i="9" a="1"/>
  <c r="I507" i="9" a="1"/>
  <c r="H76" i="9" a="1"/>
  <c r="G373" i="9" a="1"/>
  <c r="A256" i="9" a="1"/>
  <c r="H327" i="9" a="1"/>
  <c r="G431" i="9" a="1"/>
  <c r="I680" i="9" a="1"/>
  <c r="H400" i="9" a="1"/>
  <c r="I633" i="9" a="1"/>
  <c r="H468" i="9" a="1"/>
  <c r="G62" i="9" a="1"/>
  <c r="H678" i="9" a="1"/>
  <c r="G303" i="9" a="1"/>
  <c r="G156" i="9" a="1"/>
  <c r="A792" i="9" a="1"/>
  <c r="A450" i="9" a="1"/>
  <c r="I292" i="9" a="1"/>
  <c r="A396" i="9" a="1"/>
  <c r="H896" i="9" a="1"/>
  <c r="G205" i="9" a="1"/>
  <c r="H57" i="9" a="1"/>
  <c r="G130" i="9" a="1"/>
  <c r="I443" i="9" a="1"/>
  <c r="I593" i="9" a="1"/>
  <c r="I632" i="9" a="1"/>
  <c r="I491" i="9" a="1"/>
  <c r="H438" i="9" a="1"/>
  <c r="I415" i="9" a="1"/>
  <c r="G114" i="9" a="1"/>
  <c r="I238" i="9" a="1"/>
  <c r="H616" i="9" a="1"/>
  <c r="I203" i="9" a="1"/>
  <c r="I180" i="9" a="1"/>
  <c r="G111" i="9" a="1"/>
  <c r="I656" i="9" a="1"/>
  <c r="G374" i="9" a="1"/>
  <c r="I987" i="9" a="1"/>
  <c r="G51" i="9" a="1"/>
  <c r="I635" i="9" a="1"/>
  <c r="H771" i="9" a="1"/>
  <c r="H427" i="9" a="1"/>
  <c r="I627" i="9" a="1"/>
  <c r="H727" i="9" a="1"/>
  <c r="H285" i="9" a="1"/>
  <c r="H80" i="9" a="1"/>
  <c r="I936" i="9" a="1"/>
  <c r="G187" i="9" a="1"/>
  <c r="A513" i="9" a="1"/>
  <c r="H790" i="9" a="1"/>
  <c r="G191" i="9" a="1"/>
  <c r="A594" i="9" a="1"/>
  <c r="G171" i="9" a="1"/>
  <c r="I462" i="9" a="1"/>
  <c r="H40" i="9" a="1"/>
  <c r="H179" i="9" a="1"/>
  <c r="H187" i="9" a="1"/>
  <c r="H452" i="9" a="1"/>
  <c r="G189" i="9" a="1"/>
  <c r="I1001" i="9" a="1"/>
  <c r="H297" i="9" a="1"/>
  <c r="I678" i="9" a="1"/>
  <c r="H881" i="9" a="1"/>
  <c r="H601" i="9" a="1"/>
  <c r="I391" i="9" a="1"/>
  <c r="G120" i="9" a="1"/>
  <c r="H668" i="9" a="1"/>
  <c r="H430" i="9" a="1"/>
  <c r="I759" i="9" a="1"/>
  <c r="I430" i="9" a="1"/>
  <c r="I714" i="9" a="1"/>
  <c r="H17" i="9" a="1"/>
  <c r="A546" i="9" a="1"/>
  <c r="G354" i="9" a="1"/>
  <c r="G204" i="9" a="1"/>
  <c r="H211" i="9" a="1"/>
  <c r="H277" i="9" a="1"/>
  <c r="G90" i="9" a="1"/>
  <c r="I690" i="9" a="1"/>
  <c r="H429" i="9" a="1"/>
  <c r="I931" i="9" a="1"/>
  <c r="H842" i="9" a="1"/>
  <c r="I559" i="9" a="1"/>
  <c r="I951" i="9" a="1"/>
  <c r="H730" i="9" a="1"/>
  <c r="I475" i="9" a="1"/>
  <c r="H939" i="9" a="1"/>
  <c r="I825" i="9" a="1"/>
  <c r="I590" i="9" a="1"/>
  <c r="H862" i="9" a="1"/>
  <c r="G267" i="9" a="1"/>
  <c r="I641" i="9" a="1"/>
  <c r="I965" i="9" a="1"/>
  <c r="H333" i="9" a="1"/>
  <c r="I945" i="9" a="1"/>
  <c r="H165" i="9" a="1"/>
  <c r="A414" i="9" a="1"/>
  <c r="I550" i="9" a="1"/>
  <c r="G54" i="9" a="1"/>
  <c r="I715" i="9" a="1"/>
  <c r="G258" i="9" a="1"/>
  <c r="I804" i="9" a="1"/>
  <c r="G133" i="9" a="1"/>
  <c r="H387" i="9" a="1"/>
  <c r="H316" i="9" a="1"/>
  <c r="H576" i="9" a="1"/>
  <c r="G16" i="9" a="1"/>
  <c r="G170" i="9" a="1"/>
  <c r="H982" i="9" a="1"/>
  <c r="I781" i="9" a="1"/>
  <c r="H1000" i="9" a="1"/>
  <c r="I701" i="9" a="1"/>
  <c r="I925" i="9" a="1"/>
  <c r="G39" i="9" a="1"/>
  <c r="H104" i="9" a="1"/>
  <c r="H510" i="9" a="1"/>
  <c r="G245" i="9" a="1"/>
  <c r="I961" i="9" a="1"/>
  <c r="I42" i="9" a="1"/>
  <c r="H174" i="9" a="1"/>
  <c r="A561" i="9" a="1"/>
  <c r="H109" i="9" a="1"/>
  <c r="H900" i="9" a="1"/>
  <c r="G391" i="9" a="1"/>
  <c r="G334" i="9" a="1"/>
  <c r="I844" i="9" a="1"/>
  <c r="H142" i="9" a="1"/>
  <c r="H213" i="9" a="1"/>
  <c r="I402" i="9" a="1"/>
  <c r="A84" i="9" a="1"/>
  <c r="A675" i="9" a="1"/>
  <c r="I888" i="9" a="1"/>
  <c r="H21" i="9" a="1"/>
  <c r="H151" i="9" a="1"/>
  <c r="H591" i="9" a="1"/>
  <c r="I626" i="9" a="1"/>
  <c r="H728" i="9" a="1"/>
  <c r="G152" i="9" a="1"/>
  <c r="G352" i="9" a="1"/>
  <c r="I978" i="9" a="1"/>
  <c r="H827" i="9" a="1"/>
  <c r="H415" i="9" a="1"/>
  <c r="I746" i="9" a="1"/>
  <c r="H99" i="9" a="1"/>
  <c r="G312" i="9" a="1"/>
  <c r="H305" i="9" a="1"/>
  <c r="I424" i="9" a="1"/>
  <c r="I531" i="9" a="1"/>
  <c r="H778" i="9" a="1"/>
  <c r="H805" i="9" a="1"/>
  <c r="I975" i="9" a="1"/>
  <c r="I840" i="9" a="1"/>
  <c r="H631" i="9" a="1"/>
  <c r="H961" i="9" a="1"/>
  <c r="G103" i="9" a="1"/>
  <c r="G165" i="9" a="1"/>
  <c r="G389" i="9" a="1"/>
  <c r="H238" i="9" a="1"/>
  <c r="I703" i="9" a="1"/>
  <c r="H128" i="9" a="1"/>
  <c r="H261" i="9" a="1"/>
  <c r="H376" i="9" a="1"/>
  <c r="H993" i="9" a="1"/>
  <c r="G194" i="9" a="1"/>
  <c r="H343" i="9" a="1"/>
  <c r="H794" i="9" a="1"/>
  <c r="H879" i="9" a="1"/>
  <c r="G23" i="9" a="1"/>
  <c r="H162" i="9" a="1"/>
  <c r="G195" i="9" a="1"/>
  <c r="I885" i="9" a="1"/>
  <c r="G183" i="9" a="1"/>
  <c r="G153" i="9" a="1"/>
  <c r="G210" i="9" a="1"/>
  <c r="I950" i="9" a="1"/>
  <c r="G331" i="9" a="1"/>
  <c r="I584" i="9" a="1"/>
  <c r="G48" i="9" a="1"/>
  <c r="G340" i="9" a="1"/>
  <c r="H573" i="9" a="1"/>
  <c r="G395" i="9" a="1"/>
  <c r="H223" i="9" a="1"/>
  <c r="I974" i="9" a="1"/>
  <c r="G203" i="9" a="1"/>
  <c r="H117" i="9" a="1"/>
  <c r="G260" i="9" a="1"/>
  <c r="H843" i="9" a="1"/>
  <c r="H308" i="9" a="1"/>
  <c r="H317" i="9" a="1"/>
  <c r="G75" i="9" a="1"/>
  <c r="H920" i="9" a="1"/>
  <c r="H804" i="9" a="1"/>
  <c r="I102" i="9" a="1"/>
  <c r="A262" i="9" a="1"/>
  <c r="H126" i="9" a="1"/>
  <c r="I505" i="9" a="1"/>
  <c r="H818" i="9" a="1"/>
  <c r="I691" i="9" a="1"/>
  <c r="H638" i="9" a="1"/>
  <c r="I226" i="9" a="1"/>
  <c r="H132" i="9" a="1"/>
  <c r="G255" i="9" a="1"/>
  <c r="G28" i="9" a="1"/>
  <c r="H657" i="9" a="1"/>
  <c r="H566" i="9" a="1"/>
  <c r="H451" i="9" a="1"/>
  <c r="G192" i="9" a="1"/>
  <c r="I608" i="9" a="1"/>
  <c r="G167" i="9" a="1"/>
  <c r="H533" i="9" a="1"/>
  <c r="G412" i="9" a="1"/>
  <c r="H739" i="9" a="1"/>
  <c r="G73" i="9" a="1"/>
  <c r="H185" i="9" a="1"/>
  <c r="H426" i="9" a="1"/>
  <c r="I686" i="9" a="1"/>
  <c r="G11" i="9" a="1"/>
  <c r="H954" i="9" a="1"/>
  <c r="H857" i="9" a="1"/>
  <c r="I711" i="9" a="1"/>
  <c r="G350" i="9" a="1"/>
  <c r="A571" i="9" a="1"/>
  <c r="A444" i="9" a="1"/>
  <c r="H598" i="9" a="1"/>
  <c r="I809" i="9" a="1"/>
  <c r="H489" i="9" a="1"/>
  <c r="G266" i="9" a="1"/>
  <c r="G300" i="9" a="1"/>
  <c r="H788" i="9" a="1"/>
  <c r="G161" i="9" a="1"/>
  <c r="G272" i="9" a="1"/>
  <c r="H801" i="9" a="1"/>
  <c r="H93" i="9" a="1"/>
  <c r="I547" i="9" a="1"/>
  <c r="G339" i="9" a="1"/>
  <c r="G49" i="9" a="1"/>
  <c r="I188" i="9" a="1"/>
  <c r="H225" i="9" a="1"/>
  <c r="G433" i="9" a="1"/>
  <c r="H607" i="9" a="1"/>
  <c r="G284" i="9" a="1"/>
  <c r="G92" i="9" a="1"/>
  <c r="I16" i="9" a="1"/>
  <c r="H671" i="9" a="1"/>
  <c r="I726" i="9" a="1"/>
  <c r="G358" i="9" a="1"/>
  <c r="G112" i="9" a="1"/>
  <c r="G207" i="9" a="1"/>
  <c r="I459" i="9" a="1"/>
  <c r="H176" i="9" a="1"/>
  <c r="H924" i="9" a="1"/>
  <c r="H299" i="9" a="1"/>
  <c r="H91" i="9" a="1"/>
  <c r="I441" i="9" a="1"/>
  <c r="H129" i="9" a="1"/>
  <c r="H660" i="9" a="1"/>
  <c r="G261" i="9" a="1"/>
  <c r="A175" i="9" a="1"/>
  <c r="H433" i="9" a="1"/>
  <c r="H549" i="9" a="1"/>
  <c r="I644" i="9" a="1"/>
  <c r="G332" i="9" a="1"/>
  <c r="H295" i="9" a="1"/>
  <c r="I707" i="9" a="1"/>
  <c r="H191" i="9" a="1"/>
  <c r="G328" i="9" a="1"/>
  <c r="I851" i="9" a="1"/>
  <c r="H67" i="9" a="1"/>
  <c r="G179" i="9" a="1"/>
  <c r="H853" i="9" a="1"/>
  <c r="I231" i="9" a="1"/>
  <c r="H497" i="9" a="1"/>
  <c r="G173" i="9" a="1"/>
  <c r="I455" i="9" a="1"/>
  <c r="G441" i="9" a="1"/>
  <c r="H134" i="9" a="1"/>
  <c r="H821" i="9" a="1"/>
  <c r="H808" i="9" a="1"/>
  <c r="G115" i="9" a="1"/>
  <c r="G438" i="9" a="1"/>
  <c r="G434" i="9" a="1"/>
  <c r="H98" i="9" a="1"/>
  <c r="G265" i="9" a="1"/>
  <c r="H456" i="9" a="1"/>
  <c r="A238" i="9" a="1"/>
  <c r="I451" i="9" a="1"/>
  <c r="G125" i="9" a="1"/>
  <c r="G60" i="9" a="1"/>
  <c r="I912" i="9" a="1"/>
  <c r="G134" i="9" a="1"/>
  <c r="G429" i="9" a="1"/>
  <c r="G306" i="9" a="1"/>
  <c r="G248" i="9" a="1"/>
  <c r="H588" i="9" a="1"/>
  <c r="H663" i="9" a="1"/>
  <c r="H904" i="9" a="1"/>
  <c r="G238" i="9" a="1"/>
  <c r="G325" i="9" a="1"/>
  <c r="I799" i="9" a="1"/>
  <c r="I776" i="9" a="1"/>
  <c r="H74" i="9" a="1"/>
  <c r="I992" i="9" a="1"/>
  <c r="G275" i="9" a="1"/>
  <c r="I469" i="9" a="1"/>
  <c r="I334" i="9" a="1"/>
  <c r="H486" i="9" a="1"/>
  <c r="I259" i="9" a="1"/>
  <c r="I486" i="9" a="1"/>
  <c r="I890" i="9" a="1"/>
  <c r="H999" i="9" a="1"/>
  <c r="I786" i="9" a="1"/>
  <c r="I740" i="9" a="1"/>
  <c r="A148" i="9" a="1"/>
  <c r="H105" i="9" a="1"/>
  <c r="H975" i="9" a="1"/>
  <c r="G418" i="9" a="1"/>
  <c r="A790" i="9" a="1"/>
  <c r="I946" i="9" a="1"/>
  <c r="G342" i="9" a="1"/>
  <c r="H190" i="9" a="1"/>
  <c r="H944" i="9" a="1"/>
  <c r="H518" i="9" a="1"/>
  <c r="H722" i="9" a="1"/>
  <c r="G188" i="9" a="1"/>
  <c r="I86" i="9" a="1"/>
  <c r="H321" i="9" a="1"/>
  <c r="H871" i="9" a="1"/>
  <c r="H276" i="9" a="1"/>
  <c r="I846" i="9" a="1"/>
  <c r="I834" i="9" a="1"/>
  <c r="H23" i="9" a="1"/>
  <c r="I580" i="9" a="1"/>
  <c r="H642" i="9" a="1"/>
  <c r="G122" i="9" a="1"/>
  <c r="H47" i="9" a="1"/>
  <c r="H393" i="9" a="1"/>
  <c r="H68" i="9" a="1"/>
  <c r="I395" i="9" a="1"/>
  <c r="I219" i="9" a="1"/>
  <c r="G439" i="9" a="1"/>
  <c r="H281" i="9" a="1"/>
  <c r="H901" i="9" a="1"/>
  <c r="I899" i="9" a="1"/>
  <c r="H692" i="9" a="1"/>
  <c r="I589" i="9" a="1"/>
  <c r="G406" i="9" a="1"/>
  <c r="H988" i="9" a="1"/>
  <c r="I596" i="9" a="1"/>
  <c r="G415" i="9" a="1"/>
  <c r="I426" i="9" a="1"/>
  <c r="G365" i="9" a="1"/>
  <c r="G378" i="9" a="1"/>
  <c r="G222" i="9" a="1"/>
  <c r="G349" i="9" a="1"/>
  <c r="H707" i="9" a="1"/>
  <c r="I615" i="9" a="1"/>
  <c r="H690" i="9" a="1"/>
  <c r="H610" i="9" a="1"/>
  <c r="H883" i="9" a="1"/>
  <c r="H748" i="9" a="1"/>
  <c r="G155" i="9" a="1"/>
  <c r="H665" i="9" a="1"/>
  <c r="H624" i="9" a="1"/>
  <c r="H16" i="9" a="1"/>
  <c r="H38" i="9" a="1"/>
  <c r="H908" i="9" a="1"/>
  <c r="H749" i="9" a="1"/>
  <c r="G276" i="9" a="1"/>
  <c r="I709" i="9" a="1"/>
  <c r="A288" i="9" a="1"/>
  <c r="I771" i="9" a="1"/>
  <c r="H617" i="9" a="1"/>
  <c r="I731" i="9" a="1"/>
  <c r="G288" i="9" a="1"/>
  <c r="H626" i="9" a="1"/>
  <c r="H587" i="9" a="1"/>
  <c r="G110" i="9" a="1"/>
  <c r="H536" i="9" a="1"/>
  <c r="H957" i="9" a="1"/>
  <c r="I886" i="9" a="1"/>
  <c r="G91" i="9" a="1"/>
  <c r="I541" i="9" a="1"/>
  <c r="G97" i="9" a="1"/>
  <c r="G113" i="9" a="1"/>
  <c r="I63" i="9" a="1"/>
  <c r="H43" i="9" a="1"/>
  <c r="I336" i="9" a="1"/>
  <c r="H562" i="9" a="1"/>
  <c r="G108" i="9" a="1"/>
  <c r="H350" i="9" a="1"/>
  <c r="I125" i="9" a="1"/>
  <c r="I450" i="9" a="1"/>
  <c r="I856" i="9" a="1"/>
  <c r="G211" i="9" a="1"/>
  <c r="I758" i="9" a="1"/>
  <c r="G144" i="9" a="1"/>
  <c r="H163" i="9" a="1"/>
  <c r="H300" i="9" a="1"/>
  <c r="I516" i="9" a="1"/>
  <c r="I865" i="9" a="1"/>
  <c r="I276" i="9" a="1"/>
  <c r="G249" i="9" a="1"/>
  <c r="H593" i="9" a="1"/>
  <c r="I511" i="9" a="1"/>
  <c r="G254" i="9" a="1"/>
  <c r="H622" i="9" a="1"/>
  <c r="I636" i="9" a="1"/>
  <c r="H897" i="9" a="1"/>
  <c r="G351" i="9" a="1"/>
  <c r="H258" i="9" a="1"/>
  <c r="H543" i="9" a="1"/>
  <c r="I877" i="9" a="1"/>
  <c r="H991" i="9" a="1"/>
  <c r="I422" i="9" a="1"/>
  <c r="G13" i="9" a="1"/>
  <c r="A591" i="9" a="1"/>
  <c r="H913" i="9" a="1"/>
  <c r="G41" i="9" a="1"/>
  <c r="H884" i="9" a="1"/>
  <c r="H858" i="9" a="1"/>
  <c r="H101" i="9" a="1"/>
  <c r="I742" i="9" a="1"/>
  <c r="A406" i="9" a="1"/>
  <c r="G126" i="9" a="1"/>
  <c r="I960" i="9" a="1"/>
  <c r="H757" i="9" a="1"/>
  <c r="H182" i="9" a="1"/>
  <c r="H670" i="9" a="1"/>
  <c r="I356" i="9" a="1"/>
  <c r="G89" i="9" a="1"/>
  <c r="H254" i="9" a="1"/>
  <c r="I571" i="9" a="1"/>
  <c r="H563" i="9" a="1"/>
  <c r="H931" i="9" a="1"/>
  <c r="H887" i="9" a="1"/>
  <c r="I783" i="9" a="1"/>
  <c r="H403" i="9" a="1"/>
  <c r="H473" i="9" a="1"/>
  <c r="H548" i="9" a="1"/>
  <c r="G285" i="9" a="1"/>
  <c r="H987" i="9" a="1"/>
  <c r="H948" i="9" a="1"/>
  <c r="I524" i="9" a="1"/>
  <c r="I770" i="9" a="1"/>
  <c r="G277" i="9" a="1"/>
  <c r="G78" i="9" a="1"/>
  <c r="H823" i="9" a="1"/>
  <c r="G20" i="9" a="1"/>
  <c r="H878" i="9" a="1"/>
  <c r="H511" i="9" a="1"/>
  <c r="A105" i="9" a="1"/>
  <c r="G360" i="9" a="1"/>
  <c r="I665" i="9" a="1"/>
  <c r="I970" i="9" a="1"/>
  <c r="H360" i="9" a="1"/>
  <c r="H929" i="9" a="1"/>
  <c r="I148" i="9" a="1"/>
  <c r="G160" i="9" a="1"/>
  <c r="I964" i="9" a="1"/>
  <c r="I991" i="9" a="1"/>
  <c r="G46" i="9" a="1"/>
  <c r="I521" i="9" a="1"/>
  <c r="I911" i="9" a="1"/>
  <c r="G347" i="9" a="1"/>
  <c r="H380" i="9" a="1"/>
  <c r="I926" i="9" a="1"/>
  <c r="I795" i="9" a="1"/>
  <c r="H812" i="9" a="1"/>
  <c r="H947" i="9" a="1"/>
  <c r="H310" i="9" a="1"/>
  <c r="A613" i="9" a="1"/>
  <c r="G237" i="9" a="1"/>
  <c r="G335" i="9" a="1"/>
  <c r="H1002" i="9" a="1"/>
  <c r="H661" i="9" a="1"/>
  <c r="I849" i="9" a="1"/>
  <c r="I704" i="9" a="1"/>
  <c r="G234" i="9" a="1"/>
  <c r="G119" i="9" a="1"/>
  <c r="H298" i="9" a="1"/>
  <c r="G43" i="9" a="1"/>
  <c r="H791" i="9" a="1"/>
  <c r="I941" i="9" a="1"/>
  <c r="G326" i="9" a="1"/>
  <c r="H168" i="9" a="1"/>
  <c r="I622" i="9" a="1"/>
  <c r="G280" i="9" a="1"/>
  <c r="A762" i="9" a="1"/>
  <c r="H402" i="9" a="1"/>
  <c r="H953" i="9" a="1"/>
  <c r="H703" i="9" a="1"/>
  <c r="G287" i="9" a="1"/>
  <c r="H716" i="9" a="1"/>
  <c r="G123" i="9" a="1"/>
  <c r="G212" i="9" a="1"/>
  <c r="I563" i="9" a="1"/>
  <c r="G29" i="9" a="1"/>
  <c r="I752" i="9" a="1"/>
  <c r="H147" i="9" a="1"/>
  <c r="I745" i="9" a="1"/>
  <c r="A261" i="9" a="1"/>
  <c r="H942" i="9" a="1"/>
  <c r="D921" i="9" a="1"/>
  <c r="G93" i="9" a="1"/>
  <c r="H876" i="9" a="1"/>
  <c r="H992" i="9" a="1"/>
  <c r="G228" i="9" a="1"/>
  <c r="H378" i="9" a="1"/>
  <c r="H713" i="9" a="1"/>
  <c r="G154" i="9" a="1"/>
  <c r="I685" i="9" a="1"/>
  <c r="G430" i="9" a="1"/>
  <c r="G36" i="9" a="1"/>
  <c r="H471" i="9" a="1"/>
  <c r="H130" i="9" a="1"/>
  <c r="H488" i="9" a="1"/>
  <c r="I515" i="9" a="1"/>
  <c r="H54" i="9" a="1"/>
  <c r="H84" i="9" a="1"/>
  <c r="H731" i="9" a="1"/>
  <c r="H216" i="9" a="1"/>
  <c r="G344" i="9" a="1"/>
  <c r="I269" i="9" a="1"/>
  <c r="H687" i="9" a="1"/>
  <c r="H648" i="9" a="1"/>
  <c r="G274" i="9" a="1"/>
  <c r="G345" i="9" a="1"/>
  <c r="H71" i="9" a="1"/>
  <c r="I948" i="9" a="1"/>
  <c r="H381" i="9" a="1"/>
  <c r="H643" i="9" a="1"/>
  <c r="I406" i="9" a="1"/>
  <c r="G443" i="9" a="1"/>
  <c r="I968" i="9" a="1"/>
  <c r="I540" i="9" a="1"/>
  <c r="I40" i="9" a="1"/>
  <c r="G386" i="9" a="1"/>
  <c r="I418" i="9" a="1"/>
  <c r="G380" i="9" a="1"/>
  <c r="G163" i="9" a="1"/>
  <c r="G353" i="9" a="1"/>
  <c r="H634" i="9" a="1"/>
  <c r="G175" i="9" a="1"/>
  <c r="G201" i="9" a="1"/>
  <c r="G139" i="9" a="1"/>
  <c r="I859" i="9" a="1"/>
  <c r="H135" i="9" a="1"/>
  <c r="G182" i="9" a="1"/>
  <c r="G109" i="9" a="1"/>
  <c r="I904" i="9" a="1"/>
  <c r="I803" i="9" a="1"/>
  <c r="G52" i="9" a="1"/>
  <c r="H335" i="9" a="1"/>
  <c r="I962" i="9" a="1"/>
  <c r="H921" i="9" a="1"/>
  <c r="I321" i="9" a="1"/>
  <c r="H13" i="9" a="1"/>
  <c r="I311" i="9" a="1"/>
  <c r="H542" i="9" a="1"/>
  <c r="H293" i="9" a="1"/>
  <c r="A349" i="9" a="1"/>
  <c r="H958" i="9" a="1"/>
  <c r="I735" i="9" a="1"/>
  <c r="I600" i="9" a="1"/>
  <c r="I819" i="9" a="1"/>
  <c r="I625" i="9" a="1"/>
  <c r="G336" i="9" a="1"/>
  <c r="G26" i="9" a="1"/>
  <c r="G372" i="9" a="1"/>
  <c r="G224" i="9" a="1"/>
  <c r="H420" i="9" a="1"/>
  <c r="H972" i="9" a="1"/>
  <c r="H980" i="9" a="1"/>
  <c r="I433" i="9" a="1"/>
  <c r="G157" i="9" a="1"/>
  <c r="G329" i="9" a="1"/>
  <c r="H83" i="9" a="1"/>
  <c r="I381" i="9" a="1"/>
  <c r="G408" i="9" a="1"/>
  <c r="I121" i="9" a="1"/>
  <c r="I77" i="9" a="1"/>
  <c r="G25" i="9" a="1"/>
  <c r="H106" i="9" a="1"/>
  <c r="H941" i="9" a="1"/>
  <c r="G320" i="9" a="1"/>
  <c r="H33" i="9" a="1"/>
  <c r="I666" i="9" a="1"/>
  <c r="G292" i="9" a="1"/>
  <c r="H800" i="9" a="1"/>
  <c r="H457" i="9" a="1"/>
  <c r="G137" i="9" a="1"/>
  <c r="G15" i="9" a="1"/>
  <c r="H198" i="9" a="1"/>
  <c r="I981" i="9" a="1"/>
  <c r="H353" i="9" a="1"/>
  <c r="I526" i="9" a="1"/>
  <c r="H569" i="9" a="1"/>
  <c r="H984" i="9" a="1"/>
  <c r="H108" i="9" a="1"/>
  <c r="I872" i="9" a="1"/>
  <c r="H262" i="9" a="1"/>
  <c r="I476" i="9" a="1"/>
  <c r="G422" i="9" a="1"/>
  <c r="G324" i="9" a="1"/>
  <c r="H336" i="9" a="1"/>
  <c r="I610" i="9" a="1"/>
  <c r="I659" i="9" a="1"/>
  <c r="H868" i="9" a="1"/>
  <c r="G8" i="9" a="1"/>
  <c r="G399" i="9" a="1"/>
  <c r="H989" i="9" a="1"/>
  <c r="G69" i="9" a="1"/>
  <c r="AL45" i="3" l="1"/>
  <c r="W52" i="11" s="1"/>
  <c r="W51" i="11" s="1"/>
  <c r="W50" i="11" s="1"/>
  <c r="W49" i="11" s="1"/>
  <c r="W48" i="11" s="1"/>
  <c r="W47" i="11" s="1"/>
  <c r="W46" i="11" s="1"/>
  <c r="W45" i="11" s="1"/>
  <c r="W44" i="11" s="1"/>
  <c r="W43" i="11" s="1"/>
  <c r="W42" i="11" s="1"/>
  <c r="W41" i="11" s="1"/>
  <c r="W40" i="11" s="1"/>
  <c r="W39" i="11" s="1"/>
  <c r="W38" i="11" s="1"/>
  <c r="W37" i="11" s="1"/>
  <c r="W36" i="11" s="1"/>
  <c r="W35" i="11" s="1"/>
  <c r="W34" i="11" s="1"/>
  <c r="W33" i="11" s="1"/>
  <c r="W32" i="11" s="1"/>
  <c r="W31" i="11" s="1"/>
  <c r="W30" i="11" s="1"/>
  <c r="W29" i="11" s="1"/>
  <c r="W28" i="11" s="1"/>
  <c r="W27" i="11" s="1"/>
  <c r="W26" i="11" s="1"/>
  <c r="W25" i="11" s="1"/>
  <c r="W24" i="11" s="1"/>
  <c r="W23" i="11" s="1"/>
  <c r="W22" i="11" s="1"/>
  <c r="W21" i="11" s="1"/>
  <c r="W20" i="11" s="1"/>
  <c r="W19" i="11" s="1"/>
  <c r="W18" i="11" s="1"/>
  <c r="W17" i="11" s="1"/>
  <c r="W16" i="11" s="1"/>
  <c r="W15" i="11" s="1"/>
  <c r="N18" i="11" s="1"/>
  <c r="C18" i="11" s="1"/>
  <c r="W14" i="11" s="1"/>
  <c r="W13" i="11" s="1"/>
  <c r="W12" i="11" s="1"/>
  <c r="W11" i="11" s="1"/>
  <c r="W10" i="11" s="1"/>
  <c r="W9" i="11" s="1"/>
  <c r="W8" i="11" s="1"/>
  <c r="W7" i="11" s="1"/>
  <c r="W6" i="11" s="1"/>
  <c r="W5" i="11" s="1"/>
  <c r="W4" i="11" s="1"/>
  <c r="W3" i="11" s="1"/>
  <c r="B18" i="11" l="1"/>
  <c r="O18" i="11"/>
  <c r="M18" i="11"/>
  <c r="E19" i="11"/>
  <c r="H43" i="11"/>
  <c r="D18" i="11"/>
  <c r="E18" i="11" s="1"/>
  <c r="E15" i="11"/>
  <c r="E17" i="11"/>
  <c r="O11" i="11"/>
  <c r="E16" i="11"/>
  <c r="G11" i="11"/>
  <c r="C26" i="11"/>
  <c r="C27" i="11"/>
  <c r="D29" i="11"/>
  <c r="D38" i="11"/>
  <c r="D34" i="11"/>
  <c r="D30" i="11"/>
  <c r="C38" i="11"/>
  <c r="C34" i="11"/>
  <c r="C30" i="11"/>
  <c r="B37" i="11"/>
  <c r="B33" i="11"/>
  <c r="A29" i="11"/>
  <c r="A36" i="11"/>
  <c r="A32" i="11"/>
  <c r="D24" i="11"/>
  <c r="B25" i="11"/>
  <c r="B26" i="11"/>
  <c r="C28" i="11"/>
  <c r="D37" i="11"/>
  <c r="D33" i="11"/>
  <c r="C29" i="11"/>
  <c r="C37" i="11"/>
  <c r="C33" i="11"/>
  <c r="B29" i="11"/>
  <c r="B36" i="11"/>
  <c r="B32" i="11"/>
  <c r="E25" i="11"/>
  <c r="A35" i="11"/>
  <c r="A31" i="11"/>
  <c r="D26" i="11"/>
  <c r="B24" i="11"/>
  <c r="A25" i="11"/>
  <c r="B27" i="11"/>
  <c r="D36" i="11"/>
  <c r="D32" i="11"/>
  <c r="B28" i="11"/>
  <c r="C36" i="11"/>
  <c r="C32" i="11"/>
  <c r="A28" i="11"/>
  <c r="B35" i="11"/>
  <c r="B31" i="11"/>
  <c r="A38" i="11"/>
  <c r="A34" i="11"/>
  <c r="A30" i="11"/>
  <c r="C25" i="11"/>
  <c r="D27" i="11"/>
  <c r="D28" i="11"/>
  <c r="A24" i="11"/>
  <c r="A26" i="11"/>
  <c r="D35" i="11"/>
  <c r="D31" i="11"/>
  <c r="A27" i="11"/>
  <c r="C35" i="11"/>
  <c r="C31" i="11"/>
  <c r="B38" i="11"/>
  <c r="B34" i="11"/>
  <c r="B30" i="11"/>
  <c r="A37" i="11"/>
  <c r="A33" i="11"/>
  <c r="D25" i="11"/>
  <c r="C24" i="11"/>
  <c r="E37" i="11"/>
  <c r="E29" i="11"/>
  <c r="E27" i="11"/>
  <c r="E33" i="11"/>
  <c r="E35" i="11"/>
  <c r="E32" i="11"/>
  <c r="E26" i="11"/>
  <c r="E36" i="11"/>
  <c r="E34" i="11"/>
  <c r="E28" i="11"/>
  <c r="E38" i="11"/>
  <c r="E24" i="11"/>
  <c r="E31" i="11"/>
  <c r="E30" i="11"/>
  <c r="F38" i="11"/>
  <c r="F24" i="11"/>
  <c r="F31" i="11"/>
  <c r="F36" i="11"/>
  <c r="F35" i="11"/>
  <c r="F34" i="11"/>
  <c r="F28" i="11"/>
  <c r="F37" i="11"/>
  <c r="F29" i="11"/>
  <c r="F33" i="11"/>
  <c r="F27" i="11"/>
  <c r="F32" i="11"/>
  <c r="F30" i="11"/>
  <c r="F26" i="11"/>
  <c r="F25" i="11"/>
  <c r="G37" i="11"/>
  <c r="G32" i="11"/>
  <c r="G35" i="11"/>
  <c r="G36" i="11"/>
  <c r="G30" i="11"/>
  <c r="G34" i="11"/>
  <c r="G33" i="11"/>
  <c r="G29" i="11"/>
  <c r="G27" i="11"/>
  <c r="G26" i="11"/>
  <c r="G31" i="11"/>
  <c r="G28" i="11"/>
  <c r="G25" i="11"/>
  <c r="G24" i="11"/>
  <c r="G38" i="11"/>
  <c r="H42" i="11"/>
  <c r="K43" i="11"/>
  <c r="G43" i="11"/>
  <c r="M7" i="11"/>
  <c r="L11" i="11"/>
  <c r="K11" i="11"/>
  <c r="K42" i="11"/>
  <c r="G42" i="11"/>
  <c r="H27" i="11" l="1"/>
  <c r="H38" i="11"/>
  <c r="H35" i="11"/>
  <c r="H36" i="11"/>
  <c r="H33" i="11"/>
  <c r="H37" i="11"/>
  <c r="H32" i="11"/>
  <c r="H31" i="11"/>
  <c r="H28" i="11"/>
  <c r="H25" i="11"/>
  <c r="H29" i="11"/>
  <c r="H34" i="11"/>
  <c r="H24" i="11"/>
  <c r="H26" i="11"/>
  <c r="H30" i="1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Gouda</author>
    <author>Abdelrahman Mohamed</author>
  </authors>
  <commentList>
    <comment ref="AB4" authorId="0" shapeId="0" xr:uid="{38A4F9A0-2D40-4DD5-B844-698488F8A924}">
      <text>
        <r>
          <rPr>
            <b/>
            <sz val="9"/>
            <color indexed="81"/>
            <rFont val="Tahoma"/>
            <charset val="1"/>
          </rPr>
          <t>Abdelrahman Mohamed:
SPO 28-09</t>
        </r>
      </text>
    </comment>
    <comment ref="AB8" authorId="0" shapeId="0" xr:uid="{92F2D477-5309-4A08-A0CB-3E0F447BEC01}">
      <text>
        <r>
          <rPr>
            <b/>
            <sz val="9"/>
            <color indexed="81"/>
            <rFont val="Tahoma"/>
            <charset val="1"/>
          </rPr>
          <t xml:space="preserve">Abdelrahman Mohamed:
No Show Booking </t>
        </r>
      </text>
    </comment>
    <comment ref="AC8" authorId="0" shapeId="0" xr:uid="{7FBAC8BA-32AD-4749-8D55-2ECCC21E6C65}">
      <text>
        <r>
          <rPr>
            <b/>
            <sz val="9"/>
            <color indexed="81"/>
            <rFont val="Tahoma"/>
            <charset val="1"/>
          </rPr>
          <t xml:space="preserve">Abdelrahman Mohamed:
No show fee </t>
        </r>
      </text>
    </comment>
    <comment ref="AB9" authorId="0" shapeId="0" xr:uid="{EBBEFE33-1B86-4B2D-AF40-5F512115B9C0}">
      <text>
        <r>
          <rPr>
            <b/>
            <sz val="9"/>
            <color indexed="81"/>
            <rFont val="Tahoma"/>
            <charset val="1"/>
          </rPr>
          <t xml:space="preserve">Abdelrahman Mohamed:
One Night No show </t>
        </r>
      </text>
    </comment>
    <comment ref="Y12" authorId="0" shapeId="0" xr:uid="{959F6B6C-3650-4F97-BE54-160DA4B8AFA8}">
      <text>
        <r>
          <rPr>
            <b/>
            <sz val="9"/>
            <color indexed="81"/>
            <rFont val="Tahoma"/>
            <charset val="1"/>
          </rPr>
          <t>Abdelrahman Mohamed:
rate asper mail on 08-10</t>
        </r>
      </text>
    </comment>
    <comment ref="AF21" authorId="0" shapeId="0" xr:uid="{040EC24B-7AD3-42A3-BCBB-C0787974B7DC}">
      <text>
        <r>
          <rPr>
            <b/>
            <sz val="9"/>
            <color indexed="81"/>
            <rFont val="Tahoma"/>
            <charset val="1"/>
          </rPr>
          <t>Reservation Fulvago:
Option date amended as agreed by phone with mr ahmed on 18-12</t>
        </r>
      </text>
    </comment>
    <comment ref="AB23" authorId="0" shapeId="0" xr:uid="{F4EB8A5D-801B-41F3-B6AE-EF50CB5E18AC}">
      <text>
        <r>
          <rPr>
            <b/>
            <sz val="9"/>
            <color indexed="81"/>
            <rFont val="Tahoma"/>
            <charset val="1"/>
          </rPr>
          <t xml:space="preserve">Reservation Fulvago:
10% E.B Contrcat </t>
        </r>
      </text>
    </comment>
    <comment ref="AF23" authorId="0" shapeId="0" xr:uid="{9CABF7F4-808D-46C2-83A3-42A9BC5F45F4}">
      <text>
        <r>
          <rPr>
            <b/>
            <sz val="9"/>
            <color indexed="81"/>
            <rFont val="Tahoma"/>
            <charset val="1"/>
          </rPr>
          <t>Reservation Fulvago:
Option date amended   asper mail on 17-12</t>
        </r>
      </text>
    </comment>
    <comment ref="J27" authorId="0" shapeId="0" xr:uid="{0E81A113-4153-401A-BB51-DE8B497ED6B1}">
      <text>
        <r>
          <rPr>
            <b/>
            <sz val="9"/>
            <color indexed="81"/>
            <rFont val="Tahoma"/>
            <charset val="1"/>
          </rPr>
          <t xml:space="preserve">Abdelrahman Mohamed:
Original Room type
STANDARD ROOM GARDEN VIEW 
</t>
        </r>
      </text>
    </comment>
    <comment ref="AB27" authorId="0" shapeId="0" xr:uid="{C55B3120-6D43-439E-B325-F9666FBA4DA8}">
      <text>
        <r>
          <rPr>
            <b/>
            <sz val="9"/>
            <color indexed="81"/>
            <rFont val="Tahoma"/>
            <charset val="1"/>
          </rPr>
          <t>Reservation Fulvago:
SPO 18-05</t>
        </r>
      </text>
    </comment>
    <comment ref="AF35" authorId="0" shapeId="0" xr:uid="{C6693AF3-A86F-4A11-AB80-6AB88C292714}">
      <text>
        <r>
          <rPr>
            <b/>
            <sz val="9"/>
            <color indexed="81"/>
            <rFont val="Tahoma"/>
            <charset val="1"/>
          </rPr>
          <t>Reservation Fulvago:
Option date amended as agreed by phone with mr ahmed on 18-12</t>
        </r>
      </text>
    </comment>
    <comment ref="AB37" authorId="0" shapeId="0" xr:uid="{B354C7BA-267A-4A81-B404-45B0BF4BF5C6}">
      <text>
        <r>
          <rPr>
            <b/>
            <sz val="9"/>
            <color indexed="81"/>
            <rFont val="Tahoma"/>
            <charset val="1"/>
          </rPr>
          <t xml:space="preserve">Reservation Fulvago:
SPO 09-03
</t>
        </r>
      </text>
    </comment>
    <comment ref="AB43" authorId="0" shapeId="0" xr:uid="{AF7E01A9-735A-4720-B2B5-8A080208E5A2}">
      <text>
        <r>
          <rPr>
            <b/>
            <sz val="9"/>
            <color indexed="81"/>
            <rFont val="Tahoma"/>
            <charset val="1"/>
          </rPr>
          <t>Reservation Fulvago:
New SPO 09-03</t>
        </r>
      </text>
    </comment>
    <comment ref="AB44" authorId="0" shapeId="0" xr:uid="{7431E4D0-3F43-4072-9B5E-06EE90CDB55C}">
      <text>
        <r>
          <rPr>
            <b/>
            <sz val="9"/>
            <color indexed="81"/>
            <rFont val="Tahoma"/>
            <charset val="1"/>
          </rPr>
          <t>Reservation Fulvago:
New SPO 09-03</t>
        </r>
      </text>
    </comment>
    <comment ref="AB49" authorId="0" shapeId="0" xr:uid="{DAE248E2-7989-49D5-88DC-6D7714066DF8}">
      <text>
        <r>
          <rPr>
            <b/>
            <sz val="9"/>
            <color indexed="81"/>
            <rFont val="Tahoma"/>
            <charset val="1"/>
          </rPr>
          <t>Reservation Fulvago:
SPO  21-06</t>
        </r>
      </text>
    </comment>
    <comment ref="AB50" authorId="0" shapeId="0" xr:uid="{79D7C03D-CCD7-4C03-BCC7-697176A8FD9A}">
      <text>
        <r>
          <rPr>
            <b/>
            <sz val="9"/>
            <color indexed="81"/>
            <rFont val="Tahoma"/>
            <charset val="1"/>
          </rPr>
          <t>Abdelrahman Mohamed:
SPO 22-07</t>
        </r>
      </text>
    </comment>
    <comment ref="N51" authorId="0" shapeId="0" xr:uid="{F77B15D5-30EA-402A-9550-39830D672059}">
      <text>
        <r>
          <rPr>
            <b/>
            <sz val="9"/>
            <color indexed="81"/>
            <rFont val="Tahoma"/>
            <charset val="1"/>
          </rPr>
          <t>Abdelrahman Mohamed:
Original DBL</t>
        </r>
      </text>
    </comment>
    <comment ref="Y51" authorId="0" shapeId="0" xr:uid="{09916E07-51AF-4B15-B396-1729644A4206}">
      <text>
        <r>
          <rPr>
            <b/>
            <sz val="9"/>
            <color indexed="81"/>
            <rFont val="Tahoma"/>
            <charset val="1"/>
          </rPr>
          <t xml:space="preserve">Abdelrahman Mohamed:
SPO 04-10
Guest arrived single I/O DBL </t>
        </r>
      </text>
    </comment>
    <comment ref="AB53" authorId="0" shapeId="0" xr:uid="{C68EB393-F29C-4D68-B5AB-F213CBB38AC4}">
      <text>
        <r>
          <rPr>
            <b/>
            <sz val="9"/>
            <color indexed="81"/>
            <rFont val="Tahoma"/>
            <charset val="1"/>
          </rPr>
          <t>Abdelrahman Mohamed:
20% E.B+15% Disc SPO 29-07
SPO Compined with E.B 
Calculation updated on 06-11</t>
        </r>
      </text>
    </comment>
    <comment ref="A54" authorId="0" shapeId="0" xr:uid="{E1AB45C0-FD5B-48BA-85B6-3D73108E76C8}">
      <text>
        <r>
          <rPr>
            <b/>
            <sz val="9"/>
            <color indexed="81"/>
            <rFont val="Tahoma"/>
            <charset val="1"/>
          </rPr>
          <t>Reservation Fulvago:
Sent to hotel on 31-07.</t>
        </r>
      </text>
    </comment>
    <comment ref="AB54" authorId="0" shapeId="0" xr:uid="{ECD6FDF6-6D76-4C0A-90FE-8792AF1EFBC4}">
      <text>
        <r>
          <rPr>
            <b/>
            <sz val="9"/>
            <color indexed="81"/>
            <rFont val="Tahoma"/>
            <charset val="1"/>
          </rPr>
          <t xml:space="preserve">Reservation Fulvago:
contract rate 25% Dic </t>
        </r>
      </text>
    </comment>
    <comment ref="AB63" authorId="0" shapeId="0" xr:uid="{86A2461E-1B94-4204-8D91-DFFFA7595315}">
      <text>
        <r>
          <rPr>
            <b/>
            <sz val="9"/>
            <color indexed="81"/>
            <rFont val="Tahoma"/>
            <charset val="1"/>
          </rPr>
          <t xml:space="preserve">Reservation Fulvago:
Single room made No show ,2 Nights no show applied </t>
        </r>
      </text>
    </comment>
    <comment ref="Y66" authorId="0" shapeId="0" xr:uid="{12252D31-4C0B-4C69-8345-6BC18077A157}">
      <text>
        <r>
          <rPr>
            <b/>
            <sz val="9"/>
            <color indexed="81"/>
            <rFont val="Tahoma"/>
            <charset val="1"/>
          </rPr>
          <t>Reservation Fulvago:
Original Booking Calculation with RBD Discount = 758.80 $
SPO Calculation = 897 $
Booking with no EBD Discount = 931 $</t>
        </r>
      </text>
    </comment>
    <comment ref="AB68" authorId="0" shapeId="0" xr:uid="{00C3DAE0-CB9A-42A5-8EAF-EFF038E460FD}">
      <text>
        <r>
          <rPr>
            <b/>
            <sz val="9"/>
            <color indexed="81"/>
            <rFont val="Tahoma"/>
            <charset val="1"/>
          </rPr>
          <t xml:space="preserve">Abdelrahman Mohamed:
Contract rate </t>
        </r>
      </text>
    </comment>
    <comment ref="AC82" authorId="0" shapeId="0" xr:uid="{0A565A9F-5D24-4829-AA82-F76BA1E04BC8}">
      <text>
        <r>
          <rPr>
            <b/>
            <sz val="9"/>
            <color indexed="81"/>
            <rFont val="Tahoma"/>
            <charset val="1"/>
          </rPr>
          <t xml:space="preserve">Abdelrahman Mohamed:
Total amount amended asper  below mail received on 09-10
We have updated the booking with reference 16844557 as per the original rates of 1539.9 EUR.
Aastha Bhatia
</t>
        </r>
      </text>
    </comment>
    <comment ref="A87" authorId="0" shapeId="0" xr:uid="{F20B4087-3B30-4722-9768-8A89A10D6A81}">
      <text>
        <r>
          <rPr>
            <b/>
            <sz val="9"/>
            <color indexed="81"/>
            <rFont val="Tahoma"/>
            <charset val="1"/>
          </rPr>
          <t>Reservation Fulvago:
Sent to hotel on 22-09</t>
        </r>
      </text>
    </comment>
    <comment ref="AB87" authorId="0" shapeId="0" xr:uid="{3D65B992-3D38-41C7-9222-EF9CBE7F6296}">
      <text>
        <r>
          <rPr>
            <b/>
            <sz val="9"/>
            <color indexed="81"/>
            <rFont val="Tahoma"/>
            <charset val="1"/>
          </rPr>
          <t>Abdelrahman Mohamed:
SPO 01-09 34%, Reduce the loss 
SPO 30-10 37%Disc</t>
        </r>
      </text>
    </comment>
    <comment ref="AB96" authorId="0" shapeId="0" xr:uid="{CB39E381-B4D4-4833-A27D-EBCA6726DBA9}">
      <text>
        <r>
          <rPr>
            <b/>
            <sz val="9"/>
            <color indexed="81"/>
            <rFont val="Tahoma"/>
            <charset val="1"/>
          </rPr>
          <t>Abdelrahman Mohamed:
Calculated as Main building Swim up room</t>
        </r>
      </text>
    </comment>
    <comment ref="A101" authorId="0" shapeId="0" xr:uid="{04623A56-47D4-4288-AC32-805381323FE0}">
      <text>
        <r>
          <rPr>
            <b/>
            <sz val="9"/>
            <color indexed="81"/>
            <rFont val="Tahoma"/>
            <charset val="1"/>
          </rPr>
          <t xml:space="preserve">Reservation Fulvago:
Sent to hotel on 25-08 to get SPO </t>
        </r>
      </text>
    </comment>
    <comment ref="T102" authorId="0" shapeId="0" xr:uid="{DA3903C5-8F86-4573-A53D-31D45E33307F}">
      <text>
        <r>
          <rPr>
            <b/>
            <sz val="9"/>
            <color indexed="81"/>
            <rFont val="Tahoma"/>
            <charset val="1"/>
          </rPr>
          <t>Reservation Fulvago:
Guest name amedned asper mail on 02-12</t>
        </r>
      </text>
    </comment>
    <comment ref="AC102" authorId="0" shapeId="0" xr:uid="{7BDCA9C2-603D-48A8-A3CF-3B2A9D95132F}">
      <text>
        <r>
          <rPr>
            <b/>
            <sz val="9"/>
            <color indexed="81"/>
            <rFont val="Tahoma"/>
            <charset val="1"/>
          </rPr>
          <t>Reservation Fulvago:
saling amount amended asper mail from Jumbo on 02-12</t>
        </r>
      </text>
    </comment>
    <comment ref="AB117" authorId="0" shapeId="0" xr:uid="{BA2E8449-2BD5-4C51-8108-DCB6D01A3869}">
      <text>
        <r>
          <rPr>
            <b/>
            <sz val="9"/>
            <color indexed="81"/>
            <rFont val="Tahoma"/>
            <charset val="1"/>
          </rPr>
          <t>Abdelrahman Mohamed:
This calculation for booking at sunrise garden with E.B 15%</t>
        </r>
      </text>
    </comment>
    <comment ref="Z123" authorId="0" shapeId="0" xr:uid="{3BAA5EA1-D448-45BF-8B4D-1FA57FBAFCF6}">
      <text>
        <r>
          <rPr>
            <b/>
            <sz val="9"/>
            <color indexed="81"/>
            <rFont val="Tahoma"/>
            <charset val="1"/>
          </rPr>
          <t>Reservation Fulvago:
Original calculation 
=(37*3+25)*7</t>
        </r>
      </text>
    </comment>
    <comment ref="AB128" authorId="0" shapeId="0" xr:uid="{E1270693-E53B-43E5-B141-2A6BF62B6D5D}">
      <text>
        <r>
          <rPr>
            <b/>
            <sz val="9"/>
            <color indexed="81"/>
            <rFont val="Tahoma"/>
            <charset val="1"/>
          </rPr>
          <t>Reservation Fulvago:
SPO 12-01</t>
        </r>
      </text>
    </comment>
    <comment ref="AB133" authorId="0" shapeId="0" xr:uid="{4EF4ACB3-3E6B-47A5-BCC0-B9BA7FBF7069}">
      <text>
        <r>
          <rPr>
            <b/>
            <sz val="9"/>
            <color indexed="81"/>
            <rFont val="Tahoma"/>
            <charset val="1"/>
          </rPr>
          <t>Reservation Fulvago:
SPO  12-11</t>
        </r>
      </text>
    </comment>
    <comment ref="Z141" authorId="0" shapeId="0" xr:uid="{A60ACF5E-2A7C-43A4-B634-5744E84E86A8}">
      <text>
        <r>
          <rPr>
            <b/>
            <sz val="9"/>
            <color indexed="81"/>
            <rFont val="Tahoma"/>
            <charset val="1"/>
          </rPr>
          <t>Reservation Fulvago:
Total amount amended asper as per original mail reservation received on 12-09-2025</t>
        </r>
      </text>
    </comment>
    <comment ref="Y142" authorId="0" shapeId="0" xr:uid="{9F6FB783-C5BE-4A39-B2F9-C1C435E9BA11}">
      <text>
        <r>
          <rPr>
            <b/>
            <sz val="9"/>
            <color indexed="81"/>
            <rFont val="Tahoma"/>
            <charset val="1"/>
          </rPr>
          <t>Abdelrahman Mohamed:
Guest made early check out from the hotel  asper guest complaint  received on 17-10</t>
        </r>
      </text>
    </comment>
    <comment ref="Y143" authorId="0" shapeId="0" xr:uid="{073E9E52-918D-4A6B-B815-32EE389E7A35}">
      <text>
        <r>
          <rPr>
            <b/>
            <sz val="9"/>
            <color indexed="81"/>
            <rFont val="Tahoma"/>
            <charset val="1"/>
          </rPr>
          <t>Abdelrahman Mohamed:
Guest made early check out from the hotel  asper guest complaint  received on 17-10</t>
        </r>
      </text>
    </comment>
    <comment ref="Y144" authorId="0" shapeId="0" xr:uid="{C9605165-7AB9-4442-B202-89261ED60566}">
      <text>
        <r>
          <rPr>
            <b/>
            <sz val="9"/>
            <color indexed="81"/>
            <rFont val="Tahoma"/>
            <charset val="1"/>
          </rPr>
          <t>Abdelrahman Mohamed:
Guest made early check out from the hotel  asper guest complaint  received on 17-10</t>
        </r>
      </text>
    </comment>
    <comment ref="Y148" authorId="0" shapeId="0" xr:uid="{ACBA6413-E64F-490E-B927-D2F2C4D1544E}">
      <text>
        <r>
          <rPr>
            <b/>
            <sz val="9"/>
            <color indexed="81"/>
            <rFont val="Tahoma"/>
            <charset val="1"/>
          </rPr>
          <t>Abdelrahman Mohamed:
Contract rate 
2 Bed room GV
873.60</t>
        </r>
      </text>
    </comment>
    <comment ref="AB152" authorId="0" shapeId="0" xr:uid="{7B00A696-6FEE-4855-BAE8-97B3F5C288E3}">
      <text>
        <r>
          <rPr>
            <b/>
            <sz val="9"/>
            <color indexed="81"/>
            <rFont val="Tahoma"/>
            <charset val="1"/>
          </rPr>
          <t>Abdelrahman Mohamed:
SPO 26-06,28-07</t>
        </r>
      </text>
    </comment>
    <comment ref="AB153" authorId="0" shapeId="0" xr:uid="{DB8E1476-9C48-4C7C-810E-E4E658251639}">
      <text>
        <r>
          <rPr>
            <b/>
            <sz val="9"/>
            <color indexed="81"/>
            <rFont val="Tahoma"/>
            <charset val="1"/>
          </rPr>
          <t>Abdelrahman Mohamed:
SPO 26-06,28-07</t>
        </r>
      </text>
    </comment>
    <comment ref="Y154" authorId="0" shapeId="0" xr:uid="{E4D3B1D0-4148-452D-B3B3-0DB78E10CB6B}">
      <text>
        <r>
          <rPr>
            <b/>
            <sz val="9"/>
            <color indexed="81"/>
            <rFont val="Tahoma"/>
            <charset val="1"/>
          </rPr>
          <t>Abdelrahman Mohamed:
SPO 18-05</t>
        </r>
      </text>
    </comment>
    <comment ref="Z154" authorId="0" shapeId="0" xr:uid="{B222627A-A6EC-4E88-A1B0-9914F4F71029}">
      <text>
        <r>
          <rPr>
            <b/>
            <sz val="9"/>
            <color indexed="81"/>
            <rFont val="Tahoma"/>
            <charset val="1"/>
          </rPr>
          <t>Abdelrahman Mohamed:
Total amount amedned asper mail on 04-11</t>
        </r>
      </text>
    </comment>
    <comment ref="Y155" authorId="0" shapeId="0" xr:uid="{4BBAB0E3-8C3C-4C07-8699-54BA9C69ED2C}">
      <text>
        <r>
          <rPr>
            <b/>
            <sz val="9"/>
            <color indexed="81"/>
            <rFont val="Tahoma"/>
            <charset val="1"/>
          </rPr>
          <t>Abdelrahman Mohamed:
SPO  13-09</t>
        </r>
      </text>
    </comment>
    <comment ref="AB156" authorId="0" shapeId="0" xr:uid="{8B94DB12-33F0-4A1D-B21E-45B64B17ADB8}">
      <text>
        <r>
          <rPr>
            <b/>
            <sz val="9"/>
            <color indexed="81"/>
            <rFont val="Tahoma"/>
            <charset val="1"/>
          </rPr>
          <t xml:space="preserve">Abdelrahman Mohamed:
Contract rate </t>
        </r>
      </text>
    </comment>
    <comment ref="Y157" authorId="0" shapeId="0" xr:uid="{EACFAF0B-B4DB-4F8F-A65E-A1ECA28C3566}">
      <text>
        <r>
          <rPr>
            <b/>
            <sz val="9"/>
            <color indexed="81"/>
            <rFont val="Tahoma"/>
            <charset val="1"/>
          </rPr>
          <t xml:space="preserve">Abdelrahman Mohamed:
SPO 11-09, FAM  Supp, 25 Per unit  asper contrcat </t>
        </r>
      </text>
    </comment>
    <comment ref="AB158" authorId="0" shapeId="0" xr:uid="{0D8DFAD9-5AD0-404B-ABA1-B3D7A86E1649}">
      <text>
        <r>
          <rPr>
            <b/>
            <sz val="9"/>
            <color indexed="81"/>
            <rFont val="Tahoma"/>
            <charset val="1"/>
          </rPr>
          <t>Abdelrahman Mohamed:
Contract Rate E.B 10%</t>
        </r>
      </text>
    </comment>
    <comment ref="AB159" authorId="0" shapeId="0" xr:uid="{1F633578-54E9-4095-8F09-5A77D4DB23F7}">
      <text>
        <r>
          <rPr>
            <b/>
            <sz val="9"/>
            <color indexed="81"/>
            <rFont val="Tahoma"/>
            <charset val="1"/>
          </rPr>
          <t xml:space="preserve">Abdelrahman Mohamed:
SPO 28-07
rate asper mail </t>
        </r>
      </text>
    </comment>
    <comment ref="AB161" authorId="0" shapeId="0" xr:uid="{33E851FC-83DF-4A33-925B-0A9FDA69640F}">
      <text>
        <r>
          <rPr>
            <b/>
            <sz val="9"/>
            <color indexed="81"/>
            <rFont val="Tahoma"/>
            <charset val="1"/>
          </rPr>
          <t xml:space="preserve">Abdelrahman Mohamed:
Contract E.B </t>
        </r>
      </text>
    </comment>
    <comment ref="AB162" authorId="0" shapeId="0" xr:uid="{87BFFF16-0EFB-44D4-8031-84CB9C0733AF}">
      <text>
        <r>
          <rPr>
            <b/>
            <sz val="9"/>
            <color indexed="81"/>
            <rFont val="Tahoma"/>
            <charset val="1"/>
          </rPr>
          <t xml:space="preserve">Abdelrahman Mohamed:
Contract E.B </t>
        </r>
      </text>
    </comment>
    <comment ref="Y163" authorId="0" shapeId="0" xr:uid="{72071C11-5BB6-42A9-A6DA-232DD3AF5DCD}">
      <text>
        <r>
          <rPr>
            <b/>
            <sz val="9"/>
            <color indexed="81"/>
            <rFont val="Tahoma"/>
            <charset val="1"/>
          </rPr>
          <t>Abdelrahman Mohamed:
SPO 31/08</t>
        </r>
      </text>
    </comment>
    <comment ref="AB164" authorId="0" shapeId="0" xr:uid="{3970742E-BE28-4693-9CF8-F710FDB47EDC}">
      <text>
        <r>
          <rPr>
            <b/>
            <sz val="9"/>
            <color indexed="81"/>
            <rFont val="Tahoma"/>
            <charset val="1"/>
          </rPr>
          <t>Abdelrahman Mohamed:
SPO 26/06,28/07</t>
        </r>
      </text>
    </comment>
    <comment ref="AB165" authorId="0" shapeId="0" xr:uid="{E1EFC67B-4B1B-433E-A148-2DDD310C4834}">
      <text>
        <r>
          <rPr>
            <b/>
            <sz val="9"/>
            <color indexed="81"/>
            <rFont val="Tahoma"/>
            <charset val="1"/>
          </rPr>
          <t>Abdelrahman Mohamed:
SPO  25-09</t>
        </r>
      </text>
    </comment>
    <comment ref="Y167" authorId="0" shapeId="0" xr:uid="{3092C0F1-0CA9-49E3-A192-9A5C4367C241}">
      <text>
        <r>
          <rPr>
            <b/>
            <sz val="9"/>
            <color indexed="81"/>
            <rFont val="Tahoma"/>
            <charset val="1"/>
          </rPr>
          <t>Abdelrahman Mohamed:
SPO 24-09</t>
        </r>
      </text>
    </comment>
    <comment ref="AB169" authorId="0" shapeId="0" xr:uid="{5DB2CB66-83EF-4D5B-B2F6-7BCA554D0288}">
      <text>
        <r>
          <rPr>
            <b/>
            <sz val="9"/>
            <color indexed="81"/>
            <rFont val="Tahoma"/>
            <charset val="1"/>
          </rPr>
          <t xml:space="preserve">Abdelrahman Mohamed:
Contract E.B </t>
        </r>
      </text>
    </comment>
    <comment ref="Y170" authorId="0" shapeId="0" xr:uid="{814935B5-902B-41B9-9C7C-6CBBA7B5A89B}">
      <text>
        <r>
          <rPr>
            <b/>
            <sz val="9"/>
            <color indexed="81"/>
            <rFont val="Tahoma"/>
            <charset val="1"/>
          </rPr>
          <t xml:space="preserve">Abdelrahman Mohamed:
SPO 01-10 For east Market THIS CALCULATION AS AGRED WITH HOTEL Mr Ahmed Qadry </t>
        </r>
      </text>
    </comment>
    <comment ref="AB171" authorId="0" shapeId="0" xr:uid="{91D0F9C0-8ABF-47FF-94EA-F5E17B4DC3EC}">
      <text>
        <r>
          <rPr>
            <b/>
            <sz val="9"/>
            <color indexed="81"/>
            <rFont val="Tahoma"/>
            <charset val="1"/>
          </rPr>
          <t>Abdelrahman Mohamed:
Spo 25-09</t>
        </r>
      </text>
    </comment>
    <comment ref="AF172" authorId="0" shapeId="0" xr:uid="{0C55886E-CD8E-426A-A0FB-B557587E8AEC}">
      <text>
        <r>
          <rPr>
            <b/>
            <sz val="9"/>
            <color indexed="81"/>
            <rFont val="Tahoma"/>
            <charset val="1"/>
          </rPr>
          <t xml:space="preserve">Reservation Fulvago:
Option date amended as agreed with Mr Gouda, Mr sallam to be on 22-12 </t>
        </r>
      </text>
    </comment>
    <comment ref="AB173" authorId="0" shapeId="0" xr:uid="{65F76D90-7AB3-44BF-AD9C-8BB6C612660C}">
      <text>
        <r>
          <rPr>
            <b/>
            <sz val="9"/>
            <color indexed="81"/>
            <rFont val="Tahoma"/>
            <charset val="1"/>
          </rPr>
          <t>Abdelrahman Mohamed:
Contract rat for S Period
SPO 23-08 for W period</t>
        </r>
      </text>
    </comment>
    <comment ref="AB174" authorId="0" shapeId="0" xr:uid="{5A941E94-41CE-4B09-A7BC-EB0E44C69FC6}">
      <text>
        <r>
          <rPr>
            <b/>
            <sz val="9"/>
            <color indexed="81"/>
            <rFont val="Tahoma"/>
            <charset val="1"/>
          </rPr>
          <t xml:space="preserve">Abdelrahman Mohamed:
E.B contract </t>
        </r>
      </text>
    </comment>
    <comment ref="AF176" authorId="0" shapeId="0" xr:uid="{A092BC9A-C110-411A-A414-84D6B8533BA6}">
      <text>
        <r>
          <rPr>
            <b/>
            <sz val="9"/>
            <color indexed="81"/>
            <rFont val="Tahoma"/>
            <charset val="1"/>
          </rPr>
          <t>Reservation Fulvago:
option date amended as agreed with mr waleed on 18-12</t>
        </r>
      </text>
    </comment>
    <comment ref="Y177" authorId="0" shapeId="0" xr:uid="{3EDB0FFC-4AB4-4298-B925-3E574C336A66}">
      <text>
        <r>
          <rPr>
            <b/>
            <sz val="9"/>
            <color indexed="81"/>
            <rFont val="Tahoma"/>
            <charset val="1"/>
          </rPr>
          <t xml:space="preserve">Abdelrahman Mohamed:
SPO  03-10
</t>
        </r>
      </text>
    </comment>
    <comment ref="Y178" authorId="0" shapeId="0" xr:uid="{6453B8D5-9E61-4D20-B71C-6D0306803E8A}">
      <text>
        <r>
          <rPr>
            <b/>
            <sz val="9"/>
            <color indexed="81"/>
            <rFont val="Tahoma"/>
            <charset val="1"/>
          </rPr>
          <t xml:space="preserve">Abdelrahman Mohamed:
SPO 03-10
</t>
        </r>
      </text>
    </comment>
    <comment ref="Y179" authorId="0" shapeId="0" xr:uid="{9EE36778-169F-4149-8953-908BB8FAC534}">
      <text>
        <r>
          <rPr>
            <b/>
            <sz val="9"/>
            <color indexed="81"/>
            <rFont val="Tahoma"/>
            <charset val="1"/>
          </rPr>
          <t>Abdelrahman Mohamed:
SPO 03-10
New year gala Supp, 60$ PP asper mail on 20-11</t>
        </r>
      </text>
    </comment>
    <comment ref="AF179" authorId="0" shapeId="0" xr:uid="{F474C99F-ACB7-465D-85F5-473BBA7ABD8D}">
      <text>
        <r>
          <rPr>
            <b/>
            <sz val="9"/>
            <color indexed="81"/>
            <rFont val="Tahoma"/>
            <charset val="1"/>
          </rPr>
          <t>Reservation Fulvago:
option date amended to be on  14-12 asper calling with mr ahmed on 27-11</t>
        </r>
      </text>
    </comment>
    <comment ref="AB180" authorId="0" shapeId="0" xr:uid="{6C7D0B2D-8F78-45FD-861B-D24899891686}">
      <text>
        <r>
          <rPr>
            <b/>
            <sz val="9"/>
            <color indexed="81"/>
            <rFont val="Tahoma"/>
            <charset val="1"/>
          </rPr>
          <t>Abdelrahman Mohamed:
SPO 28/07</t>
        </r>
      </text>
    </comment>
    <comment ref="AB181" authorId="0" shapeId="0" xr:uid="{B3C4C70B-2811-4EC0-B213-A982C48363A1}">
      <text>
        <r>
          <rPr>
            <b/>
            <sz val="9"/>
            <color indexed="81"/>
            <rFont val="Tahoma"/>
            <charset val="1"/>
          </rPr>
          <t>Abdelrahman Mohamed:
SPO 03-10</t>
        </r>
      </text>
    </comment>
    <comment ref="AB182" authorId="0" shapeId="0" xr:uid="{78B3CF2C-7C80-4606-9E83-BF61BEB4B139}">
      <text>
        <r>
          <rPr>
            <b/>
            <sz val="9"/>
            <color indexed="81"/>
            <rFont val="Tahoma"/>
            <charset val="1"/>
          </rPr>
          <t>Abdelrahman Mohamed:
SPO 26-06
28-07</t>
        </r>
      </text>
    </comment>
    <comment ref="AB184" authorId="0" shapeId="0" xr:uid="{966BEEB9-EAC1-4E68-9EB7-E4949A348E99}">
      <text>
        <r>
          <rPr>
            <b/>
            <sz val="9"/>
            <color indexed="81"/>
            <rFont val="Tahoma"/>
            <charset val="1"/>
          </rPr>
          <t>Abdelrahman Mohamed:
SPO 28-09</t>
        </r>
      </text>
    </comment>
    <comment ref="AB185" authorId="0" shapeId="0" xr:uid="{E443F0CE-02C4-44EF-B817-1427B0FBBF97}">
      <text>
        <r>
          <rPr>
            <b/>
            <sz val="9"/>
            <color indexed="81"/>
            <rFont val="Tahoma"/>
            <charset val="1"/>
          </rPr>
          <t xml:space="preserve">Abdelrahman Mohamed:
Contract E.B </t>
        </r>
      </text>
    </comment>
    <comment ref="Y188" authorId="0" shapeId="0" xr:uid="{190C99C4-9C97-496F-B215-18ABC8273920}">
      <text>
        <r>
          <rPr>
            <b/>
            <sz val="9"/>
            <color indexed="81"/>
            <rFont val="Tahoma"/>
            <charset val="1"/>
          </rPr>
          <t>Abdelrahman Mohamed:
SPO 01-10</t>
        </r>
      </text>
    </comment>
    <comment ref="AB189" authorId="0" shapeId="0" xr:uid="{7D732D43-F30B-403F-9037-4E6F49F3FCD7}">
      <text>
        <r>
          <rPr>
            <b/>
            <sz val="9"/>
            <color indexed="81"/>
            <rFont val="Tahoma"/>
            <charset val="1"/>
          </rPr>
          <t>Abdelrahman Mohamed:
SPO 28/07</t>
        </r>
      </text>
    </comment>
    <comment ref="AF189" authorId="0" shapeId="0" xr:uid="{5490D361-5320-4AB1-AC3B-C600670CB7A2}">
      <text>
        <r>
          <rPr>
            <b/>
            <sz val="9"/>
            <color indexed="81"/>
            <rFont val="Tahoma"/>
            <charset val="1"/>
          </rPr>
          <t>Reservation Fulvago:
Option date amended with hotel by phone on 18-12</t>
        </r>
      </text>
    </comment>
    <comment ref="AB190" authorId="0" shapeId="0" xr:uid="{30275F80-0CC2-4497-BC3C-5A3302D67E20}">
      <text>
        <r>
          <rPr>
            <b/>
            <sz val="9"/>
            <color indexed="81"/>
            <rFont val="Tahoma"/>
            <charset val="1"/>
          </rPr>
          <t xml:space="preserve">Abdelrahman Mohamed:
Contract E.B </t>
        </r>
      </text>
    </comment>
    <comment ref="AB193" authorId="0" shapeId="0" xr:uid="{BD18D5CB-681E-4A41-A147-E2A870EEBF52}">
      <text>
        <r>
          <rPr>
            <b/>
            <sz val="9"/>
            <color indexed="81"/>
            <rFont val="Tahoma"/>
            <charset val="1"/>
          </rPr>
          <t>Abdelrahman Mohamed:
SPO 25-09</t>
        </r>
      </text>
    </comment>
    <comment ref="AB194" authorId="0" shapeId="0" xr:uid="{AECD54E6-8E20-4BBB-8162-DF1A5C850D32}">
      <text>
        <r>
          <rPr>
            <b/>
            <sz val="9"/>
            <color indexed="81"/>
            <rFont val="Tahoma"/>
            <charset val="1"/>
          </rPr>
          <t>Abdelrahman Mohamed:
SPO 25-09</t>
        </r>
      </text>
    </comment>
    <comment ref="AB195" authorId="0" shapeId="0" xr:uid="{87B80A14-6138-4E10-A88E-35C15D2DECB5}">
      <text>
        <r>
          <rPr>
            <b/>
            <sz val="9"/>
            <color indexed="81"/>
            <rFont val="Tahoma"/>
            <charset val="1"/>
          </rPr>
          <t>Reservation Fulvago:
Spo 27-11
Spo 30-11</t>
        </r>
      </text>
    </comment>
    <comment ref="AB200" authorId="0" shapeId="0" xr:uid="{A1C56D69-81F6-436F-819B-A177E23D77E3}">
      <text>
        <r>
          <rPr>
            <b/>
            <sz val="9"/>
            <color indexed="81"/>
            <rFont val="Tahoma"/>
            <charset val="1"/>
          </rPr>
          <t>Abdelrahman Mohamed:
Confirmed less 2 Euro</t>
        </r>
      </text>
    </comment>
    <comment ref="AF202" authorId="0" shapeId="0" xr:uid="{AF6A9131-3C11-4E9A-9A06-86B03E99A886}">
      <text>
        <r>
          <rPr>
            <b/>
            <sz val="9"/>
            <color indexed="81"/>
            <rFont val="Tahoma"/>
            <charset val="1"/>
          </rPr>
          <t>Reservation Fulvago:
Option date amended as agreed with Ms marwa on 18-12</t>
        </r>
      </text>
    </comment>
    <comment ref="AF204" authorId="0" shapeId="0" xr:uid="{A708858A-7559-48AF-9BE4-8DF99F5A275A}">
      <text>
        <r>
          <rPr>
            <b/>
            <sz val="9"/>
            <color indexed="81"/>
            <rFont val="Tahoma"/>
            <charset val="1"/>
          </rPr>
          <t>Reservation Fulvago:
Option date amended as agreed with Ms marwa on 18-12</t>
        </r>
      </text>
    </comment>
    <comment ref="Y212" authorId="0" shapeId="0" xr:uid="{58360044-670B-4744-867C-69CA2629920D}">
      <text>
        <r>
          <rPr>
            <b/>
            <sz val="9"/>
            <color indexed="81"/>
            <rFont val="Tahoma"/>
            <charset val="1"/>
          </rPr>
          <t>Abdelrahman Mohamed:
SPO 01-10
calculated as DBL room due the higher rate for the single +child charge .
asper contract condition :
In case of Single + 2 children rate is more than DBL room rate, DBL room rate will be applied</t>
        </r>
      </text>
    </comment>
    <comment ref="AB214" authorId="0" shapeId="0" xr:uid="{162ACE0B-A9CC-4A5F-B1D4-90887160C965}">
      <text>
        <r>
          <rPr>
            <b/>
            <sz val="9"/>
            <color indexed="81"/>
            <rFont val="Tahoma"/>
            <charset val="1"/>
          </rPr>
          <t>Abdelrahman Mohamed:
SPO 18-10</t>
        </r>
      </text>
    </comment>
    <comment ref="AB215" authorId="0" shapeId="0" xr:uid="{3BB18F2A-FFB5-45F1-8FFF-2B381B49B4B3}">
      <text>
        <r>
          <rPr>
            <b/>
            <sz val="9"/>
            <color indexed="81"/>
            <rFont val="Tahoma"/>
            <charset val="1"/>
          </rPr>
          <t>Abdelrahman Mohamed:
Contrcat rate 15% Comm+15% E.B</t>
        </r>
      </text>
    </comment>
    <comment ref="Y216" authorId="0" shapeId="0" xr:uid="{83A69104-F4BA-44AF-9A64-00E0ECE614BE}">
      <text>
        <r>
          <rPr>
            <b/>
            <sz val="9"/>
            <color indexed="81"/>
            <rFont val="Tahoma"/>
            <charset val="1"/>
          </rPr>
          <t>Abdelrahman Mohamed:
SPO 01-10</t>
        </r>
      </text>
    </comment>
    <comment ref="AB217" authorId="0" shapeId="0" xr:uid="{55276AD5-DD69-4D6A-9B0C-3B7FFC2BF00D}">
      <text>
        <r>
          <rPr>
            <b/>
            <sz val="9"/>
            <color indexed="81"/>
            <rFont val="Tahoma"/>
            <charset val="1"/>
          </rPr>
          <t>Abdelrahman Mohamed:
Contract E.B 15%
+15% comm</t>
        </r>
      </text>
    </comment>
    <comment ref="AB218" authorId="0" shapeId="0" xr:uid="{5F13B1AA-14C5-4C56-9E4D-35BF0C7B8D2E}">
      <text>
        <r>
          <rPr>
            <b/>
            <sz val="9"/>
            <color indexed="81"/>
            <rFont val="Tahoma"/>
            <charset val="1"/>
          </rPr>
          <t>Abdelrahman Mohamed:
SPO 18-10</t>
        </r>
      </text>
    </comment>
    <comment ref="AB219" authorId="0" shapeId="0" xr:uid="{8BB2E662-23C1-4820-9B98-F2AA49DA90AA}">
      <text>
        <r>
          <rPr>
            <b/>
            <sz val="9"/>
            <color indexed="81"/>
            <rFont val="Tahoma"/>
            <charset val="1"/>
          </rPr>
          <t>Abdelrahman Mohamed:
SPO 28/07</t>
        </r>
      </text>
    </comment>
    <comment ref="AF219" authorId="0" shapeId="0" xr:uid="{F5423719-736F-4162-ACEB-15C94D034B15}">
      <text>
        <r>
          <rPr>
            <b/>
            <sz val="9"/>
            <color indexed="81"/>
            <rFont val="Tahoma"/>
            <charset val="1"/>
          </rPr>
          <t>Reservation Fulvago:
Option date amended as agreed with Mr Ehab on 18-12 ,by phone</t>
        </r>
      </text>
    </comment>
    <comment ref="AB220" authorId="0" shapeId="0" xr:uid="{DCD122CC-E134-41E1-BEEF-618971881D61}">
      <text>
        <r>
          <rPr>
            <b/>
            <sz val="9"/>
            <color indexed="81"/>
            <rFont val="Tahoma"/>
            <charset val="1"/>
          </rPr>
          <t>Abdelrahman Mohamed:
SPO 18-10</t>
        </r>
      </text>
    </comment>
    <comment ref="AB222" authorId="0" shapeId="0" xr:uid="{5AB75FA6-556E-4A4E-968B-037AAA228CD6}">
      <text>
        <r>
          <rPr>
            <b/>
            <sz val="9"/>
            <color indexed="81"/>
            <rFont val="Tahoma"/>
            <charset val="1"/>
          </rPr>
          <t>Reservation Fulvago:
New SPO 28-01</t>
        </r>
      </text>
    </comment>
    <comment ref="Y223" authorId="0" shapeId="0" xr:uid="{C18ED763-7DB4-417C-8DE1-8CB91F1518FD}">
      <text>
        <r>
          <rPr>
            <b/>
            <sz val="9"/>
            <color indexed="81"/>
            <rFont val="Tahoma"/>
            <charset val="1"/>
          </rPr>
          <t xml:space="preserve">Abdelrahman Mohamed:
Contract E.B </t>
        </r>
      </text>
    </comment>
    <comment ref="AB224" authorId="0" shapeId="0" xr:uid="{8AB0BDD3-5D71-447F-B272-EC0472B00CEC}">
      <text>
        <r>
          <rPr>
            <b/>
            <sz val="9"/>
            <color indexed="81"/>
            <rFont val="Tahoma"/>
            <charset val="1"/>
          </rPr>
          <t>Reservation Fulvago:
SPO 28-07</t>
        </r>
      </text>
    </comment>
    <comment ref="AF224" authorId="0" shapeId="0" xr:uid="{F40DF426-6EDE-41BA-BA35-C1C51AB9F180}">
      <text>
        <r>
          <rPr>
            <b/>
            <sz val="9"/>
            <color indexed="81"/>
            <rFont val="Tahoma"/>
            <charset val="1"/>
          </rPr>
          <t>Reservation Fulvago:
Option date amended with hotel by phone on 18-12</t>
        </r>
      </text>
    </comment>
    <comment ref="AB225" authorId="0" shapeId="0" xr:uid="{83D9D718-5455-49ED-8720-3D621055F5E1}">
      <text>
        <r>
          <rPr>
            <b/>
            <sz val="9"/>
            <color indexed="81"/>
            <rFont val="Tahoma"/>
            <charset val="1"/>
          </rPr>
          <t>Abdelrahman Mohamed:
SPO 03-10</t>
        </r>
      </text>
    </comment>
    <comment ref="AB228" authorId="0" shapeId="0" xr:uid="{892F2D4C-5B37-4D75-A323-CE1F1F88DC29}">
      <text>
        <r>
          <rPr>
            <b/>
            <sz val="9"/>
            <color indexed="81"/>
            <rFont val="Tahoma"/>
            <charset val="1"/>
          </rPr>
          <t>Abdelrahman Mohamed:
SPO 03-10</t>
        </r>
      </text>
    </comment>
    <comment ref="AF228" authorId="0" shapeId="0" xr:uid="{5C233AF0-A405-4727-AD3B-36C83A198434}">
      <text>
        <r>
          <rPr>
            <b/>
            <sz val="9"/>
            <color indexed="81"/>
            <rFont val="Tahoma"/>
            <charset val="1"/>
          </rPr>
          <t>Reservation Fulvago:
Option date payment amended asper calling with Marco , on 18-12
Updated and amended as agreed pb phone with Mr Mostafa Res Mgr sunrise</t>
        </r>
      </text>
    </comment>
    <comment ref="Y232" authorId="0" shapeId="0" xr:uid="{C9405815-846A-4D9E-BA1F-EA0E2A2E31FD}">
      <text>
        <r>
          <rPr>
            <b/>
            <sz val="9"/>
            <color indexed="81"/>
            <rFont val="Tahoma"/>
            <charset val="1"/>
          </rPr>
          <t xml:space="preserve">Abdelrahman Mohamed:
SPO 28-09
</t>
        </r>
      </text>
    </comment>
    <comment ref="AB234" authorId="0" shapeId="0" xr:uid="{615AB9EC-68ED-447C-B8C7-4C9DC0033849}">
      <text>
        <r>
          <rPr>
            <b/>
            <sz val="9"/>
            <color indexed="81"/>
            <rFont val="Tahoma"/>
            <charset val="1"/>
          </rPr>
          <t>Abdelrahman Mohamed:
SPO 18-10</t>
        </r>
      </text>
    </comment>
    <comment ref="T235" authorId="0" shapeId="0" xr:uid="{44259A9F-1509-4303-97E4-7C9A3AEEA13F}">
      <text>
        <r>
          <rPr>
            <b/>
            <sz val="9"/>
            <color indexed="81"/>
            <rFont val="Tahoma"/>
            <charset val="1"/>
          </rPr>
          <t>Reservation Fulvago:
Rebooked and confirmed on 01-12 with guest name  Idalina Moreira to get spo 28-11</t>
        </r>
      </text>
    </comment>
    <comment ref="AB235" authorId="0" shapeId="0" xr:uid="{F0623342-8C65-4265-9D1C-01E97D48F306}">
      <text>
        <r>
          <rPr>
            <b/>
            <sz val="9"/>
            <color indexed="81"/>
            <rFont val="Tahoma"/>
            <charset val="1"/>
          </rPr>
          <t>Abdelrahman Mohamed:
New SPO 09-03</t>
        </r>
      </text>
    </comment>
    <comment ref="T237" authorId="0" shapeId="0" xr:uid="{B326EEBD-52B5-4ABC-AFF7-BEAE8520207E}">
      <text>
        <r>
          <rPr>
            <b/>
            <sz val="9"/>
            <color indexed="81"/>
            <rFont val="Tahoma"/>
            <charset val="1"/>
          </rPr>
          <t>Abdelrahman Mohamed:
Guest name updated asper mail on 12-11</t>
        </r>
      </text>
    </comment>
    <comment ref="AB238" authorId="0" shapeId="0" xr:uid="{8C31B83B-5E7B-4B60-A8CC-D0558AD0A2A4}">
      <text>
        <r>
          <rPr>
            <b/>
            <sz val="9"/>
            <color indexed="81"/>
            <rFont val="Tahoma"/>
            <charset val="1"/>
          </rPr>
          <t>Abdelrahman Mohamed:
SPO 30-10
Deducted 1%MC</t>
        </r>
      </text>
    </comment>
    <comment ref="AB239" authorId="0" shapeId="0" xr:uid="{D34B40AE-5199-4CCF-8E22-D8DCE3D91C47}">
      <text>
        <r>
          <rPr>
            <b/>
            <sz val="9"/>
            <color indexed="81"/>
            <rFont val="Tahoma"/>
            <charset val="1"/>
          </rPr>
          <t>Abdelrahman Mohamed:
SPO 29-12</t>
        </r>
      </text>
    </comment>
    <comment ref="AB240" authorId="0" shapeId="0" xr:uid="{B32A3019-1616-4F17-BA11-6FA8016F12F3}">
      <text>
        <r>
          <rPr>
            <b/>
            <sz val="9"/>
            <color indexed="81"/>
            <rFont val="Tahoma"/>
            <charset val="1"/>
          </rPr>
          <t>Abdelrahman Mohamed:
SPO 18-10</t>
        </r>
      </text>
    </comment>
    <comment ref="AB244" authorId="0" shapeId="0" xr:uid="{C0A1D812-6B13-4FF1-A0C4-97128F2337D2}">
      <text>
        <r>
          <rPr>
            <b/>
            <sz val="9"/>
            <color indexed="81"/>
            <rFont val="Tahoma"/>
            <charset val="1"/>
          </rPr>
          <t>Reservation Fulvago:
This booking has been confirmed from the hotel side asper spo sent 13-10 , on 27-11</t>
        </r>
      </text>
    </comment>
    <comment ref="AB246" authorId="0" shapeId="0" xr:uid="{5B1D0EA2-FE13-4D5A-8D77-8C31B0F9BA8A}">
      <text>
        <r>
          <rPr>
            <b/>
            <sz val="9"/>
            <color indexed="81"/>
            <rFont val="Tahoma"/>
            <charset val="1"/>
          </rPr>
          <t xml:space="preserve">Abdelrahman Mohamed:
Contract Rate </t>
        </r>
      </text>
    </comment>
    <comment ref="AF250" authorId="0" shapeId="0" xr:uid="{3FE8A910-EBF8-4615-9E6D-04C987764D1A}">
      <text>
        <r>
          <rPr>
            <b/>
            <sz val="9"/>
            <color indexed="81"/>
            <rFont val="Tahoma"/>
            <charset val="1"/>
          </rPr>
          <t>Reservation Fulvago:
Option date amended as agreed with Mr Gouda on 18-12</t>
        </r>
      </text>
    </comment>
    <comment ref="AB252" authorId="0" shapeId="0" xr:uid="{F6CD9E87-E1DA-48E5-A21B-534736D81780}">
      <text>
        <r>
          <rPr>
            <b/>
            <sz val="9"/>
            <color indexed="81"/>
            <rFont val="Tahoma"/>
            <charset val="1"/>
          </rPr>
          <t>Abdelrahman Mohamed:
SPO 04-11</t>
        </r>
      </text>
    </comment>
    <comment ref="AF252" authorId="0" shapeId="0" xr:uid="{128AFE18-0877-4362-B2D9-7B71E0D81305}">
      <text>
        <r>
          <rPr>
            <b/>
            <sz val="9"/>
            <color indexed="81"/>
            <rFont val="Tahoma"/>
            <charset val="1"/>
          </rPr>
          <t>Reservation Fulvago:
amend  asper mail on 09-12</t>
        </r>
      </text>
    </comment>
    <comment ref="AB253" authorId="0" shapeId="0" xr:uid="{7720BDC5-E253-45F0-8AF3-23DE93E632EE}">
      <text>
        <r>
          <rPr>
            <b/>
            <sz val="9"/>
            <color indexed="81"/>
            <rFont val="Tahoma"/>
            <charset val="1"/>
          </rPr>
          <t xml:space="preserve">Abdelrahman Mohamed:
Contract rate </t>
        </r>
      </text>
    </comment>
    <comment ref="Y254" authorId="0" shapeId="0" xr:uid="{D26F7EEA-D282-4BBD-B96E-5AE14CB9DAE9}">
      <text>
        <r>
          <rPr>
            <b/>
            <sz val="9"/>
            <color indexed="81"/>
            <rFont val="Tahoma"/>
            <charset val="1"/>
          </rPr>
          <t>Abdelrahman Mohamed:
SPO 31-10</t>
        </r>
      </text>
    </comment>
    <comment ref="AB257" authorId="0" shapeId="0" xr:uid="{4421ECA0-7250-48C6-AC99-FF9659BC49B2}">
      <text>
        <r>
          <rPr>
            <b/>
            <sz val="9"/>
            <color indexed="81"/>
            <rFont val="Tahoma"/>
            <charset val="1"/>
          </rPr>
          <t>Abdelrahman Mohamed:
SPO 29-10</t>
        </r>
      </text>
    </comment>
    <comment ref="Y259" authorId="0" shapeId="0" xr:uid="{38AB8203-1E2D-466E-A538-77CACED47360}">
      <text>
        <r>
          <rPr>
            <b/>
            <sz val="9"/>
            <color indexed="81"/>
            <rFont val="Tahoma"/>
            <charset val="1"/>
          </rPr>
          <t>Abdelrahman Mohamed:
SPO 29-10</t>
        </r>
      </text>
    </comment>
    <comment ref="Y260" authorId="0" shapeId="0" xr:uid="{4AC30D23-2A07-4AF9-9064-BE9500E86A72}">
      <text>
        <r>
          <rPr>
            <b/>
            <sz val="9"/>
            <color indexed="81"/>
            <rFont val="Tahoma"/>
            <charset val="1"/>
          </rPr>
          <t>Abdelrahman Mohamed:
SPO 29-10</t>
        </r>
      </text>
    </comment>
    <comment ref="AB262" authorId="0" shapeId="0" xr:uid="{C790ED1B-77C0-47F6-9E2D-1549E79A52C1}">
      <text>
        <r>
          <rPr>
            <b/>
            <sz val="9"/>
            <color indexed="81"/>
            <rFont val="Tahoma"/>
            <charset val="1"/>
          </rPr>
          <t>Abdelrahman Mohamed:
One Night Contract rate
last nights SPO 07-11</t>
        </r>
      </text>
    </comment>
    <comment ref="Y264" authorId="0" shapeId="0" xr:uid="{2AA2B1B3-EB5B-4B8F-B5E2-99364D831655}">
      <text>
        <r>
          <rPr>
            <b/>
            <sz val="9"/>
            <color indexed="81"/>
            <rFont val="Tahoma"/>
            <charset val="1"/>
          </rPr>
          <t>Abdelrahman Mohamed:
SPO 01-11</t>
        </r>
      </text>
    </comment>
    <comment ref="AB265" authorId="0" shapeId="0" xr:uid="{4E9BA086-E214-4698-8A7B-2085E8951F6D}">
      <text>
        <r>
          <rPr>
            <b/>
            <sz val="9"/>
            <color indexed="81"/>
            <rFont val="Tahoma"/>
            <charset val="1"/>
          </rPr>
          <t>Abdelrahman Mohamed:
SPO 27-10</t>
        </r>
      </text>
    </comment>
    <comment ref="AF265" authorId="0" shapeId="0" xr:uid="{786B68C5-305B-4462-8F75-48164618B2C9}">
      <text>
        <r>
          <rPr>
            <b/>
            <sz val="9"/>
            <color indexed="81"/>
            <rFont val="Tahoma"/>
            <charset val="1"/>
          </rPr>
          <t>Reservation Fulvago:
Option date amended by phone with Mr Waleed on 17-12</t>
        </r>
      </text>
    </comment>
    <comment ref="AB266" authorId="0" shapeId="0" xr:uid="{46D3750C-89EB-46DF-A95F-0278C20C6AA2}">
      <text>
        <r>
          <rPr>
            <b/>
            <sz val="9"/>
            <color indexed="81"/>
            <rFont val="Tahoma"/>
            <charset val="1"/>
          </rPr>
          <t>Abdelrahman Mohamed:
SPO 31-10
Without New year gala dinner Supp</t>
        </r>
      </text>
    </comment>
    <comment ref="AB267" authorId="0" shapeId="0" xr:uid="{110C9F0A-2E1E-48DF-9EEA-2EA1A9183F1D}">
      <text>
        <r>
          <rPr>
            <b/>
            <sz val="9"/>
            <color indexed="81"/>
            <rFont val="Tahoma"/>
            <charset val="1"/>
          </rPr>
          <t>Abdelrahman Mohamed:
SPO 31-10, Without gala dinner</t>
        </r>
      </text>
    </comment>
    <comment ref="J270" authorId="0" shapeId="0" xr:uid="{038F08B6-E61E-4AF6-91CA-03A8431B7949}">
      <text>
        <r>
          <rPr>
            <b/>
            <sz val="9"/>
            <color indexed="81"/>
            <rFont val="Tahoma"/>
            <charset val="1"/>
          </rPr>
          <t>Abdelrahman Mohamed:
Asper Mr Mohamed Gouda, on 14-11</t>
        </r>
      </text>
    </comment>
    <comment ref="AB277" authorId="0" shapeId="0" xr:uid="{59602396-F564-4BD0-8CF2-33799C9EA8AC}">
      <text>
        <r>
          <rPr>
            <b/>
            <sz val="9"/>
            <color indexed="81"/>
            <rFont val="Tahoma"/>
            <charset val="1"/>
          </rPr>
          <t>Abdelrahman Mohamed:
spo 29-10</t>
        </r>
      </text>
    </comment>
    <comment ref="AB278" authorId="0" shapeId="0" xr:uid="{B4509D33-E6FB-4E30-9AB3-42C020DB0A84}">
      <text>
        <r>
          <rPr>
            <b/>
            <sz val="9"/>
            <color indexed="81"/>
            <rFont val="Tahoma"/>
            <charset val="1"/>
          </rPr>
          <t xml:space="preserve">Reservation Fulvago:
SPO  26-11
Contract rate for 2 last nights </t>
        </r>
      </text>
    </comment>
    <comment ref="L279" authorId="0" shapeId="0" xr:uid="{87965356-770D-43B7-B094-C4FACCA35C2E}">
      <text>
        <r>
          <rPr>
            <b/>
            <sz val="9"/>
            <color indexed="81"/>
            <rFont val="Tahoma"/>
            <charset val="1"/>
          </rPr>
          <t>Reservation Fulvago:
Guest made early check out asper mail sent to hotel on 26-03</t>
        </r>
      </text>
    </comment>
    <comment ref="K280" authorId="0" shapeId="0" xr:uid="{CAA618EE-0B8D-44D4-806E-18735C1296F4}">
      <text>
        <r>
          <rPr>
            <b/>
            <sz val="9"/>
            <color indexed="81"/>
            <rFont val="Tahoma"/>
            <charset val="1"/>
          </rPr>
          <t>Reservation Fulvago:
amended asper mail on 04-02</t>
        </r>
      </text>
    </comment>
    <comment ref="B284" authorId="0" shapeId="0" xr:uid="{00907155-E19D-41BA-A72A-AAAEA5DDC800}">
      <text>
        <r>
          <rPr>
            <b/>
            <sz val="9"/>
            <color indexed="81"/>
            <rFont val="Tahoma"/>
            <charset val="1"/>
          </rPr>
          <t>Reservation Fulvago:
this booking has been confirmed with hotel asper old booking asper Mr mohamed gouda,</t>
        </r>
      </text>
    </comment>
    <comment ref="B285" authorId="0" shapeId="0" xr:uid="{DE87112E-440E-43EA-AC26-D118F18B54F4}">
      <text>
        <r>
          <rPr>
            <b/>
            <sz val="9"/>
            <color indexed="81"/>
            <rFont val="Tahoma"/>
            <charset val="1"/>
          </rPr>
          <t>Reservation Fulvago:
this booking has been confirmed with hotel asper old booking asper Mr mohamed gouda,</t>
        </r>
      </text>
    </comment>
    <comment ref="AB287" authorId="0" shapeId="0" xr:uid="{06A552AF-4E83-48A4-AD1C-9A07EC7D0C72}">
      <text>
        <r>
          <rPr>
            <b/>
            <sz val="9"/>
            <color indexed="81"/>
            <rFont val="Tahoma"/>
            <charset val="1"/>
          </rPr>
          <t xml:space="preserve">Abdelrahman Mohamed:
Contract Rate </t>
        </r>
      </text>
    </comment>
    <comment ref="AB288" authorId="0" shapeId="0" xr:uid="{21E5CADE-F84C-47F9-A5CF-012D308AAC9A}">
      <text>
        <r>
          <rPr>
            <b/>
            <sz val="9"/>
            <color indexed="81"/>
            <rFont val="Tahoma"/>
            <charset val="1"/>
          </rPr>
          <t>Abdelrahman Mohamed:
spo 11-08</t>
        </r>
      </text>
    </comment>
    <comment ref="AB289" authorId="0" shapeId="0" xr:uid="{FC755624-1998-450A-85BE-FF7D55EB194F}">
      <text>
        <r>
          <rPr>
            <b/>
            <sz val="9"/>
            <color indexed="81"/>
            <rFont val="Tahoma"/>
            <charset val="1"/>
          </rPr>
          <t>Abdelrahman Mohamed:
spo 11-08</t>
        </r>
      </text>
    </comment>
    <comment ref="AB290" authorId="0" shapeId="0" xr:uid="{ED924255-89AC-48B3-996B-E6D8C5E2A2D9}">
      <text>
        <r>
          <rPr>
            <b/>
            <sz val="9"/>
            <color indexed="81"/>
            <rFont val="Tahoma"/>
            <charset val="1"/>
          </rPr>
          <t>Abdelrahman Mohamed:
Confirmed with Disc 49% asper mail on 15-11</t>
        </r>
      </text>
    </comment>
    <comment ref="AB292" authorId="0" shapeId="0" xr:uid="{3FA6AB44-8C13-4BEF-8D94-DF654460CD35}">
      <text>
        <r>
          <rPr>
            <b/>
            <sz val="9"/>
            <color indexed="81"/>
            <rFont val="Tahoma"/>
            <charset val="1"/>
          </rPr>
          <t>Abdelrahman Mohamed:
SPO 31-10</t>
        </r>
      </text>
    </comment>
    <comment ref="AB293" authorId="0" shapeId="0" xr:uid="{1453FEBA-9B7F-4770-925E-4418D7CFDEA3}">
      <text>
        <r>
          <rPr>
            <b/>
            <sz val="9"/>
            <color indexed="81"/>
            <rFont val="Tahoma"/>
            <charset val="1"/>
          </rPr>
          <t>Abdelrahman Mohamed:
SPO 07-10</t>
        </r>
      </text>
    </comment>
    <comment ref="Y295" authorId="0" shapeId="0" xr:uid="{B2D2E9A1-A444-4FBB-966D-D2946CDBAB12}">
      <text>
        <r>
          <rPr>
            <b/>
            <sz val="9"/>
            <color indexed="81"/>
            <rFont val="Tahoma"/>
            <charset val="1"/>
          </rPr>
          <t>Abdelrahman Mohamed:
SPO 10-11</t>
        </r>
      </text>
    </comment>
    <comment ref="AB297" authorId="0" shapeId="0" xr:uid="{EC330FE5-1142-47CE-AE03-D1EECFC6EE7E}">
      <text>
        <r>
          <rPr>
            <b/>
            <sz val="9"/>
            <color indexed="81"/>
            <rFont val="Tahoma"/>
            <charset val="1"/>
          </rPr>
          <t>Reservation Fulvago:
Less 2 Euro PP from SPO 30-10</t>
        </r>
      </text>
    </comment>
    <comment ref="AB300" authorId="0" shapeId="0" xr:uid="{E8A63445-7084-4993-836D-FFF222A1A3F4}">
      <text>
        <r>
          <rPr>
            <b/>
            <sz val="9"/>
            <color indexed="81"/>
            <rFont val="Tahoma"/>
            <charset val="1"/>
          </rPr>
          <t>Reservation Fulvago:
SPO 31-10</t>
        </r>
      </text>
    </comment>
    <comment ref="AB301" authorId="0" shapeId="0" xr:uid="{7672C72F-8B4D-4321-9495-EF86FE7E0CF9}">
      <text>
        <r>
          <rPr>
            <b/>
            <sz val="9"/>
            <color indexed="81"/>
            <rFont val="Tahoma"/>
            <charset val="1"/>
          </rPr>
          <t xml:space="preserve">Reservation Fulvago:
Contract Rate </t>
        </r>
      </text>
    </comment>
    <comment ref="E303" authorId="0" shapeId="0" xr:uid="{9B523974-496D-4B48-B9D2-E7B6D592D751}">
      <text>
        <r>
          <rPr>
            <b/>
            <sz val="9"/>
            <color indexed="81"/>
            <rFont val="Tahoma"/>
            <charset val="1"/>
          </rPr>
          <t xml:space="preserve">Reservation Fulvago:
Sent to hotel as East Market asper Mr Mohamed Gouda </t>
        </r>
      </text>
    </comment>
    <comment ref="AB305" authorId="0" shapeId="0" xr:uid="{DED54813-E2D2-4F9D-9242-5FB8C64C67D2}">
      <text>
        <r>
          <rPr>
            <b/>
            <sz val="9"/>
            <color indexed="81"/>
            <rFont val="Tahoma"/>
            <charset val="1"/>
          </rPr>
          <t>Reservation Fulvago:
SPO 16-04</t>
        </r>
      </text>
    </comment>
    <comment ref="Y306" authorId="0" shapeId="0" xr:uid="{B6617024-28C4-4A50-9AE2-E8E976379815}">
      <text>
        <r>
          <rPr>
            <b/>
            <sz val="9"/>
            <color indexed="81"/>
            <rFont val="Tahoma"/>
            <charset val="1"/>
          </rPr>
          <t>Reservation Fulvago:
SPO 31-10</t>
        </r>
      </text>
    </comment>
    <comment ref="Y308" authorId="0" shapeId="0" xr:uid="{1C2C75E5-3C31-4A2A-85C5-2888CDDDE335}">
      <text>
        <r>
          <rPr>
            <b/>
            <sz val="9"/>
            <color indexed="81"/>
            <rFont val="Tahoma"/>
            <charset val="1"/>
          </rPr>
          <t>Reservation Fulvago:
SPO 29-10</t>
        </r>
      </text>
    </comment>
    <comment ref="L309" authorId="0" shapeId="0" xr:uid="{64EE660D-FE5D-4B76-8E9F-C9A849E897AE}">
      <text>
        <r>
          <rPr>
            <b/>
            <sz val="9"/>
            <color indexed="81"/>
            <rFont val="Tahoma"/>
            <charset val="1"/>
          </rPr>
          <t>Reservation Fulvago:
Extened asper mail on 22-01</t>
        </r>
      </text>
    </comment>
    <comment ref="AB309" authorId="0" shapeId="0" xr:uid="{8B20B604-1B96-4B78-AE84-5982A54451DE}">
      <text>
        <r>
          <rPr>
            <b/>
            <sz val="9"/>
            <color indexed="81"/>
            <rFont val="Tahoma"/>
            <charset val="1"/>
          </rPr>
          <t>Reservation Fulvago:
SPO 30-11</t>
        </r>
      </text>
    </comment>
    <comment ref="AC309" authorId="0" shapeId="0" xr:uid="{30CBD129-CF2D-48F3-8B30-592CF2E0979B}">
      <text>
        <r>
          <rPr>
            <b/>
            <sz val="9"/>
            <color indexed="81"/>
            <rFont val="Tahoma"/>
            <charset val="1"/>
          </rPr>
          <t>Reservation Fulvago:
SPO 30-11</t>
        </r>
      </text>
    </comment>
    <comment ref="AF309" authorId="0" shapeId="0" xr:uid="{40031B52-3DAB-4B56-89EE-A285368A8A99}">
      <text>
        <r>
          <rPr>
            <b/>
            <sz val="9"/>
            <color indexed="81"/>
            <rFont val="Tahoma"/>
            <charset val="1"/>
          </rPr>
          <t>Reservation Fulvago:
option date amended as greed with Ms Martha on 04-01</t>
        </r>
      </text>
    </comment>
    <comment ref="L310" authorId="0" shapeId="0" xr:uid="{96B7F26F-F9C9-4802-87AE-F8CEF907FF99}">
      <text>
        <r>
          <rPr>
            <b/>
            <sz val="9"/>
            <color indexed="81"/>
            <rFont val="Tahoma"/>
            <charset val="1"/>
          </rPr>
          <t>Reservation Fulvago:
Extened asper mail on 22-01</t>
        </r>
      </text>
    </comment>
    <comment ref="AB310" authorId="0" shapeId="0" xr:uid="{929980BE-22AC-46DA-87EC-6E4B33FD69DD}">
      <text>
        <r>
          <rPr>
            <b/>
            <sz val="9"/>
            <color indexed="81"/>
            <rFont val="Tahoma"/>
            <charset val="1"/>
          </rPr>
          <t>Reservation Fulvago:
SPO 30-11</t>
        </r>
      </text>
    </comment>
    <comment ref="AC310" authorId="0" shapeId="0" xr:uid="{EE608E23-A9AD-4D3A-9A18-363EF24E13B9}">
      <text>
        <r>
          <rPr>
            <b/>
            <sz val="9"/>
            <color indexed="81"/>
            <rFont val="Tahoma"/>
            <charset val="1"/>
          </rPr>
          <t>Reservation Fulvago:
SPO 30-11</t>
        </r>
      </text>
    </comment>
    <comment ref="AF310" authorId="0" shapeId="0" xr:uid="{4A0C097F-581D-494B-BE7C-228DE671F97E}">
      <text>
        <r>
          <rPr>
            <b/>
            <sz val="9"/>
            <color indexed="81"/>
            <rFont val="Tahoma"/>
            <charset val="1"/>
          </rPr>
          <t>Reservation Fulvago:
option date amended as greed with Ms Martha on 04-01</t>
        </r>
      </text>
    </comment>
    <comment ref="AB311" authorId="0" shapeId="0" xr:uid="{6B66841B-E7DA-4753-989E-38A8D9D615E6}">
      <text>
        <r>
          <rPr>
            <b/>
            <sz val="9"/>
            <color indexed="81"/>
            <rFont val="Tahoma"/>
            <charset val="1"/>
          </rPr>
          <t>Reservation Fulvago:
Contract rate ,15% Comm</t>
        </r>
      </text>
    </comment>
    <comment ref="AF311" authorId="0" shapeId="0" xr:uid="{F7B413B2-D8BB-450A-8585-7F4D42B012FE}">
      <text>
        <r>
          <rPr>
            <b/>
            <sz val="9"/>
            <color indexed="81"/>
            <rFont val="Tahoma"/>
            <charset val="1"/>
          </rPr>
          <t>Reservation Fulvago:
Amedned to be on 22-12 as agreed with mr Ahmed on 09-12 , by phone</t>
        </r>
      </text>
    </comment>
    <comment ref="AB312" authorId="0" shapeId="0" xr:uid="{A1135377-7A45-44C4-B81A-4D7F61F7FB3E}">
      <text>
        <r>
          <rPr>
            <b/>
            <sz val="9"/>
            <color indexed="81"/>
            <rFont val="Tahoma"/>
            <charset val="1"/>
          </rPr>
          <t>Reservation Fulvago:
As agreed with Mr mohamed Res Mgr this booking has been confirmed  with E.B asper mail on 29-01</t>
        </r>
      </text>
    </comment>
    <comment ref="AB313" authorId="0" shapeId="0" xr:uid="{080742FC-792B-4F8C-A8F0-E624E386352D}">
      <text>
        <r>
          <rPr>
            <b/>
            <sz val="9"/>
            <color indexed="81"/>
            <rFont val="Tahoma"/>
            <charset val="1"/>
          </rPr>
          <t>Reservation Fulvago:
SPO 20-11</t>
        </r>
      </text>
    </comment>
    <comment ref="AF313" authorId="0" shapeId="0" xr:uid="{F025308A-D8B9-4A2F-87F9-ED63234B11E6}">
      <text>
        <r>
          <rPr>
            <b/>
            <sz val="9"/>
            <color indexed="81"/>
            <rFont val="Tahoma"/>
            <charset val="1"/>
          </rPr>
          <t>Reservation Fulvago:
Option date amended as agreed with Mr Gouda on 18-12</t>
        </r>
      </text>
    </comment>
    <comment ref="AF314" authorId="0" shapeId="0" xr:uid="{E333D142-ED2D-4C9C-AFF2-8847154CDAC5}">
      <text>
        <r>
          <rPr>
            <b/>
            <sz val="9"/>
            <color indexed="81"/>
            <rFont val="Tahoma"/>
            <charset val="1"/>
          </rPr>
          <t>Reservation Fulvago:
Option date amended as agreed with Mr Gouda on 18-12</t>
        </r>
      </text>
    </comment>
    <comment ref="AB315" authorId="0" shapeId="0" xr:uid="{CD445FB6-542D-4D9F-888D-6CEDFC883EFE}">
      <text>
        <r>
          <rPr>
            <b/>
            <sz val="9"/>
            <color indexed="81"/>
            <rFont val="Tahoma"/>
            <charset val="1"/>
          </rPr>
          <t>Reservation Fulvago:
SPO 11-12</t>
        </r>
      </text>
    </comment>
    <comment ref="AB316" authorId="0" shapeId="0" xr:uid="{8B65240B-5416-4534-8DFF-16DC9827B398}">
      <text>
        <r>
          <rPr>
            <b/>
            <sz val="9"/>
            <color indexed="81"/>
            <rFont val="Tahoma"/>
            <charset val="1"/>
          </rPr>
          <t xml:space="preserve">Reservation  Fulvago:
this booking has been confirmed with the hotel STD room due no available room for Premium Sea view,
</t>
        </r>
      </text>
    </comment>
    <comment ref="AB317" authorId="0" shapeId="0" xr:uid="{5C6C9FED-A2B7-4E54-B9CC-377F291A9B33}">
      <text>
        <r>
          <rPr>
            <b/>
            <sz val="9"/>
            <color indexed="81"/>
            <rFont val="Tahoma"/>
            <charset val="1"/>
          </rPr>
          <t xml:space="preserve">Reservation Fulvago:
Contract Rate </t>
        </r>
      </text>
    </comment>
    <comment ref="AB319" authorId="0" shapeId="0" xr:uid="{BB467850-60F1-4DF4-BE35-25EC8986B4E3}">
      <text>
        <r>
          <rPr>
            <b/>
            <sz val="9"/>
            <color indexed="81"/>
            <rFont val="Tahoma"/>
            <charset val="1"/>
          </rPr>
          <t>Reservation Fulvago:
Contract rate 20% E.B +15% comm</t>
        </r>
      </text>
    </comment>
    <comment ref="T320" authorId="0" shapeId="0" xr:uid="{1E8B3906-2C90-40C6-9F14-B40784E0356D}">
      <text>
        <r>
          <rPr>
            <b/>
            <sz val="9"/>
            <color indexed="81"/>
            <rFont val="Tahoma"/>
            <charset val="1"/>
          </rPr>
          <t xml:space="preserve">Reservation Fulvago:
Sent with name 
Fernand  Moren </t>
        </r>
      </text>
    </comment>
    <comment ref="AB320" authorId="0" shapeId="0" xr:uid="{109F68CC-5F48-41FE-84F2-261453844CD4}">
      <text>
        <r>
          <rPr>
            <b/>
            <sz val="9"/>
            <color indexed="81"/>
            <rFont val="Tahoma"/>
            <charset val="1"/>
          </rPr>
          <t>Reservation Fulvago:
SPO 16-11</t>
        </r>
      </text>
    </comment>
    <comment ref="AF320" authorId="0" shapeId="0" xr:uid="{357D5BA4-3A06-4080-9D34-D6E8AD56FD4C}">
      <text>
        <r>
          <rPr>
            <b/>
            <sz val="9"/>
            <color indexed="81"/>
            <rFont val="Tahoma"/>
            <charset val="1"/>
          </rPr>
          <t>Reservation Fulvago:
option date asper mail on 17-12</t>
        </r>
      </text>
    </comment>
    <comment ref="Y321" authorId="0" shapeId="0" xr:uid="{208A982A-B233-473A-BBAE-3C42FBE2FDD1}">
      <text>
        <r>
          <rPr>
            <b/>
            <sz val="9"/>
            <color indexed="81"/>
            <rFont val="Tahoma"/>
            <charset val="1"/>
          </rPr>
          <t>Reservation Fulvago:
spo 15-11</t>
        </r>
      </text>
    </comment>
    <comment ref="AF321" authorId="0" shapeId="0" xr:uid="{9B022CD9-4A4F-4012-8D90-EA1E254E232F}">
      <text>
        <r>
          <rPr>
            <b/>
            <sz val="9"/>
            <color indexed="81"/>
            <rFont val="Tahoma"/>
            <charset val="1"/>
          </rPr>
          <t>Reservation Fulvago:
Option date asper mail on 22-12</t>
        </r>
      </text>
    </comment>
    <comment ref="Y322" authorId="0" shapeId="0" xr:uid="{AA2A07C4-0B15-4B60-93B8-011D19F8E393}">
      <text>
        <r>
          <rPr>
            <b/>
            <sz val="9"/>
            <color indexed="81"/>
            <rFont val="Tahoma"/>
            <charset val="1"/>
          </rPr>
          <t xml:space="preserve">Reservation Fulvago:
SPO 12-11
Room type Eilte room calculated as Deluxe Sea view Supp, 7 Euro PP.
as hotel confirmed the free 
Upgrade on 06-12 </t>
        </r>
      </text>
    </comment>
    <comment ref="AF322" authorId="0" shapeId="0" xr:uid="{482BE11B-3FFB-439C-A4C1-6F894DC6F389}">
      <text>
        <r>
          <rPr>
            <b/>
            <sz val="9"/>
            <color indexed="81"/>
            <rFont val="Tahoma"/>
            <charset val="1"/>
          </rPr>
          <t xml:space="preserve">Reservation Fulvago:
Option date amended as agreed with Mr Gouda, Mr sallam to be on 22-12 </t>
        </r>
      </text>
    </comment>
    <comment ref="AB323" authorId="0" shapeId="0" xr:uid="{E600DBA2-4414-44A8-A7BC-D7210A1579F5}">
      <text>
        <r>
          <rPr>
            <b/>
            <sz val="9"/>
            <color indexed="81"/>
            <rFont val="Tahoma"/>
            <charset val="1"/>
          </rPr>
          <t>Reservation Fulvago:
Spo 27-11
Spo 30-11</t>
        </r>
      </text>
    </comment>
    <comment ref="AB324" authorId="0" shapeId="0" xr:uid="{A50B7115-B4C8-494A-BAEE-A5EB5B55F9E4}">
      <text>
        <r>
          <rPr>
            <b/>
            <sz val="9"/>
            <color indexed="81"/>
            <rFont val="Tahoma"/>
            <charset val="1"/>
          </rPr>
          <t>Reservation Fulvago:
SPO 26-11</t>
        </r>
      </text>
    </comment>
    <comment ref="AB327" authorId="0" shapeId="0" xr:uid="{7E7324B0-F1BE-494E-8E90-E48D6AE044C6}">
      <text>
        <r>
          <rPr>
            <b/>
            <sz val="9"/>
            <color indexed="81"/>
            <rFont val="Tahoma"/>
            <charset val="1"/>
          </rPr>
          <t>Reservation Fulvago:
The new calculation asper SPO 02-06</t>
        </r>
      </text>
    </comment>
    <comment ref="T331" authorId="0" shapeId="0" xr:uid="{BC5389B7-E080-42DB-83F4-1DB806229986}">
      <text>
        <r>
          <rPr>
            <b/>
            <sz val="9"/>
            <color indexed="81"/>
            <rFont val="Tahoma"/>
            <charset val="1"/>
          </rPr>
          <t xml:space="preserve">Reservation Fulvago:
Sent with name Nicole </t>
        </r>
      </text>
    </comment>
    <comment ref="AB331" authorId="0" shapeId="0" xr:uid="{7A8F2034-CA11-4F04-BCB0-31323B5A31DD}">
      <text>
        <r>
          <rPr>
            <b/>
            <sz val="9"/>
            <color indexed="81"/>
            <rFont val="Tahoma"/>
            <charset val="1"/>
          </rPr>
          <t xml:space="preserve">Reservation Fulvago:
Contract rate </t>
        </r>
      </text>
    </comment>
    <comment ref="AF334" authorId="0" shapeId="0" xr:uid="{13E84862-27C4-4C2E-8F71-37836A1F8094}">
      <text>
        <r>
          <rPr>
            <b/>
            <sz val="9"/>
            <color indexed="81"/>
            <rFont val="Tahoma"/>
            <charset val="1"/>
          </rPr>
          <t>Reservation Fulvago:
option date amended as agreed with Mr Emad, Mr waleed on 18-12</t>
        </r>
      </text>
    </comment>
    <comment ref="Y335" authorId="0" shapeId="0" xr:uid="{0C83FA84-BCB9-4EC1-989A-7301F2C13E85}">
      <text>
        <r>
          <rPr>
            <b/>
            <sz val="9"/>
            <color indexed="81"/>
            <rFont val="Tahoma"/>
            <charset val="1"/>
          </rPr>
          <t>Reservation Fulvago:
SPO 29-10</t>
        </r>
      </text>
    </comment>
    <comment ref="AB336" authorId="0" shapeId="0" xr:uid="{9657741E-D2FE-430B-8BED-F94926736D14}">
      <text>
        <r>
          <rPr>
            <b/>
            <sz val="9"/>
            <color indexed="81"/>
            <rFont val="Tahoma"/>
            <charset val="1"/>
          </rPr>
          <t>Reservation Fulvago:
SPO 16-04</t>
        </r>
      </text>
    </comment>
    <comment ref="AB337" authorId="0" shapeId="0" xr:uid="{4A8FB23E-36CB-422B-B67B-31E88171BF60}">
      <text>
        <r>
          <rPr>
            <b/>
            <sz val="9"/>
            <color indexed="81"/>
            <rFont val="Tahoma"/>
            <charset val="1"/>
          </rPr>
          <t>Reservation Fulvago:
SPO 29-10</t>
        </r>
      </text>
    </comment>
    <comment ref="AB338" authorId="0" shapeId="0" xr:uid="{29EC35ED-A1F5-4BE1-84D9-6D6E5BE641CA}">
      <text>
        <r>
          <rPr>
            <b/>
            <sz val="9"/>
            <color indexed="81"/>
            <rFont val="Tahoma"/>
            <charset val="1"/>
          </rPr>
          <t>Reservation Fulvago:
SPO 05-02</t>
        </r>
      </text>
    </comment>
    <comment ref="AF338" authorId="0" shapeId="0" xr:uid="{8FFDEF13-CB67-46F3-B9D6-41045DD7EB20}">
      <text>
        <r>
          <rPr>
            <b/>
            <sz val="9"/>
            <color indexed="81"/>
            <rFont val="Tahoma"/>
            <charset val="1"/>
          </rPr>
          <t>Reservation Fulvago:
confirmed asper mail on 08-02</t>
        </r>
      </text>
    </comment>
    <comment ref="AB340" authorId="0" shapeId="0" xr:uid="{9086C6E7-816A-414E-BDD9-FA2E82108E30}">
      <text>
        <r>
          <rPr>
            <b/>
            <sz val="9"/>
            <color indexed="81"/>
            <rFont val="Tahoma"/>
            <charset val="1"/>
          </rPr>
          <t>Reservation Fulvago:
SPO 26-11</t>
        </r>
      </text>
    </comment>
    <comment ref="AF340" authorId="0" shapeId="0" xr:uid="{22E31EB7-2580-47BE-A665-E35868E93B59}">
      <text>
        <r>
          <rPr>
            <b/>
            <sz val="9"/>
            <color indexed="81"/>
            <rFont val="Tahoma"/>
            <charset val="1"/>
          </rPr>
          <t>Reservation Fulvago:
Option date amended asper mail on 18-12</t>
        </r>
      </text>
    </comment>
    <comment ref="AB341" authorId="0" shapeId="0" xr:uid="{978333D9-857A-4224-83BD-FFA7E9C37684}">
      <text>
        <r>
          <rPr>
            <b/>
            <sz val="9"/>
            <color indexed="81"/>
            <rFont val="Tahoma"/>
            <charset val="1"/>
          </rPr>
          <t>Reservation Fulvago:
New SPO 09-03</t>
        </r>
      </text>
    </comment>
    <comment ref="Y342" authorId="0" shapeId="0" xr:uid="{395EA29C-50D1-4B22-B72A-3024C132D139}">
      <text>
        <r>
          <rPr>
            <b/>
            <sz val="9"/>
            <color indexed="81"/>
            <rFont val="Tahoma"/>
            <charset val="1"/>
          </rPr>
          <t>Reservation Fulvago:
SPO 02-12
Confirmed free upgrade to Superior room asper mail on 08-12</t>
        </r>
      </text>
    </comment>
    <comment ref="Y343" authorId="0" shapeId="0" xr:uid="{C8247CD4-0C02-4F2A-886C-043AB2752186}">
      <text>
        <r>
          <rPr>
            <b/>
            <sz val="9"/>
            <color indexed="81"/>
            <rFont val="Tahoma"/>
            <charset val="1"/>
          </rPr>
          <t>Reservation Fulvago:
SPO 01-12</t>
        </r>
      </text>
    </comment>
    <comment ref="AF343" authorId="0" shapeId="0" xr:uid="{2DF06CDB-1DBD-433E-9663-206F1AB7930B}">
      <text>
        <r>
          <rPr>
            <b/>
            <sz val="9"/>
            <color indexed="81"/>
            <rFont val="Tahoma"/>
            <charset val="1"/>
          </rPr>
          <t>Reservation Fulvago:
amended asper mail on 29-12</t>
        </r>
      </text>
    </comment>
    <comment ref="AB344" authorId="0" shapeId="0" xr:uid="{FA5373BC-3902-4646-832B-F36A03D2DDD9}">
      <text>
        <r>
          <rPr>
            <b/>
            <sz val="9"/>
            <color indexed="81"/>
            <rFont val="Tahoma"/>
            <charset val="1"/>
          </rPr>
          <t xml:space="preserve">Reservation Fulvago:
Contract E.B 25% </t>
        </r>
      </text>
    </comment>
    <comment ref="AB345" authorId="0" shapeId="0" xr:uid="{B97AA710-653A-485F-B73C-B3DA7A1E2A08}">
      <text>
        <r>
          <rPr>
            <b/>
            <sz val="9"/>
            <color indexed="81"/>
            <rFont val="Tahoma"/>
            <charset val="1"/>
          </rPr>
          <t>Reservation Fulvago:
SPO 26-11</t>
        </r>
      </text>
    </comment>
    <comment ref="AB346" authorId="0" shapeId="0" xr:uid="{B5BB0472-0846-487C-9865-99F1D830FA19}">
      <text>
        <r>
          <rPr>
            <b/>
            <sz val="9"/>
            <color indexed="81"/>
            <rFont val="Tahoma"/>
            <charset val="1"/>
          </rPr>
          <t xml:space="preserve">Reservation Fulvago:
Less 2 Euro PPPN from SPO confirmed asper mail on 10-12
One Room arrived Single </t>
        </r>
      </text>
    </comment>
    <comment ref="AB348" authorId="0" shapeId="0" xr:uid="{0B8E12F4-DCBE-4752-80B8-DF92EEA249EB}">
      <text>
        <r>
          <rPr>
            <b/>
            <sz val="9"/>
            <color indexed="81"/>
            <rFont val="Tahoma"/>
            <charset val="1"/>
          </rPr>
          <t xml:space="preserve">Reservation Fulvago:
Contract Rate </t>
        </r>
      </text>
    </comment>
    <comment ref="AF348" authorId="0" shapeId="0" xr:uid="{0BC61F99-FF47-4DDB-835D-109FD4B6BAE6}">
      <text>
        <r>
          <rPr>
            <b/>
            <sz val="9"/>
            <color indexed="81"/>
            <rFont val="Tahoma"/>
            <charset val="1"/>
          </rPr>
          <t>Reservation Fulvago:
option date amended asper mail on 14-01</t>
        </r>
      </text>
    </comment>
    <comment ref="Y349" authorId="0" shapeId="0" xr:uid="{C076DD46-4CDE-478B-9388-C08646C4DF4D}">
      <text>
        <r>
          <rPr>
            <b/>
            <sz val="9"/>
            <color indexed="81"/>
            <rFont val="Tahoma"/>
            <charset val="1"/>
          </rPr>
          <t>Reservation Fulvago:
Update calculation asper SPO 02-02</t>
        </r>
      </text>
    </comment>
    <comment ref="AB350" authorId="0" shapeId="0" xr:uid="{AC291FDB-03DA-4E6F-9C01-AA5102B41565}">
      <text>
        <r>
          <rPr>
            <b/>
            <sz val="9"/>
            <color indexed="81"/>
            <rFont val="Tahoma"/>
            <charset val="1"/>
          </rPr>
          <t>Reservation Fulvago:
SPO 08-12</t>
        </r>
      </text>
    </comment>
    <comment ref="T351" authorId="0" shapeId="0" xr:uid="{D2E9867B-D81F-4DD2-A235-0A62C8912046}">
      <text>
        <r>
          <rPr>
            <b/>
            <sz val="9"/>
            <color indexed="81"/>
            <rFont val="Tahoma"/>
            <charset val="1"/>
          </rPr>
          <t xml:space="preserve">Reservation Fulvago:
this booking has been rebooked on 30-03, guest CXL and booked new booking on 31-03 with arrival date 02-05 for 7 nights . </t>
        </r>
      </text>
    </comment>
    <comment ref="AB351" authorId="0" shapeId="0" xr:uid="{C3F59030-8E0A-4861-9723-F2869BFAEDD0}">
      <text>
        <r>
          <rPr>
            <b/>
            <sz val="9"/>
            <color indexed="81"/>
            <rFont val="Tahoma"/>
            <charset val="1"/>
          </rPr>
          <t>Reservation Fulvago:
New SPO 29-03</t>
        </r>
      </text>
    </comment>
    <comment ref="Y352" authorId="0" shapeId="0" xr:uid="{3A9E34EC-9070-42ED-9B68-C0F22CEA0AD8}">
      <text>
        <r>
          <rPr>
            <b/>
            <sz val="9"/>
            <color indexed="81"/>
            <rFont val="Tahoma"/>
            <charset val="1"/>
          </rPr>
          <t>Reservation Fulvago:
SPO 04-12</t>
        </r>
      </text>
    </comment>
    <comment ref="AF352" authorId="0" shapeId="0" xr:uid="{BD0A444E-ECD6-43E5-8563-7630777F1B9E}">
      <text>
        <r>
          <rPr>
            <b/>
            <sz val="9"/>
            <color indexed="81"/>
            <rFont val="Tahoma"/>
            <charset val="1"/>
          </rPr>
          <t>Reservation Fulvago:
Option date amended asper mail on 04-01</t>
        </r>
      </text>
    </comment>
    <comment ref="AB353" authorId="0" shapeId="0" xr:uid="{7DE21DFA-18A3-4996-804F-412A108B4F43}">
      <text>
        <r>
          <rPr>
            <b/>
            <sz val="9"/>
            <color indexed="81"/>
            <rFont val="Tahoma"/>
            <charset val="1"/>
          </rPr>
          <t>Reservation Fulvago:
SPO 26-11</t>
        </r>
      </text>
    </comment>
    <comment ref="Y354" authorId="0" shapeId="0" xr:uid="{B9B1B50B-C446-4A24-9EC0-CA58F273D38D}">
      <text>
        <r>
          <rPr>
            <b/>
            <sz val="9"/>
            <color indexed="81"/>
            <rFont val="Tahoma"/>
            <charset val="1"/>
          </rPr>
          <t>Reservation Fulvago:
SPO 10-12</t>
        </r>
      </text>
    </comment>
    <comment ref="Y355" authorId="0" shapeId="0" xr:uid="{CF7D8807-5DBB-4F27-AABA-0F16E6375CCC}">
      <text>
        <r>
          <rPr>
            <b/>
            <sz val="9"/>
            <color indexed="81"/>
            <rFont val="Tahoma"/>
            <charset val="1"/>
          </rPr>
          <t>Reservation Fulvago:
SPO  10-12</t>
        </r>
      </text>
    </comment>
    <comment ref="AB356" authorId="0" shapeId="0" xr:uid="{18A50C8D-BE3F-4912-8554-AA40CEA3F603}">
      <text>
        <r>
          <rPr>
            <b/>
            <sz val="9"/>
            <color indexed="81"/>
            <rFont val="Tahoma"/>
            <charset val="1"/>
          </rPr>
          <t>Reservation Fulvago:
Spo 03-02</t>
        </r>
      </text>
    </comment>
    <comment ref="AB357" authorId="0" shapeId="0" xr:uid="{63FAE367-A8F2-4F8D-AE20-DC1D11CCEBD0}">
      <text>
        <r>
          <rPr>
            <b/>
            <sz val="9"/>
            <color indexed="81"/>
            <rFont val="Tahoma"/>
            <charset val="1"/>
          </rPr>
          <t>Reservation Fulvago:
SPO 20-01</t>
        </r>
      </text>
    </comment>
    <comment ref="Y358" authorId="0" shapeId="0" xr:uid="{1FA29360-03C3-42AA-9350-ADB851208364}">
      <text>
        <r>
          <rPr>
            <b/>
            <sz val="9"/>
            <color indexed="81"/>
            <rFont val="Tahoma"/>
            <charset val="1"/>
          </rPr>
          <t>Reservation Fulvago:
SPO 11-12
One night No Show for 2rooms</t>
        </r>
      </text>
    </comment>
    <comment ref="AF358" authorId="0" shapeId="0" xr:uid="{1B2948C8-4E75-4C5B-B614-CEEEADC6FF56}">
      <text>
        <r>
          <rPr>
            <b/>
            <sz val="9"/>
            <color indexed="81"/>
            <rFont val="Tahoma"/>
            <charset val="1"/>
          </rPr>
          <t xml:space="preserve">Reservation Fulvago:
option date amended as agreed with Ms fatma, </t>
        </r>
      </text>
    </comment>
    <comment ref="AB359" authorId="0" shapeId="0" xr:uid="{3E315A8A-BFE1-487B-9D8C-62C1BC4FA89D}">
      <text>
        <r>
          <rPr>
            <b/>
            <sz val="9"/>
            <color indexed="81"/>
            <rFont val="Tahoma"/>
            <charset val="1"/>
          </rPr>
          <t xml:space="preserve">Reservation Fulvago:
Contract Rtae </t>
        </r>
      </text>
    </comment>
    <comment ref="AC360" authorId="0" shapeId="0" xr:uid="{F1AE3BA4-277F-4DC1-884D-91CE4538E120}">
      <text>
        <r>
          <rPr>
            <b/>
            <sz val="9"/>
            <color indexed="81"/>
            <rFont val="Tahoma"/>
            <charset val="1"/>
          </rPr>
          <t xml:space="preserve">Reservation Fulvago:
Added 156.32 Euro asper mail from Mr Gouda on 29-12 </t>
        </r>
      </text>
    </comment>
    <comment ref="Y361" authorId="0" shapeId="0" xr:uid="{D8A96E75-66BE-42F8-A033-2EE3ADA2E377}">
      <text>
        <r>
          <rPr>
            <b/>
            <sz val="9"/>
            <color indexed="81"/>
            <rFont val="Tahoma"/>
            <charset val="1"/>
          </rPr>
          <t>Reservation Fulvago:
SPO 18-12</t>
        </r>
      </text>
    </comment>
    <comment ref="AB362" authorId="0" shapeId="0" xr:uid="{24C8C98E-AC16-43CB-A549-2361E053FD6A}">
      <text>
        <r>
          <rPr>
            <b/>
            <sz val="9"/>
            <color indexed="81"/>
            <rFont val="Tahoma"/>
            <charset val="1"/>
          </rPr>
          <t>Reservation Fulvago:
SPO 26-11</t>
        </r>
      </text>
    </comment>
    <comment ref="AB363" authorId="0" shapeId="0" xr:uid="{FE8A1D60-CA18-4160-A73F-7E1621EDA4EF}">
      <text>
        <r>
          <rPr>
            <b/>
            <sz val="9"/>
            <color indexed="81"/>
            <rFont val="Tahoma"/>
            <charset val="1"/>
          </rPr>
          <t>Reservation Fulvago:
SPO 20-12, Valid from 22-12</t>
        </r>
      </text>
    </comment>
    <comment ref="AB364" authorId="0" shapeId="0" xr:uid="{237D50D1-2FF3-441A-8352-E6F57ED8E8BB}">
      <text>
        <r>
          <rPr>
            <b/>
            <sz val="9"/>
            <color indexed="81"/>
            <rFont val="Tahoma"/>
            <charset val="1"/>
          </rPr>
          <t>Reservation Fulvago:
New SPO 03-06</t>
        </r>
      </text>
    </comment>
    <comment ref="AB365" authorId="0" shapeId="0" xr:uid="{8E54E647-D6B8-43D3-BBD8-AEFE4ECA1A57}">
      <text>
        <r>
          <rPr>
            <b/>
            <sz val="9"/>
            <color indexed="81"/>
            <rFont val="Tahoma"/>
            <charset val="1"/>
          </rPr>
          <t>Abdelrahman Mohamed:
SPO 03-10</t>
        </r>
      </text>
    </comment>
    <comment ref="AB366" authorId="0" shapeId="0" xr:uid="{9ECE8842-24D4-40F5-83D3-FD9015F46963}">
      <text>
        <r>
          <rPr>
            <b/>
            <sz val="9"/>
            <color indexed="81"/>
            <rFont val="Tahoma"/>
            <charset val="1"/>
          </rPr>
          <t>Reservation Fulvago:
SPO  20-12</t>
        </r>
      </text>
    </comment>
    <comment ref="Y367" authorId="0" shapeId="0" xr:uid="{465F9DDF-2A69-4AD7-BBF8-4540B9A0698B}">
      <text>
        <r>
          <rPr>
            <b/>
            <sz val="9"/>
            <color indexed="81"/>
            <rFont val="Tahoma"/>
            <charset val="1"/>
          </rPr>
          <t>Reservation Fulvago:
SPO 05-12</t>
        </r>
      </text>
    </comment>
    <comment ref="AB368" authorId="0" shapeId="0" xr:uid="{5F779AB1-0A10-4724-A238-FEAF6E4578D9}">
      <text>
        <r>
          <rPr>
            <b/>
            <sz val="9"/>
            <color indexed="81"/>
            <rFont val="Tahoma"/>
            <charset val="1"/>
          </rPr>
          <t>Reservation Fulvago:
SPO 30-11</t>
        </r>
      </text>
    </comment>
    <comment ref="AB369" authorId="0" shapeId="0" xr:uid="{9585DC34-7024-44A5-837B-9796A27F150A}">
      <text>
        <r>
          <rPr>
            <b/>
            <sz val="9"/>
            <color indexed="81"/>
            <rFont val="Tahoma"/>
            <charset val="1"/>
          </rPr>
          <t>Reservation Fulvago:
SPO 30-11</t>
        </r>
      </text>
    </comment>
    <comment ref="Y370" authorId="0" shapeId="0" xr:uid="{92DFCA51-3098-4F4F-955A-0267321EFF12}">
      <text>
        <r>
          <rPr>
            <b/>
            <sz val="9"/>
            <color indexed="81"/>
            <rFont val="Tahoma"/>
            <charset val="1"/>
          </rPr>
          <t>Reservation Fulvago:
SPO 25-11</t>
        </r>
      </text>
    </comment>
    <comment ref="AF370" authorId="0" shapeId="0" xr:uid="{993CC406-D5A4-4B30-A462-D6D8556D300A}">
      <text>
        <r>
          <rPr>
            <b/>
            <sz val="9"/>
            <color indexed="81"/>
            <rFont val="Tahoma"/>
            <charset val="1"/>
          </rPr>
          <t>Reservation Fulvago:
Option date amended asper mail on 24-12</t>
        </r>
      </text>
    </comment>
    <comment ref="AC372" authorId="0" shapeId="0" xr:uid="{E8308310-5FD4-4726-82D8-0110F112DA97}">
      <text>
        <r>
          <rPr>
            <b/>
            <sz val="9"/>
            <color indexed="81"/>
            <rFont val="Tahoma"/>
            <charset val="1"/>
          </rPr>
          <t xml:space="preserve">Reservation Fulvago:
1190 Euro Cancellation Fee, asper mail from the hotel to waive the cancellation fee </t>
        </r>
      </text>
    </comment>
    <comment ref="Y373" authorId="0" shapeId="0" xr:uid="{A01DE020-230A-4A1B-A201-75BF4B6D4926}">
      <text>
        <r>
          <rPr>
            <b/>
            <sz val="9"/>
            <color indexed="81"/>
            <rFont val="Tahoma"/>
            <charset val="1"/>
          </rPr>
          <t>Reservation Fulvago:
SPO 18-12</t>
        </r>
      </text>
    </comment>
    <comment ref="AB374" authorId="0" shapeId="0" xr:uid="{B873FB0B-D81A-42F9-97A6-813FF52378EB}">
      <text>
        <r>
          <rPr>
            <b/>
            <sz val="9"/>
            <color indexed="81"/>
            <rFont val="Tahoma"/>
            <charset val="1"/>
          </rPr>
          <t>Reservation Fulvago:
SPO 29-03</t>
        </r>
      </text>
    </comment>
    <comment ref="AB376" authorId="0" shapeId="0" xr:uid="{62C99A14-4DAA-40E1-AD4C-9B1A385B3180}">
      <text>
        <r>
          <rPr>
            <b/>
            <sz val="9"/>
            <color indexed="81"/>
            <rFont val="Tahoma"/>
            <charset val="1"/>
          </rPr>
          <t>Reservation Fulvago:
SPO 26-11</t>
        </r>
      </text>
    </comment>
    <comment ref="AB377" authorId="0" shapeId="0" xr:uid="{9B6DEFC7-1591-4E84-A467-0EB093C33EC9}">
      <text>
        <r>
          <rPr>
            <b/>
            <sz val="9"/>
            <color indexed="81"/>
            <rFont val="Tahoma"/>
            <charset val="1"/>
          </rPr>
          <t>Reservation Fulvago:
SPO 25-03</t>
        </r>
      </text>
    </comment>
    <comment ref="AB378" authorId="0" shapeId="0" xr:uid="{0DD3D8A6-E220-4B3D-9F4B-6A3F4C20DBAE}">
      <text>
        <r>
          <rPr>
            <b/>
            <sz val="9"/>
            <color indexed="81"/>
            <rFont val="Tahoma"/>
            <charset val="1"/>
          </rPr>
          <t xml:space="preserve">Reservation Fulvago:
SPO 26-11+Contract Rate </t>
        </r>
      </text>
    </comment>
    <comment ref="Y379" authorId="0" shapeId="0" xr:uid="{6F142BB8-58B2-49BD-85D3-37335D3D82D8}">
      <text>
        <r>
          <rPr>
            <b/>
            <sz val="9"/>
            <color indexed="81"/>
            <rFont val="Tahoma"/>
            <charset val="1"/>
          </rPr>
          <t>Reservation Fulvago:
SPO 18-12</t>
        </r>
      </text>
    </comment>
    <comment ref="Y380" authorId="0" shapeId="0" xr:uid="{26A77B41-4C71-486E-8E33-FDCDAC3CFF9D}">
      <text>
        <r>
          <rPr>
            <b/>
            <sz val="9"/>
            <color indexed="81"/>
            <rFont val="Tahoma"/>
            <charset val="1"/>
          </rPr>
          <t>Reservation Fulvago:
SPO 18-12</t>
        </r>
      </text>
    </comment>
    <comment ref="T381" authorId="0" shapeId="0" xr:uid="{D4160BF7-DC13-4ADF-893E-E31CCF1310B6}">
      <text>
        <r>
          <rPr>
            <b/>
            <sz val="9"/>
            <color indexed="81"/>
            <rFont val="Tahoma"/>
            <charset val="1"/>
          </rPr>
          <t xml:space="preserve">Reservation Fulvago:
Full guest name received on 01-01-2026
</t>
        </r>
      </text>
    </comment>
    <comment ref="Y381" authorId="0" shapeId="0" xr:uid="{68975F57-CD18-4443-9FF7-A6FAF9E4EB1C}">
      <text>
        <r>
          <rPr>
            <b/>
            <sz val="9"/>
            <color indexed="81"/>
            <rFont val="Tahoma"/>
            <charset val="1"/>
          </rPr>
          <t xml:space="preserve">Reservation Fulvago:
Contract rate </t>
        </r>
      </text>
    </comment>
    <comment ref="K384" authorId="0" shapeId="0" xr:uid="{39C2632A-89F8-4556-80B1-6DDB18FA68F6}">
      <text>
        <r>
          <rPr>
            <b/>
            <sz val="9"/>
            <color indexed="81"/>
            <rFont val="Tahoma"/>
            <charset val="1"/>
          </rPr>
          <t xml:space="preserve">Reservation Fulvago:
Arrival &amp; C/O date, amended due to situation easyJet  </t>
        </r>
      </text>
    </comment>
    <comment ref="AC384" authorId="0" shapeId="0" xr:uid="{96C5ABBE-A73F-42E7-8DC8-B155C707F0A9}">
      <text>
        <r>
          <rPr>
            <b/>
            <sz val="9"/>
            <color indexed="81"/>
            <rFont val="Tahoma"/>
            <charset val="1"/>
          </rPr>
          <t xml:space="preserve">Reservation Fulvago:
Cancellation Fee To tour operator only asper mail on 05-01 , Free from Hotel </t>
        </r>
      </text>
    </comment>
    <comment ref="Y385" authorId="0" shapeId="0" xr:uid="{82600B9F-0AFC-4206-A81F-FAFDFEA93418}">
      <text>
        <r>
          <rPr>
            <b/>
            <sz val="9"/>
            <color indexed="81"/>
            <rFont val="Tahoma"/>
            <charset val="1"/>
          </rPr>
          <t>Reservation Fulvago:
SPO  19-01</t>
        </r>
      </text>
    </comment>
    <comment ref="Y386" authorId="0" shapeId="0" xr:uid="{E47D53DE-9851-4928-B8A4-D79E0FA8E9FC}">
      <text>
        <r>
          <rPr>
            <b/>
            <sz val="9"/>
            <color indexed="81"/>
            <rFont val="Tahoma"/>
            <charset val="1"/>
          </rPr>
          <t>Reservation Fulvago:
SPO  20-11</t>
        </r>
      </text>
    </comment>
    <comment ref="Y387" authorId="0" shapeId="0" xr:uid="{9D5B672A-60BD-4300-92B5-DD9A97AB28E4}">
      <text>
        <r>
          <rPr>
            <b/>
            <sz val="9"/>
            <color indexed="81"/>
            <rFont val="Tahoma"/>
            <charset val="1"/>
          </rPr>
          <t>Reservation Fulvago:
SPO  30-11</t>
        </r>
      </text>
    </comment>
    <comment ref="Y388" authorId="0" shapeId="0" xr:uid="{A7A38A02-DA87-4C9D-B829-9629389DC9CD}">
      <text>
        <r>
          <rPr>
            <b/>
            <sz val="9"/>
            <color indexed="81"/>
            <rFont val="Tahoma"/>
            <charset val="1"/>
          </rPr>
          <t>Reservation Fulvago:
SPO  30-11</t>
        </r>
      </text>
    </comment>
    <comment ref="Y390" authorId="0" shapeId="0" xr:uid="{BE3FFFF3-0608-4E90-9A70-B506A86263D0}">
      <text>
        <r>
          <rPr>
            <b/>
            <sz val="9"/>
            <color indexed="81"/>
            <rFont val="Tahoma"/>
            <charset val="1"/>
          </rPr>
          <t>Reservation Fulvago:
SPO 08-04</t>
        </r>
      </text>
    </comment>
    <comment ref="AB391" authorId="0" shapeId="0" xr:uid="{1EDE674D-3ACC-46DF-B2EF-58FD8E76B893}">
      <text>
        <r>
          <rPr>
            <b/>
            <sz val="9"/>
            <color indexed="81"/>
            <rFont val="Tahoma"/>
            <charset val="1"/>
          </rPr>
          <t>Reservation Fulvago:
SPO 23-05</t>
        </r>
      </text>
    </comment>
    <comment ref="Y392" authorId="0" shapeId="0" xr:uid="{EDFB36A0-31E1-433F-91C6-D04D75185B54}">
      <text>
        <r>
          <rPr>
            <b/>
            <sz val="9"/>
            <color indexed="81"/>
            <rFont val="Tahoma"/>
            <charset val="1"/>
          </rPr>
          <t>Reservation Fulvago:
SPO 27-12</t>
        </r>
      </text>
    </comment>
    <comment ref="AB393" authorId="0" shapeId="0" xr:uid="{85BA2EC3-49BA-4B8D-9780-8175472FE5BB}">
      <text>
        <r>
          <rPr>
            <b/>
            <sz val="9"/>
            <color indexed="81"/>
            <rFont val="Tahoma"/>
            <charset val="1"/>
          </rPr>
          <t>Reservation Fulvago:
New SPO 29-03</t>
        </r>
      </text>
    </comment>
    <comment ref="Y394" authorId="0" shapeId="0" xr:uid="{66718D8F-91F5-4B72-B953-363AA865D9D9}">
      <text>
        <r>
          <rPr>
            <b/>
            <sz val="9"/>
            <color indexed="81"/>
            <rFont val="Tahoma"/>
            <charset val="1"/>
          </rPr>
          <t>Reservation Fulvago:
SPO  20-12</t>
        </r>
      </text>
    </comment>
    <comment ref="Y395" authorId="0" shapeId="0" xr:uid="{237BB69F-2228-4172-9B83-63BEDC68988D}">
      <text>
        <r>
          <rPr>
            <b/>
            <sz val="9"/>
            <color indexed="81"/>
            <rFont val="Tahoma"/>
            <charset val="1"/>
          </rPr>
          <t>Reservation Fulvago:
SPO  20-12</t>
        </r>
      </text>
    </comment>
    <comment ref="K396" authorId="0" shapeId="0" xr:uid="{09824EC4-C590-468F-8E02-18FA154A48D3}">
      <text>
        <r>
          <rPr>
            <b/>
            <sz val="9"/>
            <color indexed="81"/>
            <rFont val="Tahoma"/>
            <charset val="1"/>
          </rPr>
          <t>Reservation Fulvago:
arrival &amp; check out date amended asper mail on 05-01</t>
        </r>
      </text>
    </comment>
    <comment ref="L396" authorId="0" shapeId="0" xr:uid="{8534E778-4B02-41DC-8AD4-A18BA71591FE}">
      <text>
        <r>
          <rPr>
            <b/>
            <sz val="9"/>
            <color indexed="81"/>
            <rFont val="Tahoma"/>
            <charset val="1"/>
          </rPr>
          <t>Reservation Fulvago:
the extend 2 nights wll be covering by the guest as per mail on 08-01</t>
        </r>
      </text>
    </comment>
    <comment ref="AB397" authorId="0" shapeId="0" xr:uid="{EDB19632-39B3-4758-9B9D-08EF916EFAA6}">
      <text>
        <r>
          <rPr>
            <b/>
            <sz val="9"/>
            <color indexed="81"/>
            <rFont val="Tahoma"/>
            <charset val="1"/>
          </rPr>
          <t>Reservation Fulvago:
The mentioned amount  (966.84 Euro ) asper pre invoice received from the hotel on 23-02
Correct calculation asper contract as below
=65*2.5*0.85*4N+70*2.5*0.85*3N</t>
        </r>
      </text>
    </comment>
    <comment ref="AB398" authorId="0" shapeId="0" xr:uid="{5F2EC5F3-D3F9-4EDB-BF2E-2169851CA824}">
      <text>
        <r>
          <rPr>
            <b/>
            <sz val="9"/>
            <color indexed="81"/>
            <rFont val="Tahoma"/>
            <charset val="1"/>
          </rPr>
          <t>Reservation Fulvago:
SPO 29-12</t>
        </r>
      </text>
    </comment>
    <comment ref="AB399" authorId="0" shapeId="0" xr:uid="{967131EC-F961-4672-807F-1146D6209992}">
      <text>
        <r>
          <rPr>
            <b/>
            <sz val="9"/>
            <color indexed="81"/>
            <rFont val="Tahoma"/>
            <charset val="1"/>
          </rPr>
          <t>Reservation Fulvago:
SPO 01-06</t>
        </r>
      </text>
    </comment>
    <comment ref="AB400" authorId="0" shapeId="0" xr:uid="{CEA9FA49-87BD-4E61-AF3F-6C1DAEE1FF36}">
      <text>
        <r>
          <rPr>
            <b/>
            <sz val="9"/>
            <color indexed="81"/>
            <rFont val="Tahoma"/>
            <charset val="1"/>
          </rPr>
          <t>Reservation Fulvago:
Spo 21-12</t>
        </r>
      </text>
    </comment>
    <comment ref="Y402" authorId="0" shapeId="0" xr:uid="{597C7165-3A10-4C40-868E-FD81C2BDE239}">
      <text>
        <r>
          <rPr>
            <b/>
            <sz val="9"/>
            <color indexed="81"/>
            <rFont val="Tahoma"/>
            <charset val="1"/>
          </rPr>
          <t>Reservation Fulvago:
Spo 18-12</t>
        </r>
      </text>
    </comment>
    <comment ref="AB403" authorId="0" shapeId="0" xr:uid="{33B62143-BEC5-4302-AE9E-5C7D3025E96D}">
      <text>
        <r>
          <rPr>
            <b/>
            <sz val="9"/>
            <color indexed="81"/>
            <rFont val="Tahoma"/>
            <charset val="1"/>
          </rPr>
          <t>Reservation Fulvago:
SPO 02-12</t>
        </r>
      </text>
    </comment>
    <comment ref="AB404" authorId="0" shapeId="0" xr:uid="{2F70C9AC-947B-477D-BC12-5AB102C6421A}">
      <text>
        <r>
          <rPr>
            <b/>
            <sz val="9"/>
            <color indexed="81"/>
            <rFont val="Tahoma"/>
            <charset val="1"/>
          </rPr>
          <t>Reservation Fulvago:
SPO 28-01</t>
        </r>
      </text>
    </comment>
    <comment ref="AB406" authorId="0" shapeId="0" xr:uid="{4E86F8C0-ED58-4ACA-B604-1608A2569772}">
      <text>
        <r>
          <rPr>
            <b/>
            <sz val="9"/>
            <color indexed="81"/>
            <rFont val="Tahoma"/>
            <charset val="1"/>
          </rPr>
          <t>Reservation Fulvago:
SPO 06-01</t>
        </r>
      </text>
    </comment>
    <comment ref="AB407" authorId="0" shapeId="0" xr:uid="{C143784B-9AB0-4109-95C0-1C310EB8361A}">
      <text>
        <r>
          <rPr>
            <b/>
            <sz val="9"/>
            <color indexed="81"/>
            <rFont val="Tahoma"/>
            <charset val="1"/>
          </rPr>
          <t>Reservation Fulvago:
SPO 16-12</t>
        </r>
      </text>
    </comment>
    <comment ref="AB408" authorId="0" shapeId="0" xr:uid="{62DD190D-A281-41A0-A015-2E2B623C6344}">
      <text>
        <r>
          <rPr>
            <b/>
            <sz val="9"/>
            <color indexed="81"/>
            <rFont val="Tahoma"/>
            <charset val="1"/>
          </rPr>
          <t>Reservation Fulvago:
SPO 11-12</t>
        </r>
      </text>
    </comment>
    <comment ref="AB409" authorId="0" shapeId="0" xr:uid="{7DB713EB-0E5D-475E-AAA3-FF3DD00E0AE9}">
      <text>
        <r>
          <rPr>
            <b/>
            <sz val="9"/>
            <color indexed="81"/>
            <rFont val="Tahoma"/>
            <charset val="1"/>
          </rPr>
          <t xml:space="preserve">Reservation Fulvago:
Contrcat rate </t>
        </r>
      </text>
    </comment>
    <comment ref="AF409" authorId="0" shapeId="0" xr:uid="{D47BF437-8DEA-4442-8724-8626634210CA}">
      <text>
        <r>
          <rPr>
            <b/>
            <sz val="9"/>
            <color indexed="81"/>
            <rFont val="Tahoma"/>
            <charset val="1"/>
          </rPr>
          <t>Reservation Fulvago:
option date amended asper mail on 10-01.</t>
        </r>
      </text>
    </comment>
    <comment ref="AB410" authorId="0" shapeId="0" xr:uid="{863A2F07-10F3-45AE-8C3E-9A2E38FDAD9E}">
      <text>
        <r>
          <rPr>
            <b/>
            <sz val="9"/>
            <color indexed="81"/>
            <rFont val="Tahoma"/>
            <charset val="1"/>
          </rPr>
          <t>Reservation Fulvago:
Spo 29-12</t>
        </r>
      </text>
    </comment>
    <comment ref="AB412" authorId="0" shapeId="0" xr:uid="{8E15E4BE-4E3D-444A-B703-2DA312777CC8}">
      <text>
        <r>
          <rPr>
            <b/>
            <sz val="9"/>
            <color indexed="81"/>
            <rFont val="Tahoma"/>
            <charset val="1"/>
          </rPr>
          <t>Reservation Fulvago:
SPO 20-12</t>
        </r>
      </text>
    </comment>
    <comment ref="Y413" authorId="0" shapeId="0" xr:uid="{D54CB34F-5DB9-4C09-9DD4-E507F30290AF}">
      <text>
        <r>
          <rPr>
            <b/>
            <sz val="9"/>
            <color indexed="81"/>
            <rFont val="Tahoma"/>
            <charset val="1"/>
          </rPr>
          <t>Reservation Fulvago:
Contract Rate +SPO 18-12</t>
        </r>
      </text>
    </comment>
    <comment ref="Y414" authorId="0" shapeId="0" xr:uid="{27C7A9B8-49F1-4F4D-BFE8-AFFEAF8557D8}">
      <text>
        <r>
          <rPr>
            <b/>
            <sz val="9"/>
            <color indexed="81"/>
            <rFont val="Tahoma"/>
            <charset val="1"/>
          </rPr>
          <t>Reservation Fulvago:
SPO 06-01</t>
        </r>
      </text>
    </comment>
    <comment ref="AB415" authorId="0" shapeId="0" xr:uid="{A5AD82D0-6375-41F1-8B6C-905BEC2F316C}">
      <text>
        <r>
          <rPr>
            <b/>
            <sz val="9"/>
            <color indexed="81"/>
            <rFont val="Tahoma"/>
            <charset val="1"/>
          </rPr>
          <t>Reservation Fulvago:
SPO 29-12</t>
        </r>
      </text>
    </comment>
    <comment ref="AB417" authorId="0" shapeId="0" xr:uid="{F475D18B-13D9-4CE2-B3A8-BDE8A47514D2}">
      <text>
        <r>
          <rPr>
            <b/>
            <sz val="9"/>
            <color indexed="81"/>
            <rFont val="Tahoma"/>
            <charset val="1"/>
          </rPr>
          <t>Reservation Fulvago:
SPO 25-011</t>
        </r>
      </text>
    </comment>
    <comment ref="Y418" authorId="0" shapeId="0" xr:uid="{C3060771-BB7E-4518-BFE8-8272F599576C}">
      <text>
        <r>
          <rPr>
            <b/>
            <sz val="9"/>
            <color indexed="81"/>
            <rFont val="Tahoma"/>
            <charset val="1"/>
          </rPr>
          <t>Reservation Fulvago:
Spo 10-01-2026</t>
        </r>
      </text>
    </comment>
    <comment ref="AB419" authorId="0" shapeId="0" xr:uid="{029FE221-6060-4051-8C49-A27054B20133}">
      <text>
        <r>
          <rPr>
            <b/>
            <sz val="9"/>
            <color indexed="81"/>
            <rFont val="Tahoma"/>
            <charset val="1"/>
          </rPr>
          <t>Reservation Fulvago:
SPO 11-01</t>
        </r>
      </text>
    </comment>
    <comment ref="AB420" authorId="0" shapeId="0" xr:uid="{5B0DECDA-52F3-4310-BFEC-539585BEA70C}">
      <text>
        <r>
          <rPr>
            <b/>
            <sz val="9"/>
            <color indexed="81"/>
            <rFont val="Tahoma"/>
            <charset val="1"/>
          </rPr>
          <t>Reservation Fulvago:
SPO 11-01</t>
        </r>
      </text>
    </comment>
    <comment ref="AB422" authorId="0" shapeId="0" xr:uid="{5906F396-89B2-4165-9313-A666074BC5C6}">
      <text>
        <r>
          <rPr>
            <b/>
            <sz val="9"/>
            <color indexed="81"/>
            <rFont val="Tahoma"/>
            <charset val="1"/>
          </rPr>
          <t>Reservation Fulvago:
SPO 11-01</t>
        </r>
      </text>
    </comment>
    <comment ref="AB423" authorId="0" shapeId="0" xr:uid="{3D27F5DD-1771-4C24-85B7-A25F4413410B}">
      <text>
        <r>
          <rPr>
            <b/>
            <sz val="9"/>
            <color indexed="81"/>
            <rFont val="Tahoma"/>
            <charset val="1"/>
          </rPr>
          <t xml:space="preserve">Reservation Fulvago:
Contract E.B </t>
        </r>
      </text>
    </comment>
    <comment ref="Y424" authorId="0" shapeId="0" xr:uid="{1D1D59DF-EA80-488C-8BF2-429420C6B2CB}">
      <text>
        <r>
          <rPr>
            <b/>
            <sz val="9"/>
            <color indexed="81"/>
            <rFont val="Tahoma"/>
            <charset val="1"/>
          </rPr>
          <t>Reservation Fulvago:
SPO 25-11</t>
        </r>
      </text>
    </comment>
    <comment ref="AB425" authorId="0" shapeId="0" xr:uid="{4D5993C0-A341-4C06-ABB6-3790DDC3C56E}">
      <text>
        <r>
          <rPr>
            <b/>
            <sz val="9"/>
            <color indexed="81"/>
            <rFont val="Tahoma"/>
            <charset val="1"/>
          </rPr>
          <t>Reservation Fulvago:
SPO 25-11</t>
        </r>
      </text>
    </comment>
    <comment ref="AB426" authorId="0" shapeId="0" xr:uid="{1CA2332E-78D2-40A0-A751-2570E35BAA8D}">
      <text>
        <r>
          <rPr>
            <b/>
            <sz val="9"/>
            <color indexed="81"/>
            <rFont val="Tahoma"/>
            <charset val="1"/>
          </rPr>
          <t xml:space="preserve">Reservation Fulvago:
Contract E.B </t>
        </r>
      </text>
    </comment>
    <comment ref="AB427" authorId="0" shapeId="0" xr:uid="{DDCC60D2-97F9-4507-9444-E499069845AB}">
      <text>
        <r>
          <rPr>
            <b/>
            <sz val="9"/>
            <color indexed="81"/>
            <rFont val="Tahoma"/>
            <charset val="1"/>
          </rPr>
          <t>Reservation Fulvago:
SPO 11-01</t>
        </r>
      </text>
    </comment>
    <comment ref="AB428" authorId="0" shapeId="0" xr:uid="{7A2CFF9D-48A9-45B5-B169-234B31DD85FA}">
      <text>
        <r>
          <rPr>
            <b/>
            <sz val="9"/>
            <color indexed="81"/>
            <rFont val="Tahoma"/>
            <charset val="1"/>
          </rPr>
          <t xml:space="preserve">Reservation Fulvago:
This calculation asper booking confirmed with the hotel according to the SPO Extended </t>
        </r>
      </text>
    </comment>
    <comment ref="AB429" authorId="0" shapeId="0" xr:uid="{FFCE5064-9006-4151-9422-3DA614A79ABA}">
      <text>
        <r>
          <rPr>
            <b/>
            <sz val="9"/>
            <color indexed="81"/>
            <rFont val="Tahoma"/>
            <charset val="1"/>
          </rPr>
          <t>Reservation Fulvago:
SPO 11-01</t>
        </r>
      </text>
    </comment>
    <comment ref="AC429" authorId="0" shapeId="0" xr:uid="{9C965891-028E-419A-BB78-DDB2645687AB}">
      <text>
        <r>
          <rPr>
            <b/>
            <sz val="9"/>
            <color indexed="81"/>
            <rFont val="Tahoma"/>
            <charset val="1"/>
          </rPr>
          <t>Reservation Fulvago:
25% Cancellation Fee asper mail on 08-03</t>
        </r>
      </text>
    </comment>
    <comment ref="AB430" authorId="0" shapeId="0" xr:uid="{2354BA97-A92E-42C5-A099-97393D3AF993}">
      <text>
        <r>
          <rPr>
            <b/>
            <sz val="9"/>
            <color indexed="81"/>
            <rFont val="Tahoma"/>
            <charset val="1"/>
          </rPr>
          <t>Reservation Fulvago:
SPO 11-01</t>
        </r>
      </text>
    </comment>
    <comment ref="Y431" authorId="0" shapeId="0" xr:uid="{0E101B17-653B-4A80-B22C-5637A71D3926}">
      <text>
        <r>
          <rPr>
            <b/>
            <sz val="9"/>
            <color indexed="81"/>
            <rFont val="Tahoma"/>
            <charset val="1"/>
          </rPr>
          <t>Reservation Fulvago:
SPO 06-01</t>
        </r>
      </text>
    </comment>
    <comment ref="AB432" authorId="0" shapeId="0" xr:uid="{1AAAAE9B-26FD-4207-8AD1-AC9F440C0683}">
      <text>
        <r>
          <rPr>
            <b/>
            <sz val="9"/>
            <color indexed="81"/>
            <rFont val="Tahoma"/>
            <charset val="1"/>
          </rPr>
          <t>Reservation Fulvago:
SPO 11-01</t>
        </r>
      </text>
    </comment>
    <comment ref="AB433" authorId="0" shapeId="0" xr:uid="{9D36F53B-E1D2-416A-9A8B-DB65883BFCA7}">
      <text>
        <r>
          <rPr>
            <b/>
            <sz val="9"/>
            <color indexed="81"/>
            <rFont val="Tahoma"/>
            <charset val="1"/>
          </rPr>
          <t xml:space="preserve">Reservation Fulvago:
Contrcat E.B </t>
        </r>
      </text>
    </comment>
    <comment ref="J434" authorId="0" shapeId="0" xr:uid="{61BD3C9B-BC25-4AB3-971D-2134D282329F}">
      <text>
        <r>
          <rPr>
            <b/>
            <sz val="9"/>
            <color indexed="81"/>
            <rFont val="Tahoma"/>
            <charset val="1"/>
          </rPr>
          <t xml:space="preserve">Reservation Fulvago:
Original Booking 
STD Room </t>
        </r>
      </text>
    </comment>
    <comment ref="Y434" authorId="0" shapeId="0" xr:uid="{EEE5100C-764F-43E8-B47C-6DFCE062AF9E}">
      <text>
        <r>
          <rPr>
            <b/>
            <sz val="9"/>
            <color indexed="81"/>
            <rFont val="Tahoma"/>
            <charset val="1"/>
          </rPr>
          <t xml:space="preserve">Reservation Fulvago:
Contrcat E.B </t>
        </r>
      </text>
    </comment>
    <comment ref="AB435" authorId="0" shapeId="0" xr:uid="{96C8525C-AC97-44E1-A959-42C6CB7CE892}">
      <text>
        <r>
          <rPr>
            <b/>
            <sz val="9"/>
            <color indexed="81"/>
            <rFont val="Tahoma"/>
            <charset val="1"/>
          </rPr>
          <t>Reservation Fulvago:
SPO 11-01</t>
        </r>
      </text>
    </comment>
    <comment ref="AB438" authorId="0" shapeId="0" xr:uid="{387B673E-0E5F-4B32-BA67-FD7D198918FB}">
      <text>
        <r>
          <rPr>
            <b/>
            <sz val="9"/>
            <color indexed="81"/>
            <rFont val="Tahoma"/>
            <charset val="1"/>
          </rPr>
          <t xml:space="preserve">Reservation Fulvago:
Contract E.B </t>
        </r>
      </text>
    </comment>
    <comment ref="AB439" authorId="0" shapeId="0" xr:uid="{04EE5CAB-8A07-4D0D-9436-F76FEDBCA21F}">
      <text>
        <r>
          <rPr>
            <b/>
            <sz val="9"/>
            <color indexed="81"/>
            <rFont val="Tahoma"/>
            <charset val="1"/>
          </rPr>
          <t>Reservation Fulvago:
SPO 11-01</t>
        </r>
      </text>
    </comment>
    <comment ref="AB440" authorId="0" shapeId="0" xr:uid="{64D2D95D-34F9-4740-B0EE-9B3AAC90FCA1}">
      <text>
        <r>
          <rPr>
            <b/>
            <sz val="9"/>
            <color indexed="81"/>
            <rFont val="Tahoma"/>
            <charset val="1"/>
          </rPr>
          <t xml:space="preserve">Reservation Fulvago:
SPO 11-01 </t>
        </r>
      </text>
    </comment>
    <comment ref="AB441" authorId="0" shapeId="0" xr:uid="{C1643E1B-A884-42BD-903D-5E95A2B1E492}">
      <text>
        <r>
          <rPr>
            <b/>
            <sz val="9"/>
            <color indexed="81"/>
            <rFont val="Tahoma"/>
            <charset val="1"/>
          </rPr>
          <t xml:space="preserve">Reservation Fulvago:
Contrcat  rate </t>
        </r>
      </text>
    </comment>
    <comment ref="AB442" authorId="0" shapeId="0" xr:uid="{13C160BD-4290-4CA1-AB3B-37FA5CF80E15}">
      <text>
        <r>
          <rPr>
            <b/>
            <sz val="9"/>
            <color indexed="81"/>
            <rFont val="Tahoma"/>
            <charset val="1"/>
          </rPr>
          <t>Reservation Fulvago:
SPO 11-01</t>
        </r>
      </text>
    </comment>
    <comment ref="Y443" authorId="0" shapeId="0" xr:uid="{50C0A128-1EA7-46C9-A97B-9500E8BCA408}">
      <text>
        <r>
          <rPr>
            <b/>
            <sz val="9"/>
            <color indexed="81"/>
            <rFont val="Tahoma"/>
            <charset val="1"/>
          </rPr>
          <t>Reservation Fulvago:
SPO 12-12</t>
        </r>
      </text>
    </comment>
    <comment ref="AB444" authorId="0" shapeId="0" xr:uid="{F7A61716-21E7-410F-8967-E81029D234D6}">
      <text>
        <r>
          <rPr>
            <b/>
            <sz val="9"/>
            <color indexed="81"/>
            <rFont val="Tahoma"/>
            <charset val="1"/>
          </rPr>
          <t>Reservation Fulvago:
SPO 31-01</t>
        </r>
      </text>
    </comment>
    <comment ref="AB445" authorId="0" shapeId="0" xr:uid="{FDB92BEF-2153-4540-9E82-94DC1BB87BFF}">
      <text>
        <r>
          <rPr>
            <b/>
            <sz val="9"/>
            <color indexed="81"/>
            <rFont val="Tahoma"/>
            <charset val="1"/>
          </rPr>
          <t xml:space="preserve">Reservation Fulvago:
SPO 11-01 For W&amp; SPO 10-01 For S
Calculation as below :
50 *1.50 +5 PV Supp + 85*1.50+5PV Supp -25% Disc for S, </t>
        </r>
      </text>
    </comment>
    <comment ref="Y446" authorId="0" shapeId="0" xr:uid="{CD7A72C0-144E-4356-B557-D5C7E36696D8}">
      <text>
        <r>
          <rPr>
            <b/>
            <sz val="9"/>
            <color indexed="81"/>
            <rFont val="Tahoma"/>
            <charset val="1"/>
          </rPr>
          <t>Reservation Fulvago:
SPO 11-01</t>
        </r>
      </text>
    </comment>
    <comment ref="AB447" authorId="0" shapeId="0" xr:uid="{FE677347-D8C8-4855-9AE1-750EF81734C9}">
      <text>
        <r>
          <rPr>
            <b/>
            <sz val="9"/>
            <color indexed="81"/>
            <rFont val="Tahoma"/>
            <charset val="1"/>
          </rPr>
          <t>Reservation Fulvago:
Confirmed less 2 EuroPP asper mail on 17-01</t>
        </r>
      </text>
    </comment>
    <comment ref="Y449" authorId="0" shapeId="0" xr:uid="{0E2CA513-364D-4702-AF3A-6647E6BA1798}">
      <text>
        <r>
          <rPr>
            <b/>
            <sz val="9"/>
            <color indexed="81"/>
            <rFont val="Tahoma"/>
            <charset val="1"/>
          </rPr>
          <t>Reservation Fulvago:
SPO 10-01</t>
        </r>
      </text>
    </comment>
    <comment ref="AB451" authorId="0" shapeId="0" xr:uid="{31391BD5-7252-4394-8EB0-9B44BF4429B6}">
      <text>
        <r>
          <rPr>
            <b/>
            <sz val="9"/>
            <color indexed="81"/>
            <rFont val="Tahoma"/>
            <charset val="1"/>
          </rPr>
          <t xml:space="preserve">Reservation Fulvago:
Contract Rate </t>
        </r>
      </text>
    </comment>
    <comment ref="Y453" authorId="0" shapeId="0" xr:uid="{5B2096A9-F78D-4F0C-834C-E0607D0696FC}">
      <text>
        <r>
          <rPr>
            <b/>
            <sz val="9"/>
            <color indexed="81"/>
            <rFont val="Tahoma"/>
            <charset val="1"/>
          </rPr>
          <t>Reservation Fulvago:
SPO 06-01</t>
        </r>
      </text>
    </comment>
    <comment ref="Y454" authorId="0" shapeId="0" xr:uid="{49DAEF32-ACC7-4B3A-934A-E0B33AA03215}">
      <text>
        <r>
          <rPr>
            <b/>
            <sz val="9"/>
            <color indexed="81"/>
            <rFont val="Tahoma"/>
            <charset val="1"/>
          </rPr>
          <t>Reservation Fulvago:
SPO 06-01</t>
        </r>
      </text>
    </comment>
    <comment ref="AB456" authorId="0" shapeId="0" xr:uid="{027BB3DB-CD22-45EA-8A70-71B3DB902DCF}">
      <text>
        <r>
          <rPr>
            <b/>
            <sz val="9"/>
            <color indexed="81"/>
            <rFont val="Tahoma"/>
            <charset val="1"/>
          </rPr>
          <t>Reservation Fulvago:
SPO 11-01</t>
        </r>
      </text>
    </comment>
    <comment ref="AB457" authorId="0" shapeId="0" xr:uid="{D0564468-3930-4810-AAD9-BBF2D646D4D7}">
      <text>
        <r>
          <rPr>
            <b/>
            <sz val="9"/>
            <color indexed="81"/>
            <rFont val="Tahoma"/>
            <charset val="1"/>
          </rPr>
          <t xml:space="preserve">Reservation Fulvago:
Contract E.B </t>
        </r>
      </text>
    </comment>
    <comment ref="AB458" authorId="0" shapeId="0" xr:uid="{2ECDCBDA-FBEC-42E9-893B-D62BEAA016B7}">
      <text>
        <r>
          <rPr>
            <b/>
            <sz val="9"/>
            <color indexed="81"/>
            <rFont val="Tahoma"/>
            <charset val="1"/>
          </rPr>
          <t>Reservation Fulvago:
Spo 11-01</t>
        </r>
      </text>
    </comment>
    <comment ref="AB459" authorId="0" shapeId="0" xr:uid="{68D9C2BC-6F1D-49FE-9339-03121A0D8006}">
      <text>
        <r>
          <rPr>
            <b/>
            <sz val="9"/>
            <color indexed="81"/>
            <rFont val="Tahoma"/>
            <charset val="1"/>
          </rPr>
          <t>Reservation Fulvago:
Spo 11-01</t>
        </r>
      </text>
    </comment>
    <comment ref="J460" authorId="0" shapeId="0" xr:uid="{F6F383CB-CC2A-489A-AB06-08E5EC10DEAF}">
      <text>
        <r>
          <rPr>
            <b/>
            <sz val="9"/>
            <color indexed="81"/>
            <rFont val="Tahoma"/>
            <charset val="1"/>
          </rPr>
          <t xml:space="preserve">Reservation Fulvago:
Original room type
STANDARD ROOM  </t>
        </r>
      </text>
    </comment>
    <comment ref="AB460" authorId="0" shapeId="0" xr:uid="{00E0901D-9C01-492B-8774-7691996B83C7}">
      <text>
        <r>
          <rPr>
            <b/>
            <sz val="9"/>
            <color indexed="81"/>
            <rFont val="Tahoma"/>
            <charset val="1"/>
          </rPr>
          <t xml:space="preserve">Reservation Fulvago:
SPO </t>
        </r>
      </text>
    </comment>
    <comment ref="AB461" authorId="0" shapeId="0" xr:uid="{92165A72-73FD-4369-8F56-7EB801533625}">
      <text>
        <r>
          <rPr>
            <b/>
            <sz val="9"/>
            <color indexed="81"/>
            <rFont val="Tahoma"/>
            <charset val="1"/>
          </rPr>
          <t>Reservation Fulvago:
SPO 11-01</t>
        </r>
      </text>
    </comment>
    <comment ref="AB462" authorId="0" shapeId="0" xr:uid="{19D5D369-C778-42F5-83AF-4C785B185B07}">
      <text>
        <r>
          <rPr>
            <b/>
            <sz val="9"/>
            <color indexed="81"/>
            <rFont val="Tahoma"/>
            <charset val="1"/>
          </rPr>
          <t>Reservation Fulvago:
SPO 11-01</t>
        </r>
      </text>
    </comment>
    <comment ref="AB463" authorId="0" shapeId="0" xr:uid="{42EFE662-43BC-453D-BF44-6DDFDE1545CA}">
      <text>
        <r>
          <rPr>
            <b/>
            <sz val="9"/>
            <color indexed="81"/>
            <rFont val="Tahoma"/>
            <charset val="1"/>
          </rPr>
          <t>Reservation Fulvago:
SPO 11-01</t>
        </r>
      </text>
    </comment>
    <comment ref="AB464" authorId="0" shapeId="0" xr:uid="{C06F6516-AE24-4F92-A81F-9D04978E542C}">
      <text>
        <r>
          <rPr>
            <b/>
            <sz val="9"/>
            <color indexed="81"/>
            <rFont val="Tahoma"/>
            <charset val="1"/>
          </rPr>
          <t>Reservation Fulvago:
SPO 11-01</t>
        </r>
      </text>
    </comment>
    <comment ref="AB465" authorId="0" shapeId="0" xr:uid="{BEB934F5-794C-4510-B458-43FC38A453F7}">
      <text>
        <r>
          <rPr>
            <b/>
            <sz val="9"/>
            <color indexed="81"/>
            <rFont val="Tahoma"/>
            <charset val="1"/>
          </rPr>
          <t>Reservation Fulvago:
SPO 11-01</t>
        </r>
      </text>
    </comment>
    <comment ref="AB466" authorId="0" shapeId="0" xr:uid="{4D621A1C-4F06-4269-AE1A-7101C14A3A0F}">
      <text>
        <r>
          <rPr>
            <b/>
            <sz val="9"/>
            <color indexed="81"/>
            <rFont val="Tahoma"/>
            <charset val="1"/>
          </rPr>
          <t>Reservation Fulvago:
SPO 18-01</t>
        </r>
      </text>
    </comment>
    <comment ref="AB467" authorId="0" shapeId="0" xr:uid="{AFCBE4F7-A645-4557-93F5-70EEFA79BA61}">
      <text>
        <r>
          <rPr>
            <b/>
            <sz val="9"/>
            <color indexed="81"/>
            <rFont val="Tahoma"/>
            <charset val="1"/>
          </rPr>
          <t>Reservation Fulvago:
SPO 18-01</t>
        </r>
      </text>
    </comment>
    <comment ref="AB468" authorId="0" shapeId="0" xr:uid="{7A425516-15EC-4F7E-BF9D-AFBF900971A2}">
      <text>
        <r>
          <rPr>
            <b/>
            <sz val="9"/>
            <color indexed="81"/>
            <rFont val="Tahoma"/>
            <charset val="1"/>
          </rPr>
          <t>Reservation Fulvago:
SPO 11-01</t>
        </r>
      </text>
    </comment>
    <comment ref="AB469" authorId="0" shapeId="0" xr:uid="{64FA0AD4-F65B-483E-9F20-D2525A733931}">
      <text>
        <r>
          <rPr>
            <b/>
            <sz val="9"/>
            <color indexed="81"/>
            <rFont val="Tahoma"/>
            <charset val="1"/>
          </rPr>
          <t>Reservation Fulvago:
SPO 11-01</t>
        </r>
      </text>
    </comment>
    <comment ref="AB470" authorId="0" shapeId="0" xr:uid="{786702C6-7B74-4D49-ADC3-AFE1D3734883}">
      <text>
        <r>
          <rPr>
            <b/>
            <sz val="9"/>
            <color indexed="81"/>
            <rFont val="Tahoma"/>
            <charset val="1"/>
          </rPr>
          <t>Reservation Fulvago:
SPO 11-01</t>
        </r>
      </text>
    </comment>
    <comment ref="AB471" authorId="0" shapeId="0" xr:uid="{299EA07F-2094-4817-B221-9A48A1F8FA94}">
      <text>
        <r>
          <rPr>
            <b/>
            <sz val="9"/>
            <color indexed="81"/>
            <rFont val="Tahoma"/>
            <charset val="1"/>
          </rPr>
          <t>Reservation Fulvago:
SPO 11-01</t>
        </r>
      </text>
    </comment>
    <comment ref="AB472" authorId="0" shapeId="0" xr:uid="{66761BC1-F05C-4189-A30A-6601B2EAA511}">
      <text>
        <r>
          <rPr>
            <b/>
            <sz val="9"/>
            <color indexed="81"/>
            <rFont val="Tahoma"/>
            <charset val="1"/>
          </rPr>
          <t>Reservation Fulvago:
SPO 11-01</t>
        </r>
      </text>
    </comment>
    <comment ref="AB475" authorId="0" shapeId="0" xr:uid="{1C8664F2-4ECE-4652-BC0F-BB067A90FECA}">
      <text>
        <r>
          <rPr>
            <b/>
            <sz val="9"/>
            <color indexed="81"/>
            <rFont val="Tahoma"/>
            <charset val="1"/>
          </rPr>
          <t>Reservation Fulvago:
SPO 18-01</t>
        </r>
      </text>
    </comment>
    <comment ref="AB476" authorId="0" shapeId="0" xr:uid="{E46F3BE1-18A6-49FC-ADC5-45C7886D5A6A}">
      <text>
        <r>
          <rPr>
            <b/>
            <sz val="9"/>
            <color indexed="81"/>
            <rFont val="Tahoma"/>
            <charset val="1"/>
          </rPr>
          <t>Reservation Fulvago:
SPO 11-01</t>
        </r>
      </text>
    </comment>
    <comment ref="F477" authorId="0" shapeId="0" xr:uid="{F5CFA01E-65C0-44A4-9137-882B3AAE8930}">
      <text>
        <r>
          <rPr>
            <b/>
            <sz val="9"/>
            <color indexed="81"/>
            <rFont val="Tahoma"/>
            <charset val="1"/>
          </rPr>
          <t xml:space="preserve">Reservation Fulvago:
This guest canceled the original booking 17275952 and booked new booking with total 1016, as per mail sent to operator regarding change guest name </t>
        </r>
      </text>
    </comment>
    <comment ref="T477" authorId="0" shapeId="0" xr:uid="{BCF1677C-D29C-4ADF-9072-8E6E799F71D7}">
      <text>
        <r>
          <rPr>
            <b/>
            <sz val="9"/>
            <color indexed="81"/>
            <rFont val="Tahoma"/>
            <charset val="1"/>
          </rPr>
          <t>Reservation Fulvago:
Accompany name changed asper mail on 19-02</t>
        </r>
      </text>
    </comment>
    <comment ref="AB477" authorId="0" shapeId="0" xr:uid="{64B349EE-347B-4A21-98EB-C8B3E00A581A}">
      <text>
        <r>
          <rPr>
            <b/>
            <sz val="9"/>
            <color indexed="81"/>
            <rFont val="Tahoma"/>
            <charset val="1"/>
          </rPr>
          <t>Reservation Fulvago:
New SPO 29-03</t>
        </r>
      </text>
    </comment>
    <comment ref="AC477" authorId="0" shapeId="0" xr:uid="{3D2AE457-F60F-4B1B-8AA8-F4DC4E3506B3}">
      <text>
        <r>
          <rPr>
            <b/>
            <sz val="9"/>
            <color indexed="81"/>
            <rFont val="Tahoma"/>
            <charset val="1"/>
          </rPr>
          <t>Reservation Fulvago:
New total amount asper new boking received on 23-02 
Ref N 17365548</t>
        </r>
      </text>
    </comment>
    <comment ref="Y478" authorId="0" shapeId="0" xr:uid="{6B42B3B0-10A2-4A58-817C-A9CAA9EE5843}">
      <text>
        <r>
          <rPr>
            <b/>
            <sz val="9"/>
            <color indexed="81"/>
            <rFont val="Tahoma"/>
            <charset val="1"/>
          </rPr>
          <t xml:space="preserve">Reservation Fulvago:
Contract E.B </t>
        </r>
      </text>
    </comment>
    <comment ref="AB479" authorId="0" shapeId="0" xr:uid="{01224CA4-DC46-4EE5-9EF3-69C2149F0D00}">
      <text>
        <r>
          <rPr>
            <b/>
            <sz val="9"/>
            <color indexed="81"/>
            <rFont val="Tahoma"/>
            <charset val="1"/>
          </rPr>
          <t>Reservation Fulvago:
SPO 30-11</t>
        </r>
      </text>
    </comment>
    <comment ref="AB482" authorId="0" shapeId="0" xr:uid="{143C54CA-58ED-4749-8CCC-BB02B78E9A94}">
      <text>
        <r>
          <rPr>
            <b/>
            <sz val="9"/>
            <color indexed="81"/>
            <rFont val="Tahoma"/>
            <charset val="1"/>
          </rPr>
          <t>Reservation Fulvago:
Spo 11-01</t>
        </r>
      </text>
    </comment>
    <comment ref="AB483" authorId="0" shapeId="0" xr:uid="{75835527-BB53-473A-9B41-BD921571D932}">
      <text>
        <r>
          <rPr>
            <b/>
            <sz val="9"/>
            <color indexed="81"/>
            <rFont val="Tahoma"/>
            <charset val="1"/>
          </rPr>
          <t xml:space="preserve">Reservation Fulvago:
Contract E.B </t>
        </r>
      </text>
    </comment>
    <comment ref="AB484" authorId="0" shapeId="0" xr:uid="{38D418D7-29D3-4E8F-8F7A-408FA6B6C46B}">
      <text>
        <r>
          <rPr>
            <b/>
            <sz val="9"/>
            <color indexed="81"/>
            <rFont val="Tahoma"/>
            <charset val="1"/>
          </rPr>
          <t xml:space="preserve">Reservation Fulvago:
Contract E.B </t>
        </r>
      </text>
    </comment>
    <comment ref="AB485" authorId="0" shapeId="0" xr:uid="{268FD535-3915-4271-ADB6-2597981B1F60}">
      <text>
        <r>
          <rPr>
            <b/>
            <sz val="9"/>
            <color indexed="81"/>
            <rFont val="Tahoma"/>
            <charset val="1"/>
          </rPr>
          <t>Reservation Fulvago:
SPO 11-1</t>
        </r>
      </text>
    </comment>
    <comment ref="Y487" authorId="0" shapeId="0" xr:uid="{53F5FD6D-53E9-411E-9E13-7CCE4920CBC3}">
      <text>
        <r>
          <rPr>
            <b/>
            <sz val="9"/>
            <color indexed="81"/>
            <rFont val="Tahoma"/>
            <charset val="1"/>
          </rPr>
          <t>Reservation Fulvago:
spo 22-01</t>
        </r>
      </text>
    </comment>
    <comment ref="AB488" authorId="0" shapeId="0" xr:uid="{3A693E60-6D2C-4589-9B46-A7BC1EFD5EB6}">
      <text>
        <r>
          <rPr>
            <b/>
            <sz val="9"/>
            <color indexed="81"/>
            <rFont val="Tahoma"/>
            <charset val="1"/>
          </rPr>
          <t>Reservation Fulvago:
SPO 11-01</t>
        </r>
      </text>
    </comment>
    <comment ref="Y489" authorId="0" shapeId="0" xr:uid="{A05613AA-C792-488B-807D-81AED2FB9051}">
      <text>
        <r>
          <rPr>
            <b/>
            <sz val="9"/>
            <color indexed="81"/>
            <rFont val="Tahoma"/>
            <charset val="1"/>
          </rPr>
          <t>Reservation Fulvago:
SPO 14-01</t>
        </r>
      </text>
    </comment>
    <comment ref="AB490" authorId="0" shapeId="0" xr:uid="{C5F32761-4907-4A5D-A64D-F16726584A88}">
      <text>
        <r>
          <rPr>
            <b/>
            <sz val="9"/>
            <color indexed="81"/>
            <rFont val="Tahoma"/>
            <charset val="1"/>
          </rPr>
          <t>Reservation Fulvago:
Confirmed with rate 46 Euro per single room per night asper mail on 02-02</t>
        </r>
      </text>
    </comment>
    <comment ref="AB491" authorId="0" shapeId="0" xr:uid="{B090CC5F-B508-4595-92F7-4D1B9E7F2981}">
      <text>
        <r>
          <rPr>
            <b/>
            <sz val="9"/>
            <color indexed="81"/>
            <rFont val="Tahoma"/>
            <charset val="1"/>
          </rPr>
          <t xml:space="preserve">Reservation Fulvago:
SPO 23-03 </t>
        </r>
      </text>
    </comment>
    <comment ref="AB492" authorId="0" shapeId="0" xr:uid="{AE1DEB3E-9246-4987-9C25-5EAE4334A39B}">
      <text>
        <r>
          <rPr>
            <b/>
            <sz val="9"/>
            <color indexed="81"/>
            <rFont val="Tahoma"/>
            <charset val="1"/>
          </rPr>
          <t>Reservation Fulvago:
SPO 11-01</t>
        </r>
      </text>
    </comment>
    <comment ref="AB493" authorId="0" shapeId="0" xr:uid="{38D95232-2329-4B4F-9988-5213EABC7B5C}">
      <text>
        <r>
          <rPr>
            <b/>
            <sz val="9"/>
            <color indexed="81"/>
            <rFont val="Tahoma"/>
            <charset val="1"/>
          </rPr>
          <t>Reservation Fulvago:
New SPO 29-03</t>
        </r>
      </text>
    </comment>
    <comment ref="AB495" authorId="0" shapeId="0" xr:uid="{574F72F7-181B-4AF0-9761-142E506E6E5B}">
      <text>
        <r>
          <rPr>
            <b/>
            <sz val="9"/>
            <color indexed="81"/>
            <rFont val="Tahoma"/>
            <charset val="1"/>
          </rPr>
          <t>Reservation Fulvago:
SPO 29-01</t>
        </r>
      </text>
    </comment>
    <comment ref="Y498" authorId="0" shapeId="0" xr:uid="{4FD437E8-073D-4A3E-9C7A-91733BAE07AB}">
      <text>
        <r>
          <rPr>
            <b/>
            <sz val="9"/>
            <color indexed="81"/>
            <rFont val="Tahoma"/>
            <charset val="1"/>
          </rPr>
          <t>Reservation Fulvago:
New SPO 29-03</t>
        </r>
      </text>
    </comment>
    <comment ref="AB499" authorId="0" shapeId="0" xr:uid="{2BAD71EA-440E-49A5-9D1E-01ADED18D7E3}">
      <text>
        <r>
          <rPr>
            <b/>
            <sz val="9"/>
            <color indexed="81"/>
            <rFont val="Tahoma"/>
            <charset val="1"/>
          </rPr>
          <t>Reservation Fulvago:
Confirmed asper mail on 02-02</t>
        </r>
      </text>
    </comment>
    <comment ref="AB500" authorId="0" shapeId="0" xr:uid="{75D1A286-75A0-4EE0-A8C0-219E202C4737}">
      <text>
        <r>
          <rPr>
            <b/>
            <sz val="9"/>
            <color indexed="81"/>
            <rFont val="Tahoma"/>
            <charset val="1"/>
          </rPr>
          <t xml:space="preserve">Reservation Fulvago:
Contract E.B </t>
        </r>
      </text>
    </comment>
    <comment ref="AB501" authorId="0" shapeId="0" xr:uid="{9F81825F-266A-4499-8D57-B508081319A7}">
      <text>
        <r>
          <rPr>
            <b/>
            <sz val="9"/>
            <color indexed="81"/>
            <rFont val="Tahoma"/>
            <charset val="1"/>
          </rPr>
          <t>Reservation Fulvago:
SPO 11-01</t>
        </r>
      </text>
    </comment>
    <comment ref="AB502" authorId="0" shapeId="0" xr:uid="{BF478BC4-8B87-44BB-9492-CDA66CDD5158}">
      <text>
        <r>
          <rPr>
            <b/>
            <sz val="9"/>
            <color indexed="81"/>
            <rFont val="Tahoma"/>
            <charset val="1"/>
          </rPr>
          <t>Reservation Fulvago:
Confirmed asper SPO 20-01</t>
        </r>
      </text>
    </comment>
    <comment ref="AB503" authorId="0" shapeId="0" xr:uid="{EA2F1ADD-E424-48A2-89F2-E236BD27DEB5}">
      <text>
        <r>
          <rPr>
            <b/>
            <sz val="9"/>
            <color indexed="81"/>
            <rFont val="Tahoma"/>
            <charset val="1"/>
          </rPr>
          <t xml:space="preserve">Reservation Fulvago:
Contract E.B </t>
        </r>
      </text>
    </comment>
    <comment ref="AB504" authorId="0" shapeId="0" xr:uid="{0C6CFFCB-BE9E-4D87-814B-FC730FB6B42F}">
      <text>
        <r>
          <rPr>
            <b/>
            <sz val="9"/>
            <color indexed="81"/>
            <rFont val="Tahoma"/>
            <charset val="1"/>
          </rPr>
          <t>Reservation Fulvago:
New SPO 29-03</t>
        </r>
      </text>
    </comment>
    <comment ref="Y505" authorId="0" shapeId="0" xr:uid="{7CFF7EC4-36B7-4F9B-81FA-E265266CBB92}">
      <text>
        <r>
          <rPr>
            <b/>
            <sz val="9"/>
            <color indexed="81"/>
            <rFont val="Tahoma"/>
            <charset val="1"/>
          </rPr>
          <t>Reservation Fulvago:
SPO 31-01</t>
        </r>
      </text>
    </comment>
    <comment ref="AB506" authorId="0" shapeId="0" xr:uid="{E2895369-2620-48BD-9E23-950DBEE9C90D}">
      <text>
        <r>
          <rPr>
            <b/>
            <sz val="9"/>
            <color indexed="81"/>
            <rFont val="Tahoma"/>
            <charset val="1"/>
          </rPr>
          <t>Reservation Fulvago:
SPO 11-01</t>
        </r>
      </text>
    </comment>
    <comment ref="AB507" authorId="0" shapeId="0" xr:uid="{E14035E6-8F8F-4C8E-B15E-F66C88BBE81F}">
      <text>
        <r>
          <rPr>
            <b/>
            <sz val="9"/>
            <color indexed="81"/>
            <rFont val="Tahoma"/>
            <charset val="1"/>
          </rPr>
          <t>Reservation Fulvago:
SPO 11-01</t>
        </r>
      </text>
    </comment>
    <comment ref="AB508" authorId="0" shapeId="0" xr:uid="{CEA07480-3633-47FF-AB91-410515B1C4C5}">
      <text>
        <r>
          <rPr>
            <b/>
            <sz val="9"/>
            <color indexed="81"/>
            <rFont val="Tahoma"/>
            <charset val="1"/>
          </rPr>
          <t>Reservation Fulvago:
SPO 11-01</t>
        </r>
      </text>
    </comment>
    <comment ref="T509" authorId="0" shapeId="0" xr:uid="{6A9F0D7E-1EEA-4C3F-B5A6-F037B33A056B}">
      <text>
        <r>
          <rPr>
            <b/>
            <sz val="9"/>
            <color indexed="81"/>
            <rFont val="Tahoma"/>
            <charset val="1"/>
          </rPr>
          <t>Reservation Fulvago:
Full guest name received by mail on 03-01</t>
        </r>
      </text>
    </comment>
    <comment ref="AB509" authorId="0" shapeId="0" xr:uid="{BCC5F625-AA1B-4055-9DEF-2B7320E850F9}">
      <text>
        <r>
          <rPr>
            <b/>
            <sz val="9"/>
            <color indexed="81"/>
            <rFont val="Tahoma"/>
            <charset val="1"/>
          </rPr>
          <t xml:space="preserve">Reservation Fulvago:
Contract E.B </t>
        </r>
      </text>
    </comment>
    <comment ref="AB510" authorId="0" shapeId="0" xr:uid="{B107CD83-CE4D-4F07-883B-0D3502CB5D93}">
      <text>
        <r>
          <rPr>
            <b/>
            <sz val="9"/>
            <color indexed="81"/>
            <rFont val="Tahoma"/>
            <charset val="1"/>
          </rPr>
          <t xml:space="preserve">Reservation Fulvago:
SPO 06-05 </t>
        </r>
      </text>
    </comment>
    <comment ref="AB514" authorId="0" shapeId="0" xr:uid="{240C38FB-4E61-49E8-B87C-934321829106}">
      <text>
        <r>
          <rPr>
            <b/>
            <sz val="9"/>
            <color indexed="81"/>
            <rFont val="Tahoma"/>
            <charset val="1"/>
          </rPr>
          <t>Reservation Fulvago:
SPO 31-01</t>
        </r>
      </text>
    </comment>
    <comment ref="K515" authorId="0" shapeId="0" xr:uid="{046E2398-98DC-4EC5-8975-79B2F2346FD9}">
      <text>
        <r>
          <rPr>
            <b/>
            <sz val="9"/>
            <color indexed="81"/>
            <rFont val="Tahoma"/>
            <charset val="1"/>
          </rPr>
          <t>Reservation Fulvago:
Amended to be from 22-08 asper mail on 30-03</t>
        </r>
      </text>
    </comment>
    <comment ref="AB515" authorId="0" shapeId="0" xr:uid="{76BB20B6-F33D-4EDF-B2EF-0923FD24D372}">
      <text>
        <r>
          <rPr>
            <b/>
            <sz val="9"/>
            <color indexed="81"/>
            <rFont val="Tahoma"/>
            <charset val="1"/>
          </rPr>
          <t>Reservation Fulvago:
SPO 19-05</t>
        </r>
      </text>
    </comment>
    <comment ref="AC515" authorId="0" shapeId="0" xr:uid="{EB51DB89-7916-47D8-8E4F-83821C2CCA54}">
      <text>
        <r>
          <rPr>
            <b/>
            <sz val="9"/>
            <color indexed="81"/>
            <rFont val="Tahoma"/>
            <charset val="1"/>
          </rPr>
          <t>Reservation Fulvago:
Total amount amended asper mail on 30-03</t>
        </r>
      </text>
    </comment>
    <comment ref="AB516" authorId="0" shapeId="0" xr:uid="{C9FC4709-0DBE-4FCA-B4B0-F931085FA8C2}">
      <text>
        <r>
          <rPr>
            <b/>
            <sz val="9"/>
            <color indexed="81"/>
            <rFont val="Tahoma"/>
            <charset val="1"/>
          </rPr>
          <t>Reservation Fulvago:
Contract rate  +S E.B</t>
        </r>
      </text>
    </comment>
    <comment ref="K517" authorId="0" shapeId="0" xr:uid="{13A004BB-2644-47B9-A44D-5590DCB1AF08}">
      <text>
        <r>
          <rPr>
            <b/>
            <sz val="9"/>
            <color indexed="81"/>
            <rFont val="Tahoma"/>
            <charset val="1"/>
          </rPr>
          <t>Reservation Fulvago:
Amended to be from 22-08 for 8 Nights asper mail on 15-04</t>
        </r>
      </text>
    </comment>
    <comment ref="AB517" authorId="0" shapeId="0" xr:uid="{92DB6CCB-527A-41D4-B694-AB4BAB43DAFB}">
      <text>
        <r>
          <rPr>
            <b/>
            <sz val="9"/>
            <color indexed="81"/>
            <rFont val="Tahoma"/>
            <charset val="1"/>
          </rPr>
          <t>Reservation Fulvago:
SPO 19-05</t>
        </r>
      </text>
    </comment>
    <comment ref="AC517" authorId="0" shapeId="0" xr:uid="{6FEE6890-924F-4B81-B48C-42E1D600086D}">
      <text>
        <r>
          <rPr>
            <b/>
            <sz val="9"/>
            <color indexed="81"/>
            <rFont val="Tahoma"/>
            <charset val="1"/>
          </rPr>
          <t>Reservation Fulvago:
Total amount amended asper mail on 15-04</t>
        </r>
      </text>
    </comment>
    <comment ref="AB518" authorId="0" shapeId="0" xr:uid="{8CFE14B0-F750-46CA-9FAB-4837DF61F806}">
      <text>
        <r>
          <rPr>
            <b/>
            <sz val="9"/>
            <color indexed="81"/>
            <rFont val="Tahoma"/>
            <charset val="1"/>
          </rPr>
          <t>Reservation Fulvago:
SPO 31-01</t>
        </r>
      </text>
    </comment>
    <comment ref="AB519" authorId="0" shapeId="0" xr:uid="{76AB1612-9E70-4359-B3FC-9CF0229BC5CC}">
      <text>
        <r>
          <rPr>
            <b/>
            <sz val="9"/>
            <color indexed="81"/>
            <rFont val="Tahoma"/>
            <charset val="1"/>
          </rPr>
          <t>Reservation Fulvago:
New SPO 30-03</t>
        </r>
      </text>
    </comment>
    <comment ref="AB520" authorId="0" shapeId="0" xr:uid="{CFFEA6E6-5144-49E1-AD36-2FC5E61D0791}">
      <text>
        <r>
          <rPr>
            <b/>
            <sz val="9"/>
            <color indexed="81"/>
            <rFont val="Tahoma"/>
            <charset val="1"/>
          </rPr>
          <t xml:space="preserve">Reservation Fulvago:
Contract E.B </t>
        </r>
      </text>
    </comment>
    <comment ref="AB521" authorId="0" shapeId="0" xr:uid="{345D4376-1DBC-4F5C-A101-02C1FCE773DD}">
      <text>
        <r>
          <rPr>
            <b/>
            <sz val="9"/>
            <color indexed="81"/>
            <rFont val="Tahoma"/>
            <charset val="1"/>
          </rPr>
          <t xml:space="preserve">Reservation Fulvago:
Contract E.B </t>
        </r>
      </text>
    </comment>
    <comment ref="AB522" authorId="0" shapeId="0" xr:uid="{E1E6368D-4128-45AA-918A-7E3A88ADC692}">
      <text>
        <r>
          <rPr>
            <b/>
            <sz val="9"/>
            <color indexed="81"/>
            <rFont val="Tahoma"/>
            <charset val="1"/>
          </rPr>
          <t xml:space="preserve">Reservation Fulvago:
Contract E.B </t>
        </r>
      </text>
    </comment>
    <comment ref="AB523" authorId="0" shapeId="0" xr:uid="{9498A94E-BAF1-4D7F-B574-19FD1D448C2E}">
      <text>
        <r>
          <rPr>
            <b/>
            <sz val="9"/>
            <color indexed="81"/>
            <rFont val="Tahoma"/>
            <charset val="1"/>
          </rPr>
          <t xml:space="preserve">Reservation Fulvago:
Contract E.B </t>
        </r>
      </text>
    </comment>
    <comment ref="AB524" authorId="0" shapeId="0" xr:uid="{2EE1843C-B078-405D-A4A6-5C7E8364262F}">
      <text>
        <r>
          <rPr>
            <b/>
            <sz val="9"/>
            <color indexed="81"/>
            <rFont val="Tahoma"/>
            <charset val="1"/>
          </rPr>
          <t xml:space="preserve">Reservation Fulvago:
Contract E.B </t>
        </r>
      </text>
    </comment>
    <comment ref="AB525" authorId="0" shapeId="0" xr:uid="{A837A14B-9FD0-4304-8430-7EB1F02C86B6}">
      <text>
        <r>
          <rPr>
            <b/>
            <sz val="9"/>
            <color indexed="81"/>
            <rFont val="Tahoma"/>
            <charset val="1"/>
          </rPr>
          <t>Reservation Fulvago:
SPO 27-11</t>
        </r>
      </text>
    </comment>
    <comment ref="AB526" authorId="0" shapeId="0" xr:uid="{A1EE0BB4-0D3B-41AC-9914-F3A09A73DBD0}">
      <text>
        <r>
          <rPr>
            <b/>
            <sz val="9"/>
            <color indexed="81"/>
            <rFont val="Tahoma"/>
            <charset val="1"/>
          </rPr>
          <t>Reservation Fulvago:
SPO 31-01</t>
        </r>
      </text>
    </comment>
    <comment ref="AB527" authorId="0" shapeId="0" xr:uid="{965D2866-0A40-4007-9727-A45E41367503}">
      <text>
        <r>
          <rPr>
            <b/>
            <sz val="9"/>
            <color indexed="81"/>
            <rFont val="Tahoma"/>
            <charset val="1"/>
          </rPr>
          <t>Reservation Fulvago:
SPO 28-01</t>
        </r>
      </text>
    </comment>
    <comment ref="AB528" authorId="0" shapeId="0" xr:uid="{0EF3D7C4-1ACC-474B-BC87-DA834CCADF0B}">
      <text>
        <r>
          <rPr>
            <b/>
            <sz val="9"/>
            <color indexed="81"/>
            <rFont val="Tahoma"/>
            <charset val="1"/>
          </rPr>
          <t>Reservation Fulvago:
SPO 03-02</t>
        </r>
      </text>
    </comment>
    <comment ref="AB529" authorId="0" shapeId="0" xr:uid="{E6EBE8E7-EEAE-46A8-AEAE-7C0FA0AA8C3B}">
      <text>
        <r>
          <rPr>
            <b/>
            <sz val="9"/>
            <color indexed="81"/>
            <rFont val="Tahoma"/>
            <charset val="1"/>
          </rPr>
          <t xml:space="preserve">Reservation Fulvago:
Contract Rate </t>
        </r>
      </text>
    </comment>
    <comment ref="AB530" authorId="0" shapeId="0" xr:uid="{5847B4DF-1A81-486A-8780-D34C909A5D96}">
      <text>
        <r>
          <rPr>
            <b/>
            <sz val="9"/>
            <color indexed="81"/>
            <rFont val="Tahoma"/>
            <charset val="1"/>
          </rPr>
          <t>Reservation Fulvago:
Contract Rate for W
Contract E.B for S.</t>
        </r>
      </text>
    </comment>
    <comment ref="AB531" authorId="0" shapeId="0" xr:uid="{7E7BC53B-C2F8-4D06-8198-024F9970147D}">
      <text>
        <r>
          <rPr>
            <b/>
            <sz val="9"/>
            <color indexed="81"/>
            <rFont val="Tahoma"/>
            <charset val="1"/>
          </rPr>
          <t xml:space="preserve">Reservation Fulvago:
Contract E.B </t>
        </r>
      </text>
    </comment>
    <comment ref="AB532" authorId="0" shapeId="0" xr:uid="{85AE1F20-BF57-4B7E-AA90-5E6371C0F47D}">
      <text>
        <r>
          <rPr>
            <b/>
            <sz val="9"/>
            <color indexed="81"/>
            <rFont val="Tahoma"/>
            <charset val="1"/>
          </rPr>
          <t>Reservation Fulvago:
SPO 19-05</t>
        </r>
      </text>
    </comment>
    <comment ref="AB533" authorId="0" shapeId="0" xr:uid="{C633F802-F00D-4AF1-AE98-E81C7920058D}">
      <text>
        <r>
          <rPr>
            <b/>
            <sz val="9"/>
            <color indexed="81"/>
            <rFont val="Tahoma"/>
            <charset val="1"/>
          </rPr>
          <t xml:space="preserve">Reservation Fulvago:
Contract E.B </t>
        </r>
      </text>
    </comment>
    <comment ref="AB534" authorId="0" shapeId="0" xr:uid="{4B63C134-725F-4673-B855-F3A8F1DF7774}">
      <text>
        <r>
          <rPr>
            <b/>
            <sz val="9"/>
            <color indexed="81"/>
            <rFont val="Tahoma"/>
            <charset val="1"/>
          </rPr>
          <t>Reservation Fulvago:
SPO 29-03</t>
        </r>
      </text>
    </comment>
    <comment ref="Y535" authorId="0" shapeId="0" xr:uid="{261A6FCB-FE72-42B0-99FE-379F27EA2499}">
      <text>
        <r>
          <rPr>
            <b/>
            <sz val="9"/>
            <color indexed="81"/>
            <rFont val="Tahoma"/>
            <charset val="1"/>
          </rPr>
          <t xml:space="preserve">Reservation Fulvago:
Contrcat Rate </t>
        </r>
      </text>
    </comment>
    <comment ref="AB536" authorId="0" shapeId="0" xr:uid="{D3699934-32F1-4258-BB2C-4810952206E1}">
      <text>
        <r>
          <rPr>
            <b/>
            <sz val="9"/>
            <color indexed="81"/>
            <rFont val="Tahoma"/>
            <charset val="1"/>
          </rPr>
          <t>Reservation Fulvago:
SPO 22-03</t>
        </r>
      </text>
    </comment>
    <comment ref="AB537" authorId="0" shapeId="0" xr:uid="{7C0DBA3E-E696-431D-9D4D-38572177D3B3}">
      <text>
        <r>
          <rPr>
            <b/>
            <sz val="9"/>
            <color indexed="81"/>
            <rFont val="Tahoma"/>
            <charset val="1"/>
          </rPr>
          <t>Reservation Fulvago:
SPO 29-03</t>
        </r>
      </text>
    </comment>
    <comment ref="AB538" authorId="0" shapeId="0" xr:uid="{27C4787C-004F-48E3-99B5-B43182CBEF7A}">
      <text>
        <r>
          <rPr>
            <b/>
            <sz val="9"/>
            <color indexed="81"/>
            <rFont val="Tahoma"/>
            <charset val="1"/>
          </rPr>
          <t>Reservation Fulvago:
SPO 22-03</t>
        </r>
      </text>
    </comment>
    <comment ref="AB539" authorId="0" shapeId="0" xr:uid="{0A360521-0245-49B2-A973-045DC4AEE90C}">
      <text>
        <r>
          <rPr>
            <b/>
            <sz val="9"/>
            <color indexed="81"/>
            <rFont val="Tahoma"/>
            <charset val="1"/>
          </rPr>
          <t>Reservation Fulvago:
SPO 09-04</t>
        </r>
      </text>
    </comment>
    <comment ref="AB541" authorId="0" shapeId="0" xr:uid="{77DE8483-1E38-48EB-9045-8173DA79C61F}">
      <text>
        <r>
          <rPr>
            <b/>
            <sz val="9"/>
            <color indexed="81"/>
            <rFont val="Tahoma"/>
            <charset val="1"/>
          </rPr>
          <t>Reservation
SPO 06-05</t>
        </r>
      </text>
    </comment>
    <comment ref="AB542" authorId="0" shapeId="0" xr:uid="{19F8729D-3E59-425F-A3D3-9E46A06EB26F}">
      <text>
        <r>
          <rPr>
            <b/>
            <sz val="9"/>
            <color indexed="81"/>
            <rFont val="Tahoma"/>
            <charset val="1"/>
          </rPr>
          <t xml:space="preserve">Reservation Fulvago:
SPO 10-01 </t>
        </r>
      </text>
    </comment>
    <comment ref="AB543" authorId="0" shapeId="0" xr:uid="{54D02F42-235C-4511-95D1-23C9E5986C5D}">
      <text>
        <r>
          <rPr>
            <b/>
            <sz val="9"/>
            <color indexed="81"/>
            <rFont val="Tahoma"/>
            <charset val="1"/>
          </rPr>
          <t>Reservation Fulvago:
SPO 03-06</t>
        </r>
      </text>
    </comment>
    <comment ref="AB544" authorId="0" shapeId="0" xr:uid="{CB7DFC9B-68EE-436B-9140-2F217945D660}">
      <text>
        <r>
          <rPr>
            <b/>
            <sz val="9"/>
            <color indexed="81"/>
            <rFont val="Tahoma"/>
            <charset val="1"/>
          </rPr>
          <t xml:space="preserve">Reservation Fulvago:
Contract E.B </t>
        </r>
      </text>
    </comment>
    <comment ref="AB547" authorId="0" shapeId="0" xr:uid="{34F9ADF0-3F2F-48E0-8D4A-4B1BACA1811A}">
      <text>
        <r>
          <rPr>
            <b/>
            <sz val="9"/>
            <color indexed="81"/>
            <rFont val="Tahoma"/>
            <charset val="1"/>
          </rPr>
          <t>Reservation Fulvago:
SPO 03-06</t>
        </r>
      </text>
    </comment>
    <comment ref="AB548" authorId="0" shapeId="0" xr:uid="{2AC0B3AE-ACFD-48C5-8B49-05B21E7799C1}">
      <text>
        <r>
          <rPr>
            <b/>
            <sz val="9"/>
            <color indexed="81"/>
            <rFont val="Tahoma"/>
            <charset val="1"/>
          </rPr>
          <t>Reservation Fulvago:
SPO 19-05</t>
        </r>
      </text>
    </comment>
    <comment ref="AB549" authorId="0" shapeId="0" xr:uid="{BC12CA8F-9E8C-4B11-BDF8-32D0E194898F}">
      <text>
        <r>
          <rPr>
            <b/>
            <sz val="9"/>
            <color indexed="81"/>
            <rFont val="Tahoma"/>
            <charset val="1"/>
          </rPr>
          <t>Reservation Fulvago:
SPO 06-05</t>
        </r>
      </text>
    </comment>
    <comment ref="AB550" authorId="0" shapeId="0" xr:uid="{8BF921D7-8E2B-472C-94D1-EB1A31CEDB1E}">
      <text>
        <r>
          <rPr>
            <b/>
            <sz val="9"/>
            <color indexed="81"/>
            <rFont val="Tahoma"/>
            <charset val="1"/>
          </rPr>
          <t>Reservation Fulvago:
SPO 01-06</t>
        </r>
      </text>
    </comment>
    <comment ref="AB551" authorId="0" shapeId="0" xr:uid="{48DDB217-4D2C-46C3-84CF-4B31BD0F0ED7}">
      <text>
        <r>
          <rPr>
            <b/>
            <sz val="9"/>
            <color indexed="81"/>
            <rFont val="Tahoma"/>
            <charset val="1"/>
          </rPr>
          <t>Reservation Fulvago:
SPO 19-05</t>
        </r>
      </text>
    </comment>
    <comment ref="AB552" authorId="0" shapeId="0" xr:uid="{C5194439-29FD-4227-AF04-B048364151FA}">
      <text>
        <r>
          <rPr>
            <b/>
            <sz val="9"/>
            <color indexed="81"/>
            <rFont val="Tahoma"/>
            <charset val="1"/>
          </rPr>
          <t xml:space="preserve">Reservation Fulvago:
Contract Rate </t>
        </r>
      </text>
    </comment>
    <comment ref="AB553" authorId="0" shapeId="0" xr:uid="{778D9829-A19E-4403-BC62-2F668B6A6929}">
      <text>
        <r>
          <rPr>
            <b/>
            <sz val="9"/>
            <color indexed="81"/>
            <rFont val="Tahoma"/>
            <charset val="1"/>
          </rPr>
          <t>Reservation Fulvago:
SPO 10-02</t>
        </r>
      </text>
    </comment>
    <comment ref="AB554" authorId="0" shapeId="0" xr:uid="{E65789CC-257F-4D35-83CA-7528E70975C4}">
      <text>
        <r>
          <rPr>
            <b/>
            <sz val="9"/>
            <color indexed="81"/>
            <rFont val="Tahoma"/>
            <charset val="1"/>
          </rPr>
          <t>Reservation Fulvago:
SPO 09-03</t>
        </r>
      </text>
    </comment>
    <comment ref="AB555" authorId="0" shapeId="0" xr:uid="{14D3DE96-3AF4-4557-AC18-4513B05E3D4E}">
      <text>
        <r>
          <rPr>
            <b/>
            <sz val="9"/>
            <color indexed="81"/>
            <rFont val="Tahoma"/>
            <charset val="1"/>
          </rPr>
          <t xml:space="preserve">Reservation Fulvago:
SPO 19-05
Sent to the hotel as below :
DBL +child 
SGL +Child to avoid child charge in SGL room </t>
        </r>
      </text>
    </comment>
    <comment ref="AB556" authorId="0" shapeId="0" xr:uid="{4E8A3A2A-F9D9-422C-95F1-C2807E248B83}">
      <text>
        <r>
          <rPr>
            <b/>
            <sz val="9"/>
            <color indexed="81"/>
            <rFont val="Tahoma"/>
            <charset val="1"/>
          </rPr>
          <t>Reservation Fulvago:
SPO 18-01</t>
        </r>
      </text>
    </comment>
    <comment ref="Y557" authorId="0" shapeId="0" xr:uid="{48177099-B55A-4534-90FE-B3E9B10CA3CE}">
      <text>
        <r>
          <rPr>
            <b/>
            <sz val="9"/>
            <color indexed="81"/>
            <rFont val="Tahoma"/>
            <charset val="1"/>
          </rPr>
          <t>Reservation Fulvago:
SPO 12-03</t>
        </r>
      </text>
    </comment>
    <comment ref="AB558" authorId="0" shapeId="0" xr:uid="{D7942453-ED8B-42BE-BBC2-35B7E2358448}">
      <text>
        <r>
          <rPr>
            <b/>
            <sz val="9"/>
            <color indexed="81"/>
            <rFont val="Tahoma"/>
            <charset val="1"/>
          </rPr>
          <t>Reservation Fulvago:
SPO 15-03</t>
        </r>
      </text>
    </comment>
    <comment ref="AB559" authorId="0" shapeId="0" xr:uid="{B2F18DE3-E65B-4CBD-AEE5-E6A701EF4406}">
      <text>
        <r>
          <rPr>
            <b/>
            <sz val="9"/>
            <color indexed="81"/>
            <rFont val="Tahoma"/>
            <charset val="1"/>
          </rPr>
          <t>Reservation Fulvago:
SPO 31-01</t>
        </r>
      </text>
    </comment>
    <comment ref="AB560" authorId="0" shapeId="0" xr:uid="{663A8B8C-ACB5-4A1B-8AB9-F849DBE40ADF}">
      <text>
        <r>
          <rPr>
            <b/>
            <sz val="9"/>
            <color indexed="81"/>
            <rFont val="Tahoma"/>
            <charset val="1"/>
          </rPr>
          <t>Reservation Fulvago:
Contract rate</t>
        </r>
      </text>
    </comment>
    <comment ref="AB562" authorId="0" shapeId="0" xr:uid="{B9014E19-AFEF-4E06-B4CD-DC2BC1D9FD2A}">
      <text>
        <r>
          <rPr>
            <b/>
            <sz val="9"/>
            <color indexed="81"/>
            <rFont val="Tahoma"/>
            <charset val="1"/>
          </rPr>
          <t>Reservation Fulvago:
SPO 06-05</t>
        </r>
      </text>
    </comment>
    <comment ref="AB563" authorId="0" shapeId="0" xr:uid="{DBC2DBCD-4A70-4056-B2E0-A680F7E1D752}">
      <text>
        <r>
          <rPr>
            <b/>
            <sz val="9"/>
            <color indexed="81"/>
            <rFont val="Tahoma"/>
            <charset val="1"/>
          </rPr>
          <t>Reservation Fulvago:
SPO 22-03</t>
        </r>
      </text>
    </comment>
    <comment ref="AB564" authorId="0" shapeId="0" xr:uid="{17EA80C5-CF46-4832-AABC-50D89F465D63}">
      <text>
        <r>
          <rPr>
            <b/>
            <sz val="9"/>
            <color indexed="81"/>
            <rFont val="Tahoma"/>
            <charset val="1"/>
          </rPr>
          <t xml:space="preserve">Reservation Fulvago:
Contract E.B </t>
        </r>
      </text>
    </comment>
    <comment ref="AB565" authorId="0" shapeId="0" xr:uid="{6A13C215-F6D8-4714-A622-04A843EF133F}">
      <text>
        <r>
          <rPr>
            <b/>
            <sz val="9"/>
            <color indexed="81"/>
            <rFont val="Tahoma"/>
            <charset val="1"/>
          </rPr>
          <t>Reservation Fulvago:
SPO 23-02</t>
        </r>
      </text>
    </comment>
    <comment ref="AB566" authorId="0" shapeId="0" xr:uid="{2DC00540-6F56-4164-A6FF-B05DEA5A6231}">
      <text>
        <r>
          <rPr>
            <b/>
            <sz val="9"/>
            <color indexed="81"/>
            <rFont val="Tahoma"/>
            <charset val="1"/>
          </rPr>
          <t>Reservation Fulvago:
SPO 18-03</t>
        </r>
      </text>
    </comment>
    <comment ref="AB567" authorId="0" shapeId="0" xr:uid="{37DE81CE-138B-4C9F-8112-AA3815E5E3F3}">
      <text>
        <r>
          <rPr>
            <b/>
            <sz val="9"/>
            <color indexed="81"/>
            <rFont val="Tahoma"/>
            <charset val="1"/>
          </rPr>
          <t>Reservation Fulvago:
SPO 22-04</t>
        </r>
      </text>
    </comment>
    <comment ref="AB568" authorId="0" shapeId="0" xr:uid="{E166D3F4-99A6-4703-9C1C-04D5EEC24801}">
      <text>
        <r>
          <rPr>
            <b/>
            <sz val="9"/>
            <color indexed="81"/>
            <rFont val="Tahoma"/>
            <charset val="1"/>
          </rPr>
          <t>Reservation Fulvago:
SPO 29-03</t>
        </r>
      </text>
    </comment>
    <comment ref="AF568" authorId="0" shapeId="0" xr:uid="{9FC003DF-37DC-4F35-BF9E-C36D729BB611}">
      <text>
        <r>
          <rPr>
            <b/>
            <sz val="9"/>
            <color indexed="81"/>
            <rFont val="Tahoma"/>
            <charset val="1"/>
          </rPr>
          <t xml:space="preserve">Reservation Fulvago:
Option date payment amended as per calling with Mr alaa Res , on 20-05 to be on 04-06 </t>
        </r>
      </text>
    </comment>
    <comment ref="AB569" authorId="0" shapeId="0" xr:uid="{768C0259-624E-4566-9E91-67C8DE783DB7}">
      <text>
        <r>
          <rPr>
            <b/>
            <sz val="9"/>
            <color indexed="81"/>
            <rFont val="Tahoma"/>
            <charset val="1"/>
          </rPr>
          <t xml:space="preserve">Reservation Fulvago:
Contract E.B </t>
        </r>
      </text>
    </comment>
    <comment ref="AB570" authorId="0" shapeId="0" xr:uid="{F972CA36-B959-406F-A161-29608ADA5824}">
      <text>
        <r>
          <rPr>
            <b/>
            <sz val="9"/>
            <color indexed="81"/>
            <rFont val="Tahoma"/>
            <charset val="1"/>
          </rPr>
          <t>Reservation Fulvago:
SPO 30-03</t>
        </r>
      </text>
    </comment>
    <comment ref="AB571" authorId="0" shapeId="0" xr:uid="{DCE66C5D-98F7-40AA-9850-974FD1880FB2}">
      <text>
        <r>
          <rPr>
            <b/>
            <sz val="9"/>
            <color indexed="81"/>
            <rFont val="Tahoma"/>
            <charset val="1"/>
          </rPr>
          <t>Reservation Fulvago:
SPO 30-03</t>
        </r>
      </text>
    </comment>
    <comment ref="AB572" authorId="0" shapeId="0" xr:uid="{6DD34A5D-47B5-4E6B-8DCA-9771C44B5F99}">
      <text>
        <r>
          <rPr>
            <b/>
            <sz val="9"/>
            <color indexed="81"/>
            <rFont val="Tahoma"/>
            <charset val="1"/>
          </rPr>
          <t>Reservation Fulvago:
Contract Rate</t>
        </r>
      </text>
    </comment>
    <comment ref="AB573" authorId="0" shapeId="0" xr:uid="{272E8E2B-ACD1-4ABE-ABED-96B032307623}">
      <text>
        <r>
          <rPr>
            <b/>
            <sz val="9"/>
            <color indexed="81"/>
            <rFont val="Tahoma"/>
            <charset val="1"/>
          </rPr>
          <t xml:space="preserve">Reservation Fulvago:
Contract E.B </t>
        </r>
      </text>
    </comment>
    <comment ref="Y574" authorId="0" shapeId="0" xr:uid="{E959D8E3-92D2-489A-A24D-861B3C90C166}">
      <text>
        <r>
          <rPr>
            <b/>
            <sz val="9"/>
            <color indexed="81"/>
            <rFont val="Tahoma"/>
            <charset val="1"/>
          </rPr>
          <t>Reservation Fulvago:
SPO 01-04</t>
        </r>
      </text>
    </comment>
    <comment ref="AF574" authorId="0" shapeId="0" xr:uid="{3072FA05-E03C-44C4-B56D-2B528415BAD7}">
      <text>
        <r>
          <rPr>
            <b/>
            <sz val="9"/>
            <color indexed="81"/>
            <rFont val="Tahoma"/>
            <charset val="1"/>
          </rPr>
          <t>Reservation Fulvago:
option date amended asper mail on 04-04</t>
        </r>
      </text>
    </comment>
    <comment ref="AB575" authorId="0" shapeId="0" xr:uid="{7CF562A9-D69B-468F-AB85-5DDE9DB08AF0}">
      <text>
        <r>
          <rPr>
            <b/>
            <sz val="9"/>
            <color indexed="81"/>
            <rFont val="Tahoma"/>
            <charset val="1"/>
          </rPr>
          <t xml:space="preserve">Reservation Fulvago:
Contract Rate </t>
        </r>
      </text>
    </comment>
    <comment ref="AB576" authorId="0" shapeId="0" xr:uid="{564C4322-706B-4F47-9649-AD4281158273}">
      <text>
        <r>
          <rPr>
            <b/>
            <sz val="9"/>
            <color indexed="81"/>
            <rFont val="Tahoma"/>
            <charset val="1"/>
          </rPr>
          <t>Reservation Fulvago:
SPO 18-01</t>
        </r>
      </text>
    </comment>
    <comment ref="AB578" authorId="0" shapeId="0" xr:uid="{76867378-F5D0-424A-8610-FCACF2F3DDDC}">
      <text>
        <r>
          <rPr>
            <b/>
            <sz val="9"/>
            <color indexed="81"/>
            <rFont val="Tahoma"/>
            <charset val="1"/>
          </rPr>
          <t>Reservation Fulvago:
SPO 31-03</t>
        </r>
      </text>
    </comment>
    <comment ref="AB579" authorId="0" shapeId="0" xr:uid="{B5806406-0486-4A98-82B0-47D4682929D5}">
      <text>
        <r>
          <rPr>
            <b/>
            <sz val="9"/>
            <color indexed="81"/>
            <rFont val="Tahoma"/>
            <charset val="1"/>
          </rPr>
          <t>Reservation Fulvago:
SPO 31-03</t>
        </r>
      </text>
    </comment>
    <comment ref="T580" authorId="0" shapeId="0" xr:uid="{3CFA00B8-2FA5-4ABD-B8F8-1C5E1AE9BDAD}">
      <text>
        <r>
          <rPr>
            <b/>
            <sz val="9"/>
            <color indexed="81"/>
            <rFont val="Tahoma"/>
            <charset val="1"/>
          </rPr>
          <t>Reservation Fulvago:
Full guest name asper mail received on 15-04</t>
        </r>
      </text>
    </comment>
    <comment ref="AB581" authorId="0" shapeId="0" xr:uid="{5169D6CC-C66F-40CB-B08B-690FA05F2BA2}">
      <text>
        <r>
          <rPr>
            <b/>
            <sz val="9"/>
            <color indexed="81"/>
            <rFont val="Tahoma"/>
            <charset val="1"/>
          </rPr>
          <t xml:space="preserve">Reservation Fulvago:
Contract E.B </t>
        </r>
      </text>
    </comment>
    <comment ref="AB582" authorId="0" shapeId="0" xr:uid="{23A6E77A-43BC-431E-8338-EEFD29BA9C02}">
      <text>
        <r>
          <rPr>
            <b/>
            <sz val="9"/>
            <color indexed="81"/>
            <rFont val="Tahoma"/>
            <charset val="1"/>
          </rPr>
          <t>Reservation Fulvago:
SPO 17-03 W.
SPO 29-03 S.</t>
        </r>
      </text>
    </comment>
    <comment ref="AB583" authorId="0" shapeId="0" xr:uid="{A616D409-8E44-45FC-9F62-BFF28A231F11}">
      <text>
        <r>
          <rPr>
            <b/>
            <sz val="9"/>
            <color indexed="81"/>
            <rFont val="Tahoma"/>
            <charset val="1"/>
          </rPr>
          <t xml:space="preserve">Reservation Fulvago:
SPO 29-03+ Contract E.B </t>
        </r>
      </text>
    </comment>
    <comment ref="AB584" authorId="0" shapeId="0" xr:uid="{3E4C0ABB-A13C-4EA6-8FAA-5F1C38336EB8}">
      <text>
        <r>
          <rPr>
            <b/>
            <sz val="9"/>
            <color indexed="81"/>
            <rFont val="Tahoma"/>
            <charset val="1"/>
          </rPr>
          <t>Reservation Fulvago:
SPO 15-06</t>
        </r>
      </text>
    </comment>
    <comment ref="AC584" authorId="0" shapeId="0" xr:uid="{69AB4AEA-E2D0-4745-AC3B-008F4B0DD5E9}">
      <text>
        <r>
          <rPr>
            <b/>
            <sz val="9"/>
            <color indexed="81"/>
            <rFont val="Tahoma"/>
            <charset val="1"/>
          </rPr>
          <t>Reservation Fulvago:
Total amount amended asper mail on 16-04</t>
        </r>
      </text>
    </comment>
    <comment ref="AB585" authorId="0" shapeId="0" xr:uid="{93638BA5-DA30-46DD-BAE9-79200C2DC009}">
      <text>
        <r>
          <rPr>
            <b/>
            <sz val="9"/>
            <color indexed="81"/>
            <rFont val="Tahoma"/>
            <charset val="1"/>
          </rPr>
          <t>Reservation Fulvago:
SPO 29-03</t>
        </r>
      </text>
    </comment>
    <comment ref="AB586" authorId="0" shapeId="0" xr:uid="{FB26C2E7-162B-49C7-ABB6-08775C6F7A47}">
      <text>
        <r>
          <rPr>
            <b/>
            <sz val="9"/>
            <color indexed="81"/>
            <rFont val="Tahoma"/>
            <charset val="1"/>
          </rPr>
          <t>Reservation Fulvago:
SPO 03-06</t>
        </r>
      </text>
    </comment>
    <comment ref="Y587" authorId="0" shapeId="0" xr:uid="{92D6949E-D217-4949-9AEA-AEE9A9E91D1C}">
      <text>
        <r>
          <rPr>
            <b/>
            <sz val="9"/>
            <color indexed="81"/>
            <rFont val="Tahoma"/>
            <charset val="1"/>
          </rPr>
          <t>Reservation Fulvago:
SPO 08-04</t>
        </r>
      </text>
    </comment>
    <comment ref="AF587" authorId="0" shapeId="0" xr:uid="{EEBD868D-7E51-4703-B34A-B19E4F074343}">
      <text>
        <r>
          <rPr>
            <b/>
            <sz val="9"/>
            <color indexed="81"/>
            <rFont val="Tahoma"/>
            <charset val="1"/>
          </rPr>
          <t>Reservation Fulvago:
Option date amended asper mail o 06-05</t>
        </r>
      </text>
    </comment>
    <comment ref="AB588" authorId="0" shapeId="0" xr:uid="{85A982CE-0D35-4354-992A-CAFA243DB6C1}">
      <text>
        <r>
          <rPr>
            <b/>
            <sz val="9"/>
            <color indexed="81"/>
            <rFont val="Tahoma"/>
            <charset val="1"/>
          </rPr>
          <t>Reservation Fulvago:
SPO 10-04</t>
        </r>
      </text>
    </comment>
    <comment ref="AB589" authorId="0" shapeId="0" xr:uid="{8EDBB286-482C-489C-93F5-6E6B02555A1F}">
      <text>
        <r>
          <rPr>
            <b/>
            <sz val="9"/>
            <color indexed="81"/>
            <rFont val="Tahoma"/>
            <charset val="1"/>
          </rPr>
          <t>Reservation Fulvago:
SPO 06-05</t>
        </r>
      </text>
    </comment>
    <comment ref="J590" authorId="0" shapeId="0" xr:uid="{5F39F174-0008-43FE-B940-EBEF2F897B57}">
      <text>
        <r>
          <rPr>
            <b/>
            <sz val="9"/>
            <color indexed="81"/>
            <rFont val="Tahoma"/>
            <charset val="1"/>
          </rPr>
          <t xml:space="preserve">Reservation Fulvago:
Original Room type
Standard Room </t>
        </r>
      </text>
    </comment>
    <comment ref="Y590" authorId="0" shapeId="0" xr:uid="{E80CA9C1-213A-436C-939A-E4856E617FA7}">
      <text>
        <r>
          <rPr>
            <b/>
            <sz val="9"/>
            <color indexed="81"/>
            <rFont val="Tahoma"/>
            <charset val="1"/>
          </rPr>
          <t>Reservation Fulvago:
Calculated As promo room 
Contract Rate.
S SPo 13-04</t>
        </r>
      </text>
    </comment>
    <comment ref="Y591" authorId="0" shapeId="0" xr:uid="{E58DEECF-0095-4DE7-8957-43A4F9BC0DAC}">
      <text>
        <r>
          <rPr>
            <b/>
            <sz val="9"/>
            <color indexed="81"/>
            <rFont val="Tahoma"/>
            <charset val="1"/>
          </rPr>
          <t>Reservation Fulvago:
SPO 08-04</t>
        </r>
      </text>
    </comment>
    <comment ref="AF591" authorId="0" shapeId="0" xr:uid="{10FCFE4A-3781-439A-8CFD-8377C72BD592}">
      <text>
        <r>
          <rPr>
            <b/>
            <sz val="9"/>
            <color indexed="81"/>
            <rFont val="Tahoma"/>
            <charset val="1"/>
          </rPr>
          <t>Reservation Fulvago:
option date amended on 04-05</t>
        </r>
      </text>
    </comment>
    <comment ref="AB592" authorId="0" shapeId="0" xr:uid="{7503EB5E-4458-4CAD-B3F7-7685CC48F7F1}">
      <text>
        <r>
          <rPr>
            <b/>
            <sz val="9"/>
            <color indexed="81"/>
            <rFont val="Tahoma"/>
            <charset val="1"/>
          </rPr>
          <t xml:space="preserve">Reservation Fulvago:
Contract E.B </t>
        </r>
      </text>
    </comment>
    <comment ref="AB593" authorId="0" shapeId="0" xr:uid="{1D3D3B2B-AD0E-47BD-87A6-E62C22B46DB2}">
      <text>
        <r>
          <rPr>
            <b/>
            <sz val="9"/>
            <color indexed="81"/>
            <rFont val="Tahoma"/>
            <charset val="1"/>
          </rPr>
          <t>Reservation Fulvago:
SPO 06-05</t>
        </r>
      </text>
    </comment>
    <comment ref="AB594" authorId="0" shapeId="0" xr:uid="{BDD031BE-D148-4AC6-8347-9E136708C84D}">
      <text>
        <r>
          <rPr>
            <b/>
            <sz val="9"/>
            <color indexed="81"/>
            <rFont val="Tahoma"/>
            <charset val="1"/>
          </rPr>
          <t xml:space="preserve">Reservation Fulvago:
Contract E.B </t>
        </r>
      </text>
    </comment>
    <comment ref="AB595" authorId="0" shapeId="0" xr:uid="{97404178-39AF-499C-9CE6-12504AD39B52}">
      <text>
        <r>
          <rPr>
            <b/>
            <sz val="9"/>
            <color indexed="81"/>
            <rFont val="Tahoma"/>
            <charset val="1"/>
          </rPr>
          <t>Reservation Fulvago:
SPO 17-03 W
Spo 29-03 S</t>
        </r>
      </text>
    </comment>
    <comment ref="AB596" authorId="0" shapeId="0" xr:uid="{73B0846F-7F33-4C95-AFB0-A567B92911FB}">
      <text>
        <r>
          <rPr>
            <b/>
            <sz val="9"/>
            <color indexed="81"/>
            <rFont val="Tahoma"/>
            <charset val="1"/>
          </rPr>
          <t xml:space="preserve">Reservation Fulvago:
Contract E.B </t>
        </r>
      </text>
    </comment>
    <comment ref="AB597" authorId="0" shapeId="0" xr:uid="{F11479D3-0F91-4BE3-BABB-BEB69DAE448D}">
      <text>
        <r>
          <rPr>
            <b/>
            <sz val="9"/>
            <color indexed="81"/>
            <rFont val="Tahoma"/>
            <charset val="1"/>
          </rPr>
          <t>Reservation Fulvago:
SPO 29-03</t>
        </r>
      </text>
    </comment>
    <comment ref="AB598" authorId="0" shapeId="0" xr:uid="{72FAFFEC-D9F9-43F3-887C-EE9490F04BB8}">
      <text>
        <r>
          <rPr>
            <b/>
            <sz val="9"/>
            <color indexed="81"/>
            <rFont val="Tahoma"/>
            <charset val="1"/>
          </rPr>
          <t>Reservation Fulvago:
Confirmed with disc 43% asper mail on 04-12</t>
        </r>
      </text>
    </comment>
    <comment ref="AB599" authorId="0" shapeId="0" xr:uid="{86F07ED5-6E91-41E7-BA08-6EF22F881FA8}">
      <text>
        <r>
          <rPr>
            <b/>
            <sz val="9"/>
            <color indexed="81"/>
            <rFont val="Tahoma"/>
            <charset val="1"/>
          </rPr>
          <t>Reservation Fulvago:
SPO 28-04</t>
        </r>
      </text>
    </comment>
    <comment ref="AF599" authorId="0" shapeId="0" xr:uid="{B5221DFE-FDDD-4FCB-AEB3-2712F2A06C24}">
      <text>
        <r>
          <rPr>
            <b/>
            <sz val="9"/>
            <color indexed="81"/>
            <rFont val="Tahoma"/>
            <charset val="1"/>
          </rPr>
          <t>Reservation Fulvago:
Option date amended asper mail on 04-05</t>
        </r>
      </text>
    </comment>
    <comment ref="AB600" authorId="0" shapeId="0" xr:uid="{BC78DF7F-65B5-498E-A813-3961B3A3BB26}">
      <text>
        <r>
          <rPr>
            <b/>
            <sz val="9"/>
            <color indexed="81"/>
            <rFont val="Tahoma"/>
            <charset val="1"/>
          </rPr>
          <t>Reservation Fulvago:
SPO 08-04</t>
        </r>
      </text>
    </comment>
    <comment ref="AB601" authorId="0" shapeId="0" xr:uid="{1D62D6F2-191C-452D-B9F4-369879AFEAC2}">
      <text>
        <r>
          <rPr>
            <b/>
            <sz val="9"/>
            <color indexed="81"/>
            <rFont val="Tahoma"/>
            <charset val="1"/>
          </rPr>
          <t xml:space="preserve">Reservation Fulvago:
Contract rate </t>
        </r>
      </text>
    </comment>
    <comment ref="AB602" authorId="0" shapeId="0" xr:uid="{69D44D6A-FD79-4C87-8FBC-994C803B806D}">
      <text>
        <r>
          <rPr>
            <b/>
            <sz val="9"/>
            <color indexed="81"/>
            <rFont val="Tahoma"/>
            <charset val="1"/>
          </rPr>
          <t>Reservation Fulvago:
Rate asper mail on 16-05</t>
        </r>
      </text>
    </comment>
    <comment ref="AB603" authorId="0" shapeId="0" xr:uid="{88B95324-AE15-40AD-93E9-9FA16B6E4905}">
      <text>
        <r>
          <rPr>
            <b/>
            <sz val="9"/>
            <color indexed="81"/>
            <rFont val="Tahoma"/>
            <charset val="1"/>
          </rPr>
          <t xml:space="preserve">Reservation Fulvago:
Contract E.B </t>
        </r>
      </text>
    </comment>
    <comment ref="AB604" authorId="0" shapeId="0" xr:uid="{493C15D8-4700-41AB-AD54-CF981D5D861F}">
      <text>
        <r>
          <rPr>
            <b/>
            <sz val="9"/>
            <color indexed="81"/>
            <rFont val="Tahoma"/>
            <charset val="1"/>
          </rPr>
          <t>Reservation Fulvago:
Contract Rate</t>
        </r>
      </text>
    </comment>
    <comment ref="E605" authorId="0" shapeId="0" xr:uid="{91178E84-0B98-426A-9042-C472AA564C11}">
      <text>
        <r>
          <rPr>
            <b/>
            <sz val="9"/>
            <color indexed="81"/>
            <rFont val="Tahoma"/>
            <charset val="1"/>
          </rPr>
          <t xml:space="preserve">Reservation Fulvago:
Amended to Be East as we received the Passport attached from the guests , they are from Armenian </t>
        </r>
      </text>
    </comment>
    <comment ref="AA605" authorId="0" shapeId="0" xr:uid="{659BB782-50E9-49CA-B25B-C11FFED0EDF2}">
      <text>
        <r>
          <rPr>
            <b/>
            <sz val="9"/>
            <color indexed="81"/>
            <rFont val="Tahoma"/>
            <charset val="1"/>
          </rPr>
          <t>Reservation Fulvago:
SPO 12-05</t>
        </r>
      </text>
    </comment>
    <comment ref="AC605" authorId="0" shapeId="0" xr:uid="{1D7D81A3-36CE-40BB-82F7-C8CE2A3224DF}">
      <text>
        <r>
          <rPr>
            <b/>
            <sz val="9"/>
            <color indexed="81"/>
            <rFont val="Tahoma"/>
            <charset val="1"/>
          </rPr>
          <t>Reservation Fulvago:
Total accommodation cost 1020 Euro .
asper mail on 21-05, requested to remove the Visa+ Transfer&amp; meet + Asst.</t>
        </r>
      </text>
    </comment>
    <comment ref="AB606" authorId="0" shapeId="0" xr:uid="{C90BB2F4-46A3-4F1D-8A6D-C937012A3C22}">
      <text>
        <r>
          <rPr>
            <b/>
            <sz val="9"/>
            <color indexed="81"/>
            <rFont val="Tahoma"/>
            <charset val="1"/>
          </rPr>
          <t>Reservation Fulvago:
New SPO 03-06</t>
        </r>
      </text>
    </comment>
    <comment ref="AB607" authorId="0" shapeId="0" xr:uid="{FA3E4169-97FF-4765-A821-9A41531FFC32}">
      <text>
        <r>
          <rPr>
            <b/>
            <sz val="9"/>
            <color indexed="81"/>
            <rFont val="Tahoma"/>
            <charset val="1"/>
          </rPr>
          <t>Reservation Fulvago:
SPO 16-05</t>
        </r>
      </text>
    </comment>
    <comment ref="AB608" authorId="0" shapeId="0" xr:uid="{BEC41733-B0EA-4AE9-8C32-9DEFD0A69354}">
      <text>
        <r>
          <rPr>
            <b/>
            <sz val="9"/>
            <color indexed="81"/>
            <rFont val="Tahoma"/>
            <charset val="1"/>
          </rPr>
          <t>Reservation Fulvago:
SPO 16-05</t>
        </r>
      </text>
    </comment>
    <comment ref="AB609" authorId="0" shapeId="0" xr:uid="{B2C54DAD-AAED-4A0F-ADED-6EB5F3DE5DBB}">
      <text>
        <r>
          <rPr>
            <b/>
            <sz val="9"/>
            <color indexed="81"/>
            <rFont val="Tahoma"/>
            <charset val="1"/>
          </rPr>
          <t>Reservation Fulvago:
SPO 19-05</t>
        </r>
      </text>
    </comment>
    <comment ref="AB610" authorId="0" shapeId="0" xr:uid="{97BAAF6F-9896-456E-8DF2-2B688D26A18F}">
      <text>
        <r>
          <rPr>
            <b/>
            <sz val="9"/>
            <color indexed="81"/>
            <rFont val="Tahoma"/>
            <charset val="1"/>
          </rPr>
          <t>Reservation Fulvago:
SPO 20-05
Correct rate 31 Euro pp</t>
        </r>
      </text>
    </comment>
    <comment ref="AB611" authorId="0" shapeId="0" xr:uid="{F4618FBB-B5ED-41F5-A17C-C08417051948}">
      <text>
        <r>
          <rPr>
            <b/>
            <sz val="9"/>
            <color indexed="81"/>
            <rFont val="Tahoma"/>
            <charset val="1"/>
          </rPr>
          <t>Reservation Fulvago:
SPO 15-05</t>
        </r>
      </text>
    </comment>
    <comment ref="AB612" authorId="0" shapeId="0" xr:uid="{BE6122B4-2834-49F9-A30E-6C7E460B8F8A}">
      <text>
        <r>
          <rPr>
            <b/>
            <sz val="9"/>
            <color indexed="81"/>
            <rFont val="Tahoma"/>
            <charset val="1"/>
          </rPr>
          <t>Reservation Fulvago:
SPO 30-05</t>
        </r>
      </text>
    </comment>
    <comment ref="AB613" authorId="0" shapeId="0" xr:uid="{A719BAD4-0944-47C3-8B02-EC5F8460381C}">
      <text>
        <r>
          <rPr>
            <b/>
            <sz val="9"/>
            <color indexed="81"/>
            <rFont val="Tahoma"/>
            <charset val="1"/>
          </rPr>
          <t xml:space="preserve">Reservation Fulvago:
Contract E.B </t>
        </r>
      </text>
    </comment>
    <comment ref="AB614" authorId="0" shapeId="0" xr:uid="{F4CCF736-AB23-4944-9F85-502894BE2D6A}">
      <text>
        <r>
          <rPr>
            <b/>
            <sz val="9"/>
            <color indexed="81"/>
            <rFont val="Tahoma"/>
            <charset val="1"/>
          </rPr>
          <t>Reservation Fulvago:
SPO 30-05</t>
        </r>
      </text>
    </comment>
    <comment ref="AB615" authorId="0" shapeId="0" xr:uid="{C96AC2BA-5856-4554-80DC-1AC1042C34E3}">
      <text>
        <r>
          <rPr>
            <b/>
            <sz val="9"/>
            <color indexed="81"/>
            <rFont val="Tahoma"/>
            <charset val="1"/>
          </rPr>
          <t>Reservation Fulvago:
SPO 30-05</t>
        </r>
      </text>
    </comment>
    <comment ref="AB616" authorId="0" shapeId="0" xr:uid="{03B331A4-F669-4292-9713-03491ED9CB4A}">
      <text>
        <r>
          <rPr>
            <b/>
            <sz val="9"/>
            <color indexed="81"/>
            <rFont val="Tahoma"/>
            <charset val="1"/>
          </rPr>
          <t>Reservation Fulvago:
Confirmed with rate 70 Euro PP asper mail on 03-06</t>
        </r>
      </text>
    </comment>
    <comment ref="AB617" authorId="0" shapeId="0" xr:uid="{D551BAC6-2E64-491B-A47D-83590E435D63}">
      <text>
        <r>
          <rPr>
            <b/>
            <sz val="9"/>
            <color indexed="81"/>
            <rFont val="Tahoma"/>
            <charset val="1"/>
          </rPr>
          <t>Reservation Fulvago:
SPO 20-05
Correct rate 31 Euro pp
Guest CXL the old Booking and booked new with the correct rate on 03-06</t>
        </r>
      </text>
    </comment>
    <comment ref="AB618" authorId="0" shapeId="0" xr:uid="{75560B6F-FC52-4DBE-A90F-00CADD9D6164}">
      <text>
        <r>
          <rPr>
            <b/>
            <sz val="9"/>
            <color indexed="81"/>
            <rFont val="Tahoma"/>
            <charset val="1"/>
          </rPr>
          <t>Reservation Fulvago:
SPO 30-05</t>
        </r>
      </text>
    </comment>
    <comment ref="AB619" authorId="0" shapeId="0" xr:uid="{49E1BAE7-FCCC-4B01-B2CB-2EF84776615B}">
      <text>
        <r>
          <rPr>
            <b/>
            <sz val="9"/>
            <color indexed="81"/>
            <rFont val="Tahoma"/>
            <charset val="1"/>
          </rPr>
          <t>Reservation Fulvago:
SPO 30-05</t>
        </r>
      </text>
    </comment>
    <comment ref="AB620" authorId="0" shapeId="0" xr:uid="{78C5FBF2-926A-485F-8110-DCF62AC66569}">
      <text>
        <r>
          <rPr>
            <b/>
            <sz val="9"/>
            <color indexed="81"/>
            <rFont val="Tahoma"/>
            <charset val="1"/>
          </rPr>
          <t>Reservation Fulvago:
SPO 03-06</t>
        </r>
      </text>
    </comment>
    <comment ref="AB621" authorId="0" shapeId="0" xr:uid="{3D8B14F2-1338-4200-976B-5ECD9B8B032B}">
      <text>
        <r>
          <rPr>
            <b/>
            <sz val="9"/>
            <color indexed="81"/>
            <rFont val="Tahoma"/>
            <charset val="1"/>
          </rPr>
          <t>Reservation Fulvago:
SPO 03-06</t>
        </r>
      </text>
    </comment>
    <comment ref="AB622" authorId="0" shapeId="0" xr:uid="{0860D3D5-7037-44CB-B317-58D1880C5D28}">
      <text>
        <r>
          <rPr>
            <b/>
            <sz val="9"/>
            <color indexed="81"/>
            <rFont val="Tahoma"/>
            <charset val="1"/>
          </rPr>
          <t>Reservation Fulvago:
SPO 03-06</t>
        </r>
      </text>
    </comment>
    <comment ref="AB624" authorId="0" shapeId="0" xr:uid="{3E9D0D09-4DE8-433C-929D-251EF759EBEA}">
      <text>
        <r>
          <rPr>
            <b/>
            <sz val="9"/>
            <color indexed="81"/>
            <rFont val="Tahoma"/>
            <charset val="1"/>
          </rPr>
          <t>Reservation Fulvago:
SPO 03-06</t>
        </r>
      </text>
    </comment>
    <comment ref="AB625" authorId="0" shapeId="0" xr:uid="{18746713-8D6C-463B-A794-9A44B34B1343}">
      <text>
        <r>
          <rPr>
            <b/>
            <sz val="9"/>
            <color indexed="81"/>
            <rFont val="Tahoma"/>
            <charset val="1"/>
          </rPr>
          <t>Reservation Fulvago:
SPO 04-06</t>
        </r>
      </text>
    </comment>
    <comment ref="J626" authorId="0" shapeId="0" xr:uid="{FF2E8C25-98C9-42B8-9DA2-E6575215E479}">
      <text>
        <r>
          <rPr>
            <b/>
            <sz val="9"/>
            <color indexed="81"/>
            <rFont val="Tahoma"/>
            <charset val="1"/>
          </rPr>
          <t>Reservation Fulvago:
Original room type 
Superior Room Garden View</t>
        </r>
      </text>
    </comment>
    <comment ref="AB626" authorId="0" shapeId="0" xr:uid="{325A3A9A-B6B3-4CD2-BC69-8E8CCB6D852C}">
      <text>
        <r>
          <rPr>
            <b/>
            <sz val="9"/>
            <color indexed="81"/>
            <rFont val="Tahoma"/>
            <charset val="1"/>
          </rPr>
          <t>Reservation Fulvago:
SPO 24-05</t>
        </r>
      </text>
    </comment>
    <comment ref="AD626" authorId="0" shapeId="0" xr:uid="{FC632EA3-C363-4415-B5D0-3B43D3B6A502}">
      <text>
        <r>
          <rPr>
            <b/>
            <sz val="9"/>
            <color indexed="81"/>
            <rFont val="Tahoma"/>
            <charset val="1"/>
          </rPr>
          <t>Reservation Fulvago:
Loss due room type Sup GV not accommodate the child .
room type amended d to be Deluxe GV</t>
        </r>
      </text>
    </comment>
    <comment ref="AB628" authorId="0" shapeId="0" xr:uid="{0AEC5151-8AFE-49B6-BA3E-4F1B05A14052}">
      <text>
        <r>
          <rPr>
            <b/>
            <sz val="9"/>
            <color indexed="81"/>
            <rFont val="Tahoma"/>
            <charset val="1"/>
          </rPr>
          <t>Reservation Fulvago:
SPO 15-06</t>
        </r>
      </text>
    </comment>
    <comment ref="AB629" authorId="0" shapeId="0" xr:uid="{6F9FD574-A378-49C0-A45C-1E2411666018}">
      <text>
        <r>
          <rPr>
            <b/>
            <sz val="9"/>
            <color indexed="81"/>
            <rFont val="Tahoma"/>
            <charset val="1"/>
          </rPr>
          <t>Reservation Fulvago:
SPO 15-06</t>
        </r>
      </text>
    </comment>
    <comment ref="AB630" authorId="0" shapeId="0" xr:uid="{C5DF9219-053E-40C3-B3C0-AD3DB3476C7B}">
      <text>
        <r>
          <rPr>
            <b/>
            <sz val="9"/>
            <color indexed="81"/>
            <rFont val="Tahoma"/>
            <charset val="1"/>
          </rPr>
          <t xml:space="preserve">Reservation Fulvago:
Contract E.B </t>
        </r>
      </text>
    </comment>
    <comment ref="AB631" authorId="0" shapeId="0" xr:uid="{0940CB57-835C-43E6-9554-71A57A27D060}">
      <text>
        <r>
          <rPr>
            <b/>
            <sz val="9"/>
            <color indexed="81"/>
            <rFont val="Tahoma"/>
            <charset val="1"/>
          </rPr>
          <t xml:space="preserve">Reservation Fulvago:
Contract E.B </t>
        </r>
      </text>
    </comment>
    <comment ref="AB632" authorId="0" shapeId="0" xr:uid="{A4CCF556-3C99-4559-9BB6-C7F1FEDC0D31}">
      <text>
        <r>
          <rPr>
            <b/>
            <sz val="9"/>
            <color indexed="81"/>
            <rFont val="Tahoma"/>
            <charset val="1"/>
          </rPr>
          <t>Reservation Fulvago:
spo 15-06</t>
        </r>
      </text>
    </comment>
    <comment ref="U633" authorId="0" shapeId="0" xr:uid="{3D34F701-BAA8-4FE1-9A68-1EBD726BAFCD}">
      <text>
        <r>
          <rPr>
            <b/>
            <sz val="9"/>
            <color indexed="81"/>
            <rFont val="Tahoma"/>
            <charset val="1"/>
          </rPr>
          <t>Reservation Fulvago:
01st Child, 02 – 13.99 Free  
2nd Child, 02 – 06.99 Free  
2nd Child, 07 – 13.99 Sharing parent's Standard room will be charged with 50 % of ½ twin rate</t>
        </r>
      </text>
    </comment>
    <comment ref="W633" authorId="0" shapeId="0" xr:uid="{D40E9E2B-1DB1-4785-8122-8D06C181BAA6}">
      <text>
        <r>
          <rPr>
            <b/>
            <sz val="9"/>
            <color indexed="81"/>
            <rFont val="Tahoma"/>
            <charset val="1"/>
          </rPr>
          <t>Reservation Fulvago:
01st Child, 02 – 13.99 Free  
2nd Child, 02 – 06.99 Free  
2nd Child, 07 – 13.99 Sharing parent's Standard room will be charged with 50 % of ½ twin rate</t>
        </r>
      </text>
    </comment>
    <comment ref="AB633" authorId="0" shapeId="0" xr:uid="{D6D6DCC0-B36B-414D-A317-096373E7359D}">
      <text>
        <r>
          <rPr>
            <b/>
            <sz val="9"/>
            <color indexed="81"/>
            <rFont val="Tahoma"/>
            <charset val="1"/>
          </rPr>
          <t>rate asper mail on 18-06</t>
        </r>
      </text>
    </comment>
    <comment ref="AB634" authorId="0" shapeId="0" xr:uid="{EFE6A9F9-6FCC-4463-B576-30CEEE3BB52D}">
      <text>
        <r>
          <rPr>
            <b/>
            <sz val="9"/>
            <color indexed="81"/>
            <rFont val="Tahoma"/>
            <charset val="1"/>
          </rPr>
          <t>Reservation Fulvago:
SPO 15-06</t>
        </r>
      </text>
    </comment>
    <comment ref="AB635" authorId="0" shapeId="0" xr:uid="{E6041D45-3BE4-45B2-9A71-169E3D7195B3}">
      <text>
        <r>
          <rPr>
            <b/>
            <sz val="9"/>
            <color indexed="81"/>
            <rFont val="Tahoma"/>
            <charset val="1"/>
          </rPr>
          <t>Reservation Fulvago:
SPO 15-06</t>
        </r>
      </text>
    </comment>
    <comment ref="AB636" authorId="0" shapeId="0" xr:uid="{593E3E5B-E739-4878-9922-E769C9DBDC79}">
      <text>
        <r>
          <rPr>
            <b/>
            <sz val="9"/>
            <color indexed="81"/>
            <rFont val="Tahoma"/>
            <charset val="1"/>
          </rPr>
          <t>Reservation Fulvago:
SPO 15-06</t>
        </r>
      </text>
    </comment>
    <comment ref="AB637" authorId="0" shapeId="0" xr:uid="{B5FC9E06-6198-4290-9B02-9C230EE9BA44}">
      <text>
        <r>
          <rPr>
            <b/>
            <sz val="9"/>
            <color indexed="81"/>
            <rFont val="Tahoma"/>
            <charset val="1"/>
          </rPr>
          <t xml:space="preserve">Reservation Fulvago:
spo 03/06
</t>
        </r>
      </text>
    </comment>
    <comment ref="AB638" authorId="0" shapeId="0" xr:uid="{96D35386-CD2C-46CD-826D-082CAD2955D1}">
      <text>
        <r>
          <rPr>
            <b/>
            <sz val="9"/>
            <color indexed="81"/>
            <rFont val="Tahoma"/>
            <charset val="1"/>
          </rPr>
          <t>Reservation Fulvago:
SPO 15-06</t>
        </r>
      </text>
    </comment>
    <comment ref="AB640" authorId="0" shapeId="0" xr:uid="{1AB7A186-E790-4DA9-96BE-C9DECF105AAF}">
      <text>
        <r>
          <rPr>
            <b/>
            <sz val="9"/>
            <color indexed="81"/>
            <rFont val="Tahoma"/>
            <charset val="1"/>
          </rPr>
          <t>Reservation Fulvago:
SPO 04-06</t>
        </r>
      </text>
    </comment>
    <comment ref="AB641" authorId="0" shapeId="0" xr:uid="{C4B97E36-34EB-4442-8F59-438D1065E873}">
      <text>
        <r>
          <rPr>
            <b/>
            <sz val="9"/>
            <color indexed="81"/>
            <rFont val="Tahoma"/>
            <charset val="1"/>
          </rPr>
          <t>Reservation Fulvago:
SPO 22-06</t>
        </r>
      </text>
    </comment>
    <comment ref="J642" authorId="0" shapeId="0" xr:uid="{8DAE7C72-FD80-4874-9C3A-18317CCDFFBD}">
      <text>
        <r>
          <rPr>
            <b/>
            <sz val="9"/>
            <color indexed="81"/>
            <rFont val="Tahoma"/>
            <charset val="1"/>
          </rPr>
          <t>Reservation Fulvago:
Original Room type 
Standard Triple 
Sent to the hotel as DBL+ SGL, due to no TRIPLE room in the hotel</t>
        </r>
      </text>
    </comment>
    <comment ref="AB642" authorId="0" shapeId="0" xr:uid="{930B7E02-8C73-47CF-B38F-496DF14DFD48}">
      <text>
        <r>
          <rPr>
            <b/>
            <sz val="9"/>
            <color indexed="81"/>
            <rFont val="Tahoma"/>
            <charset val="1"/>
          </rPr>
          <t>Reservation Fulvago:
SPO 15-06</t>
        </r>
      </text>
    </comment>
    <comment ref="AB643" authorId="0" shapeId="0" xr:uid="{4701068C-FFA9-45FA-8E53-AA3DDD79B648}">
      <text>
        <r>
          <rPr>
            <b/>
            <sz val="9"/>
            <color indexed="81"/>
            <rFont val="Tahoma"/>
            <charset val="1"/>
          </rPr>
          <t>Reservation Fulvago:
SPO 15-06</t>
        </r>
      </text>
    </comment>
    <comment ref="AB644" authorId="0" shapeId="0" xr:uid="{0E2144D7-E7B5-450D-8134-62C9637777CF}">
      <text>
        <r>
          <rPr>
            <b/>
            <sz val="9"/>
            <color indexed="81"/>
            <rFont val="Tahoma"/>
            <charset val="1"/>
          </rPr>
          <t>Reservation Fulvago:
SPO 03-06</t>
        </r>
      </text>
    </comment>
    <comment ref="AB645" authorId="0" shapeId="0" xr:uid="{7ADDC536-45F2-44E2-8DA6-619A4BB657B6}">
      <text>
        <r>
          <rPr>
            <b/>
            <sz val="9"/>
            <color indexed="81"/>
            <rFont val="Tahoma"/>
            <charset val="1"/>
          </rPr>
          <t>Reservation Fulvago:
SPO 03-06</t>
        </r>
      </text>
    </comment>
    <comment ref="AB646" authorId="1" shapeId="0" xr:uid="{DCF9BC21-8D24-4620-B219-854D1B89DE81}">
      <text>
        <r>
          <rPr>
            <sz val="9"/>
            <color indexed="81"/>
            <rFont val="Tahoma"/>
            <charset val="1"/>
          </rPr>
          <t>spo 15/06</t>
        </r>
      </text>
    </comment>
    <comment ref="AB647" authorId="1" shapeId="0" xr:uid="{1E38BC83-540B-4901-AC46-E51256AD2992}">
      <text>
        <r>
          <rPr>
            <sz val="9"/>
            <color indexed="81"/>
            <rFont val="Tahoma"/>
            <charset val="1"/>
          </rPr>
          <t>spo 15/06</t>
        </r>
      </text>
    </comment>
    <comment ref="AB648" authorId="1" shapeId="0" xr:uid="{ACA06708-0755-4B01-88DD-6B7C65957BC9}">
      <text>
        <r>
          <rPr>
            <sz val="9"/>
            <color indexed="81"/>
            <rFont val="Tahoma"/>
            <charset val="1"/>
          </rPr>
          <t>spo 15/06</t>
        </r>
      </text>
    </comment>
    <comment ref="AB649" authorId="1" shapeId="0" xr:uid="{2B60CDC7-4363-4E49-9EFD-00B81F2B0179}">
      <text>
        <r>
          <rPr>
            <sz val="9"/>
            <color indexed="81"/>
            <rFont val="Tahoma"/>
            <charset val="1"/>
          </rPr>
          <t>spo 15/06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Gouda</author>
  </authors>
  <commentList>
    <comment ref="L15" authorId="0" shapeId="0" xr:uid="{13EA1F4A-1F88-4A9E-A937-9D935EDCBC77}">
      <text>
        <r>
          <rPr>
            <b/>
            <sz val="9"/>
            <color indexed="81"/>
            <rFont val="Tahoma"/>
            <charset val="1"/>
          </rPr>
          <t>Gouda:</t>
        </r>
        <r>
          <rPr>
            <sz val="9"/>
            <color indexed="81"/>
            <rFont val="Tahoma"/>
            <charset val="1"/>
          </rPr>
          <t xml:space="preserve">
Hurghada</t>
        </r>
      </text>
    </comment>
    <comment ref="L16" authorId="0" shapeId="0" xr:uid="{9E1BBD46-E813-4620-908D-1DC755048DB4}">
      <text>
        <r>
          <rPr>
            <b/>
            <sz val="9"/>
            <color indexed="81"/>
            <rFont val="Tahoma"/>
            <charset val="1"/>
          </rPr>
          <t>Gouda:</t>
        </r>
        <r>
          <rPr>
            <sz val="9"/>
            <color indexed="81"/>
            <rFont val="Tahoma"/>
            <charset val="1"/>
          </rPr>
          <t xml:space="preserve">
Sharm El Sheikh</t>
        </r>
      </text>
    </comment>
    <comment ref="L17" authorId="0" shapeId="0" xr:uid="{A60C2764-66C3-4F55-B1EE-853912F9931D}">
      <text>
        <r>
          <rPr>
            <b/>
            <sz val="9"/>
            <color indexed="81"/>
            <rFont val="Tahoma"/>
            <charset val="1"/>
          </rPr>
          <t>Gouda:</t>
        </r>
        <r>
          <rPr>
            <sz val="9"/>
            <color indexed="81"/>
            <rFont val="Tahoma"/>
            <charset val="1"/>
          </rPr>
          <t xml:space="preserve">
Marsa Alam / Hurghada</t>
        </r>
      </text>
    </comment>
    <comment ref="A18" authorId="0" shapeId="0" xr:uid="{0B4C8353-46E9-4962-8D93-32B2D05506AE}">
      <text>
        <r>
          <rPr>
            <b/>
            <sz val="9"/>
            <color indexed="81"/>
            <rFont val="Tahoma"/>
            <charset val="1"/>
          </rPr>
          <t>Gouda:</t>
        </r>
        <r>
          <rPr>
            <sz val="9"/>
            <color indexed="81"/>
            <rFont val="Tahoma"/>
            <charset val="1"/>
          </rPr>
          <t xml:space="preserve">
All other T/O codes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<sst xmlns="http://schemas.openxmlformats.org/spreadsheetml/2006/main" count="18055" uniqueCount="3185">
  <si>
    <t>BKG Date</t>
  </si>
  <si>
    <t>HTL BKG Status</t>
  </si>
  <si>
    <t>T/O BKG Status</t>
  </si>
  <si>
    <t>T/O</t>
  </si>
  <si>
    <t>Market</t>
  </si>
  <si>
    <t>T/O BKG Ref</t>
  </si>
  <si>
    <t>Sejour Ref</t>
  </si>
  <si>
    <t>Resort</t>
  </si>
  <si>
    <t>Hotel Name</t>
  </si>
  <si>
    <t>Room Type</t>
  </si>
  <si>
    <t>Arr Date</t>
  </si>
  <si>
    <t>Dep Date</t>
  </si>
  <si>
    <t>NTS</t>
  </si>
  <si>
    <t>Room</t>
  </si>
  <si>
    <t>No RMS</t>
  </si>
  <si>
    <t>AD</t>
  </si>
  <si>
    <t>CH</t>
  </si>
  <si>
    <t>INF</t>
  </si>
  <si>
    <t>MB</t>
  </si>
  <si>
    <t>Guest Name</t>
  </si>
  <si>
    <t>01st CHD Age</t>
  </si>
  <si>
    <t>01st CHD DOB</t>
  </si>
  <si>
    <t>02nd CHD Age</t>
  </si>
  <si>
    <t>02nd CHD DOB</t>
  </si>
  <si>
    <t>Cost USD</t>
  </si>
  <si>
    <t>Selling USD</t>
  </si>
  <si>
    <t>P/L USD</t>
  </si>
  <si>
    <t>Cost EUR</t>
  </si>
  <si>
    <t>Selling EUR</t>
  </si>
  <si>
    <t>P/L EUR</t>
  </si>
  <si>
    <t>Payment Method</t>
  </si>
  <si>
    <t>P. Option Date</t>
  </si>
  <si>
    <t>Accounting Remarks</t>
  </si>
  <si>
    <t>Visa&amp;Handling</t>
  </si>
  <si>
    <t>Arr FLT No</t>
  </si>
  <si>
    <t>Arr Time</t>
  </si>
  <si>
    <t>Dep FLT No</t>
  </si>
  <si>
    <t>Dep FLT Time</t>
  </si>
  <si>
    <t>Meet, Assist &amp; Visa</t>
  </si>
  <si>
    <t>Remarks</t>
  </si>
  <si>
    <t>RowIndex</t>
  </si>
  <si>
    <t>Don't Touch</t>
  </si>
  <si>
    <t>Column1</t>
  </si>
  <si>
    <t>Column2</t>
  </si>
  <si>
    <t>Column3</t>
  </si>
  <si>
    <t>Column5</t>
  </si>
  <si>
    <t>PB</t>
  </si>
  <si>
    <t>Confirmed</t>
  </si>
  <si>
    <t>JMB</t>
  </si>
  <si>
    <t>WE</t>
  </si>
  <si>
    <t>HRG</t>
  </si>
  <si>
    <t>TITANIC PALACE RESORT &amp; AQUA PARK</t>
  </si>
  <si>
    <t>DBL</t>
  </si>
  <si>
    <t>AI</t>
  </si>
  <si>
    <t>Cash</t>
  </si>
  <si>
    <t>TITANIC RESORT &amp; AQUA PARK</t>
  </si>
  <si>
    <t xml:space="preserve">FAMILY ROOM </t>
  </si>
  <si>
    <t>CLEOPATRA LUXURY RESORT MAKADI BAY MAIN HOTEL (HRG)</t>
  </si>
  <si>
    <t>RMF</t>
  </si>
  <si>
    <t>BLEND EL PHISTONE RESORT (RMF)</t>
  </si>
  <si>
    <t>No Show</t>
  </si>
  <si>
    <t>UK</t>
  </si>
  <si>
    <t>THE THREE CORNERS FAYROUZ PLAZA BEACH RESORT (RMF)</t>
  </si>
  <si>
    <t xml:space="preserve">PREMIUM ROOM </t>
  </si>
  <si>
    <t>THE THREE CORNERS SEA BEACH RESORT (RMF)</t>
  </si>
  <si>
    <t>SGL</t>
  </si>
  <si>
    <t>SEAGULL BEACH RESORT</t>
  </si>
  <si>
    <t>THE THREE CORNERS RIHANA RESORT</t>
  </si>
  <si>
    <t>THE THREE CORNERS SUNNY BEACH RESORT HURGHADA</t>
  </si>
  <si>
    <t>FAMILY ROOM</t>
  </si>
  <si>
    <t>TPL</t>
  </si>
  <si>
    <t>THE THREE CORNERS OCEAN VIEW HOTEL ADULTS ONLY +16</t>
  </si>
  <si>
    <t>PREMIUM ROOM</t>
  </si>
  <si>
    <t>CXL</t>
  </si>
  <si>
    <t>THE THREE CORNERS FAYROUZ PLAZA BEACH RESORT</t>
  </si>
  <si>
    <t xml:space="preserve">TRIPLE PREMIUM ROOM </t>
  </si>
  <si>
    <t>TITANIC BEACH SPA &amp; AQUA PARK</t>
  </si>
  <si>
    <t>BLEND CLUB AQUA RESORT (HRG)</t>
  </si>
  <si>
    <t>KING TUT AQUA PARK BEACH RESORT</t>
  </si>
  <si>
    <t>PAX</t>
  </si>
  <si>
    <t>TITANIC ROYAL</t>
  </si>
  <si>
    <t>PICKALBATROS CITADEL RESORT (HRG)</t>
  </si>
  <si>
    <t>PICKALBATROS JUNGLE AQUA PARK BY NEVERLAND (HRG)</t>
  </si>
  <si>
    <t>TUR</t>
  </si>
  <si>
    <t>SSH</t>
  </si>
  <si>
    <t>RIXOS PREMIUM SEAGATE SSH</t>
  </si>
  <si>
    <t>RIXOS PREMIUM MAGAWISH SUITES &amp; VILLAS (HRG)</t>
  </si>
  <si>
    <t>SWISSOTEL SHARM EL SHEIKH BY RIXOS</t>
  </si>
  <si>
    <t>PICKALBATROS PALACE RESORT (HRG)</t>
  </si>
  <si>
    <t>EMPIRE BEACH AQUA PARK</t>
  </si>
  <si>
    <t>LABRANDA ROYAL MAKADI</t>
  </si>
  <si>
    <t>PICKALBATROS LAGUNA BEACH EX LAGUNA VISTA BEACH</t>
  </si>
  <si>
    <t>XANADU MAKADI BAY (HRG)</t>
  </si>
  <si>
    <t>JAZ MAKADI SARAYA RESORT</t>
  </si>
  <si>
    <t>PICKALBATROS ROYAL MODERNA RESORT SSH</t>
  </si>
  <si>
    <t>SENTIDO MAMLOUK PALACE RESORT (HRG) SUNRISE</t>
  </si>
  <si>
    <t>SUNRISE HOLIDAYS RESORT ADULTS ONLY +16</t>
  </si>
  <si>
    <t>PICKALBATROS AQUA PARK RESORT</t>
  </si>
  <si>
    <t>Standard Room Garden View</t>
  </si>
  <si>
    <t>Promo Room</t>
  </si>
  <si>
    <t>PICKALBATROS LAGUNA VISTA HOTEL SSH</t>
  </si>
  <si>
    <t>ROYAL STAR BEACH RESORT (HRG)</t>
  </si>
  <si>
    <t>PICKALBATROS WHITE BEACH RESORT (HRG)</t>
  </si>
  <si>
    <t>SUNRISE GARDEN BEACH RESORT</t>
  </si>
  <si>
    <t>JAZ ELITE CASA DEL MAR BEACH</t>
  </si>
  <si>
    <t>NOVOTEL SHARM EL SHEIKH PALM WING SSH</t>
  </si>
  <si>
    <t>EE</t>
  </si>
  <si>
    <t>JAZ MIRABEL BEACH RESORT SSH</t>
  </si>
  <si>
    <t>SUNNY DAYS PALMA DE MERRITE</t>
  </si>
  <si>
    <t>SERENITY ALMA HEIGHTS (X SERENITY FUN CITY)</t>
  </si>
  <si>
    <t>DREAMS VACATION RESORT</t>
  </si>
  <si>
    <t>SUNNY DAYS EL PALACIO RESORT &amp; SPA</t>
  </si>
  <si>
    <t>PICKALBATROS ALF LEILA WA LEILA BY NEVERLAND</t>
  </si>
  <si>
    <t>STEIGENBERGER ALCAZAR SSH</t>
  </si>
  <si>
    <t>XPERIENCE KIROSEIZ PREMIER</t>
  </si>
  <si>
    <t>THE THREE CORNERS EQUINOX BEACH RESORT (RMF)</t>
  </si>
  <si>
    <t>DESERT ROSE RESORT (HRG)</t>
  </si>
  <si>
    <t>MERAKI RESORT HRG ADULTS ONLY +16</t>
  </si>
  <si>
    <t>RIXOS SHARM EL SHEIKH ADULT FRIENDLY+18</t>
  </si>
  <si>
    <t>SERENITY ALPHA BEACH (X SERENITY MAKADI BEACH)</t>
  </si>
  <si>
    <t>ZYA REGINA RESORT &amp; AQUA PARK</t>
  </si>
  <si>
    <t>AMC ROYAL HOTEL &amp; SPA</t>
  </si>
  <si>
    <t>REGENCY PLAZA AQUA PARK &amp; SPA RESORT SSH</t>
  </si>
  <si>
    <t>V HOTEL SHARM EL SHEIKH</t>
  </si>
  <si>
    <t>JAZ MAKADI OASIS RESORT</t>
  </si>
  <si>
    <t>LE PACHA RESORT (HRG)</t>
  </si>
  <si>
    <t>DREAMS BEACH RESORT</t>
  </si>
  <si>
    <t>SUNRISE AQUA JOY RESORT</t>
  </si>
  <si>
    <t xml:space="preserve">STANDARD ROOM </t>
  </si>
  <si>
    <t>IL MERCATO HOTEL &amp; SPA</t>
  </si>
  <si>
    <t xml:space="preserve">SUNRISE GARDEN BEACH RESORT </t>
  </si>
  <si>
    <t>IVY CYRENE SHARM RESORT ADULTS ONLY+13</t>
  </si>
  <si>
    <t>XPERIENCE KIROSEIZ PARKLAND</t>
  </si>
  <si>
    <t>REWAYA MAJESTIC RESORT</t>
  </si>
  <si>
    <t>EAGLES DOWNTOWN ZAHABIA RESORT &amp; AQUA PARK</t>
  </si>
  <si>
    <t>EMPIRE HOTEL AQUA PARK</t>
  </si>
  <si>
    <t>XPERIENCE ST. GEORGE HOMESTAY</t>
  </si>
  <si>
    <t>MYW</t>
  </si>
  <si>
    <t>IT</t>
  </si>
  <si>
    <t>MALIKIA ABU DABAB RESORT</t>
  </si>
  <si>
    <t>JAZ AQUAVIVA RESORT</t>
  </si>
  <si>
    <t>SHONI BAY</t>
  </si>
  <si>
    <t>SWISS INN RESORT (HRG)</t>
  </si>
  <si>
    <t xml:space="preserve">JAZ GRAND MARSA </t>
  </si>
  <si>
    <t>TRUE BEACH RESORT</t>
  </si>
  <si>
    <t xml:space="preserve">SUPERIOR ROOM </t>
  </si>
  <si>
    <t>PREMIUM  ROOM</t>
  </si>
  <si>
    <t>WADI LAHMY RESORT</t>
  </si>
  <si>
    <t>XANADU CLUB MAKADI BAY (HRG)</t>
  </si>
  <si>
    <t>Rixos Radamis Sharm El Sheikh</t>
  </si>
  <si>
    <t>XPERIENCE ST GEORGE HOMESTAY</t>
  </si>
  <si>
    <t>BLEND CLUB AQUA RESORT</t>
  </si>
  <si>
    <t>CAI</t>
  </si>
  <si>
    <t>HANDLING ONLY</t>
  </si>
  <si>
    <t>PICKALBATROS PALACE RESORT</t>
  </si>
  <si>
    <t>STANDARD ROOM</t>
  </si>
  <si>
    <t>PALM ROYAL SOMA BAY</t>
  </si>
  <si>
    <t>RENAISSANCE SHARM EL SHEIKH</t>
  </si>
  <si>
    <t>JAZ MIRABEL CLUB &amp; PARK SSH</t>
  </si>
  <si>
    <t>Family standard room</t>
  </si>
  <si>
    <t>THE THREE CORNERS SUNNY BEACH RESORT</t>
  </si>
  <si>
    <t>STANDARD ROOM GARDEN / POOL VIEW </t>
  </si>
  <si>
    <t>CALIMERA BLEND PARADISE</t>
  </si>
  <si>
    <t>MONTE CARLO SHARM</t>
  </si>
  <si>
    <t>Comfort room</t>
  </si>
  <si>
    <t>SWISSÔTEL SHARM EL SHEIKH</t>
  </si>
  <si>
    <t>BARON PALACE SAHL HASHEESH</t>
  </si>
  <si>
    <t xml:space="preserve">Manfred CXL on 15-04 Matheis - Olga Matheis  - Isabel Matheis , Re booked on 05-04 with name Olga Matheis </t>
  </si>
  <si>
    <t>AMPHORAS BEACH</t>
  </si>
  <si>
    <t xml:space="preserve">QUADRUPLE (Comfort Family Room) </t>
  </si>
  <si>
    <t>Domina Coral Bay Sultan</t>
  </si>
  <si>
    <t xml:space="preserve">Standard Room </t>
  </si>
  <si>
    <t>CHARMILLION CLUB AQUA PARK</t>
  </si>
  <si>
    <t>alessandra varetti,  giuseppe gatto, mario gatto, emanuele	gatto</t>
  </si>
  <si>
    <t>FAMILY ROOM (Premium Grand Room)</t>
  </si>
  <si>
    <t>STANDARD ROOM SEA VIEW</t>
  </si>
  <si>
    <t xml:space="preserve">Sebastian Benz - Leonie Feuchtmayr </t>
  </si>
  <si>
    <t>JAZ FANARA RESORT</t>
  </si>
  <si>
    <t>Deluxe Family Room Garden View</t>
  </si>
  <si>
    <t>FAMILY STANDARD (Comfort Family)</t>
  </si>
  <si>
    <t xml:space="preserve">MEHDI SAHRAOUI  </t>
  </si>
  <si>
    <t>Christophe PERUFFO</t>
  </si>
  <si>
    <t>IBEROTEL PALACE</t>
  </si>
  <si>
    <t>AMPHORAS AQUA</t>
  </si>
  <si>
    <t>AMPHORAS BLU</t>
  </si>
  <si>
    <t>17243779 </t>
  </si>
  <si>
    <t xml:space="preserve">Sunrise Aqua joy </t>
  </si>
  <si>
    <t>THREE CORNERS EQUINOX BEACH RESORT</t>
  </si>
  <si>
    <t xml:space="preserve">Pieter Oostendorp , Liza Oostendorp , Mate Oostendorp , </t>
  </si>
  <si>
    <t>THE THREE CORNERS SEA BEACH RESORT</t>
  </si>
  <si>
    <t xml:space="preserve">Nicola Blackmore , Jessica Maylor </t>
  </si>
  <si>
    <t>SUPERIOR ROOM</t>
  </si>
  <si>
    <t>Dreams Beach Resort</t>
  </si>
  <si>
    <t>V Hotel Sharm El Sheikh</t>
  </si>
  <si>
    <t xml:space="preserve">Le Pacha Resort </t>
  </si>
  <si>
    <t>2 COMFORT Rooms</t>
  </si>
  <si>
    <t>IBRAHIM Coulibaly</t>
  </si>
  <si>
    <t>Bernd Buric, Wolfgang Rangl,  Sebastian	Frank, Florian Frank</t>
  </si>
  <si>
    <t>Family Suite</t>
  </si>
  <si>
    <t>Melanie Wittig CXL on 12-05, Tobias Schantz  , Leo Wittig , Finn Gutschalk , Re booked on 09-05 with name Finn Gutschalk</t>
  </si>
  <si>
    <t xml:space="preserve">ONE BEDROOM CHALET </t>
  </si>
  <si>
    <t xml:space="preserve">CLEOPATRA LUXURY RESORT MAKADI BAY </t>
  </si>
  <si>
    <t>FAMILY STANDARD</t>
  </si>
  <si>
    <t xml:space="preserve">Nina Chwolka , Mirko Chwolka , Pepe Chwolka , Emil Chwolka </t>
  </si>
  <si>
    <t xml:space="preserve">Andreas Schriebl , Jana Martincekova , Luis Matteo Schriebl </t>
  </si>
  <si>
    <t xml:space="preserve">Francesco Grieco , Rita Brando , Grieco Marco , Grieco Ginevra </t>
  </si>
  <si>
    <t xml:space="preserve">RENAISSANCE SHARM EL SHEIKH </t>
  </si>
  <si>
    <t xml:space="preserve">Daniele Silvestri CXL on 28-03, Santini Giulia, Silvestri Giorgio anni , Silvestri Giacomo anni , Re Booked on 25-03 with name Santini Giulia </t>
  </si>
  <si>
    <t>andrea galli ,  francesca pagani ,  viola galli , Re booked on 11-04 with name  francesca pagani</t>
  </si>
  <si>
    <t>NICOLE MARTINA CXL 14-04 Armirotti ,  Re booked on 12-04 with name Armirotti NECOLI CXL on 18-04</t>
  </si>
  <si>
    <t>EAGLES PARADISE ABU SOMA RESORT</t>
  </si>
  <si>
    <t xml:space="preserve">Aleksandra Petreski,Yelinson Alvarez Vidal ,Neven Schaefer ,Nina Evangeline Schaefer </t>
  </si>
  <si>
    <t xml:space="preserve">Helena Erlenbach , Alfred Erlenbach </t>
  </si>
  <si>
    <t>AMPHORAS BLU RESORT</t>
  </si>
  <si>
    <t xml:space="preserve">Lianne Webber, Timothy Plumb ,Amelia-Rose Sugrue ,  Keaton Sugrue </t>
  </si>
  <si>
    <t xml:space="preserve">AMANDINE BESNIER , MALORY SOUZA </t>
  </si>
  <si>
    <t xml:space="preserve">Jenan Ablahad Behnam , Samir Slewa Alias, Maryam Alias </t>
  </si>
  <si>
    <t>Le Pacha</t>
  </si>
  <si>
    <t xml:space="preserve">TITANIC RESORT </t>
  </si>
  <si>
    <t xml:space="preserve">DOUBLE/TWIN PREMIUM </t>
  </si>
  <si>
    <t xml:space="preserve">Marta Patrizia Bernardi , Nasr Abuzid , Sara Abuzid </t>
  </si>
  <si>
    <t xml:space="preserve">THREE CORNERS OCEAN VIEW </t>
  </si>
  <si>
    <t>THREE CORNERS OCEAN VIEW</t>
  </si>
  <si>
    <t>52A57A</t>
  </si>
  <si>
    <t>Sunny Days Elpalacio</t>
  </si>
  <si>
    <t>Standard Pool / Lagoon View</t>
  </si>
  <si>
    <t>Ruzanna Hochstein, Suzanna Harutyunyan</t>
  </si>
  <si>
    <t>Amphoras Blu Resort - Adults Only</t>
  </si>
  <si>
    <t>Date From</t>
  </si>
  <si>
    <t>Date To</t>
  </si>
  <si>
    <t>Choose Hotel Name:</t>
  </si>
  <si>
    <t xml:space="preserve"> = Free Sale</t>
  </si>
  <si>
    <t>Room Type1</t>
  </si>
  <si>
    <t>Alloc1</t>
  </si>
  <si>
    <t>Room Type2</t>
  </si>
  <si>
    <t>Alloc2</t>
  </si>
  <si>
    <t>Room Type3</t>
  </si>
  <si>
    <t>Alloc3</t>
  </si>
  <si>
    <t>Room Type4</t>
  </si>
  <si>
    <t>Alloc4</t>
  </si>
  <si>
    <t>Room Type 5</t>
  </si>
  <si>
    <t>Alloc5</t>
  </si>
  <si>
    <t>Room Type6</t>
  </si>
  <si>
    <t>Alloc6</t>
  </si>
  <si>
    <t>Room Type7</t>
  </si>
  <si>
    <t>Alloc7</t>
  </si>
  <si>
    <t>Room Type8</t>
  </si>
  <si>
    <t>Alloc8</t>
  </si>
  <si>
    <t>Room Type9</t>
  </si>
  <si>
    <t>Alloc9</t>
  </si>
  <si>
    <t>Room Type10</t>
  </si>
  <si>
    <t>Alloc10</t>
  </si>
  <si>
    <t>Room Type11</t>
  </si>
  <si>
    <t>Alloc11</t>
  </si>
  <si>
    <t>Room Type12</t>
  </si>
  <si>
    <t>Alloc12</t>
  </si>
  <si>
    <t>Room Type13</t>
  </si>
  <si>
    <t>Alloc13</t>
  </si>
  <si>
    <t>Room Type14</t>
  </si>
  <si>
    <t>Alloc14</t>
  </si>
  <si>
    <t>Room Type15</t>
  </si>
  <si>
    <t>Alloc15</t>
  </si>
  <si>
    <t>Room Type16</t>
  </si>
  <si>
    <t>Alloc16</t>
  </si>
  <si>
    <t>Room Type17</t>
  </si>
  <si>
    <t>Alloc17</t>
  </si>
  <si>
    <t>Room Type18</t>
  </si>
  <si>
    <t>Alloc18</t>
  </si>
  <si>
    <t>Room Type19</t>
  </si>
  <si>
    <t>Alloc19</t>
  </si>
  <si>
    <t>Room Type20</t>
  </si>
  <si>
    <t>Alloc20</t>
  </si>
  <si>
    <t>Search Date:</t>
  </si>
  <si>
    <t>AMARINA ABU SOMA RESORT &amp; AQUA PARK (SFG)</t>
  </si>
  <si>
    <t>STANDARD ROOM GARDEN VIEW</t>
  </si>
  <si>
    <t>STANDARD ROOM POOL VIEW</t>
  </si>
  <si>
    <t>From</t>
  </si>
  <si>
    <t>To</t>
  </si>
  <si>
    <t>Prod</t>
  </si>
  <si>
    <t>Date</t>
  </si>
  <si>
    <t>TTL Allot</t>
  </si>
  <si>
    <t>Alloc</t>
  </si>
  <si>
    <t>TTL Sold</t>
  </si>
  <si>
    <t>Sold</t>
  </si>
  <si>
    <t>BARCELO TIRAN SHARM RESORT</t>
  </si>
  <si>
    <t>SS</t>
  </si>
  <si>
    <t>FAMILY SUITE</t>
  </si>
  <si>
    <t>Mat%</t>
  </si>
  <si>
    <t>Avail</t>
  </si>
  <si>
    <t>BLEND CALIMERA PARADISE RESORT</t>
  </si>
  <si>
    <t>CHARMILLION CLUB RESORT</t>
  </si>
  <si>
    <t>CHARMILLION GARDENS AQUA PARK</t>
  </si>
  <si>
    <t>CHARMILLION SEA LIFE RESORT</t>
  </si>
  <si>
    <t>IBEROTEL CASA DEL MAR RESORT</t>
  </si>
  <si>
    <t>IBEROTEL PALACE SSH ADULTS ONLY +16</t>
  </si>
  <si>
    <t>JASMINE PALACE RESORT</t>
  </si>
  <si>
    <t>JAZ BELVEDERE RESORT SSH</t>
  </si>
  <si>
    <t>Total Hotel Production &amp; Materlization % of</t>
  </si>
  <si>
    <t>TTL HTL Prod</t>
  </si>
  <si>
    <t>JAZ MAKADI STAR &amp; SPA</t>
  </si>
  <si>
    <t>STANDARD ROOM SIDE SEA VIEW</t>
  </si>
  <si>
    <t>LAZULI HOTEL MARSA ALAM</t>
  </si>
  <si>
    <t>NOVOTEL SHARM EL SHEIKH BEACH WING SSH</t>
  </si>
  <si>
    <t>PALM ROYALE RESORT SOMA BAY</t>
  </si>
  <si>
    <t>PICKALBATROS AQUA PARK RESORT SSH</t>
  </si>
  <si>
    <t>RIXOS RADAMIS BLUE PLANET</t>
  </si>
  <si>
    <t>SPHINX AQUA PARK BEACH RESORT</t>
  </si>
  <si>
    <t>STELLA DI MARE BEACH HOTEL &amp; SPA SSH</t>
  </si>
  <si>
    <t>SUNNY DAYS ELPALACIO</t>
  </si>
  <si>
    <t>FAMILY ROMM GARDEN VIEW</t>
  </si>
  <si>
    <t>DUNE FAMILY ROOM</t>
  </si>
  <si>
    <t>DUNE FAMILY SWIM UP ROOM</t>
  </si>
  <si>
    <t>DUNE SUPERIOR SWIM UP ROOM</t>
  </si>
  <si>
    <t>DUNE SUPERIOR ROOM</t>
  </si>
  <si>
    <t>MAIN BUILDING FAMILY ROOM GARDEN VIEW</t>
  </si>
  <si>
    <t>MAIN BUILDING FAMILY ROOM SIDE SEA VIEW</t>
  </si>
  <si>
    <t>MAIN BUILDING JUNIOR SUITE POOL VIEW</t>
  </si>
  <si>
    <t>MAIN BUILDING JUNIOR SUITE SIDE SEA VIEW</t>
  </si>
  <si>
    <t>MAIN BUILDING SUPERIOR ROOM GARDEN VIEW</t>
  </si>
  <si>
    <t>MAIN BUILDING SUPERIOR ROOM SIDE SEA VIEW</t>
  </si>
  <si>
    <t>MAIN BUILDING SUPERIOR ROOM SEA VIEW</t>
  </si>
  <si>
    <t>XPERIENCE SEA BREEZE RESORT</t>
  </si>
  <si>
    <t>#Room</t>
  </si>
  <si>
    <t>Date To2</t>
  </si>
  <si>
    <t>Date To3</t>
  </si>
  <si>
    <t>Received Date</t>
  </si>
  <si>
    <t>Received Time</t>
  </si>
  <si>
    <t> </t>
  </si>
  <si>
    <t>MERAKI RESORT HRG ADULTS ONLY +17</t>
  </si>
  <si>
    <t>MERAKI RESORT HRG ADULTS ONLY +18</t>
  </si>
  <si>
    <t>MERAKI RESORT HRG ADULTS ONLY +19</t>
  </si>
  <si>
    <t>MERAKI RESORT HRG ADULTS ONLY +20</t>
  </si>
  <si>
    <t>MERAKI RESORT HRG ADULTS ONLY +21</t>
  </si>
  <si>
    <t>MERAKI RESORT HRG ADULTS ONLY +22</t>
  </si>
  <si>
    <t>MERAKI RESORT HRG ADULTS ONLY +23</t>
  </si>
  <si>
    <t>MERAKI RESORT HRG ADULTS ONLY +24</t>
  </si>
  <si>
    <t>MERAKI RESORT HRG ADULTS ONLY +25</t>
  </si>
  <si>
    <t>SUNRISE HOLIDAYS RESORT ADULTS ONLY +17</t>
  </si>
  <si>
    <t>SUNRISE HOLIDAYS RESORT ADULTS ONLY +18</t>
  </si>
  <si>
    <t>SUNRISE HOLIDAYS RESORT ADULTS ONLY +19</t>
  </si>
  <si>
    <t>SUNRISE HOLIDAYS RESORT ADULTS ONLY +20</t>
  </si>
  <si>
    <t>SUNRISE HOLIDAYS RESORT ADULTS ONLY +21</t>
  </si>
  <si>
    <t>Wed 05-Nov-25 9:47 AM</t>
  </si>
  <si>
    <t>Wed 05-Nov-25 11:14 AM</t>
  </si>
  <si>
    <t>Wed 05-Nov-25 12:48 PM</t>
  </si>
  <si>
    <t>Wed 05-Nov-25 11:55 AM</t>
  </si>
  <si>
    <t>Wed 05-Nov-25 12:41 PM</t>
  </si>
  <si>
    <t>Wed 05-Nov-25 3:22 PM</t>
  </si>
  <si>
    <t>Wed 05-Nov-25 4:27 PM</t>
  </si>
  <si>
    <t>Wed 05-Nov-25 4:07 PM</t>
  </si>
  <si>
    <t>Wed 05-Nov-25 4:31 PM</t>
  </si>
  <si>
    <t>Wed 05-Nov-25 4:32 PM</t>
  </si>
  <si>
    <t>Thu 06-Nov-25 10:03 AM</t>
  </si>
  <si>
    <t>Thu 06-Nov-25 10:36 AM</t>
  </si>
  <si>
    <t>Thu 06-Nov-25 12:32 PM</t>
  </si>
  <si>
    <t>Thu 06-Nov-25 2:32 PM</t>
  </si>
  <si>
    <t>Thu 06-Nov-25 2:56 PM</t>
  </si>
  <si>
    <t>Savoy Group Hotels Sharm El Sheikh</t>
  </si>
  <si>
    <t>Thu 06-Nov-25 2:59 PM</t>
  </si>
  <si>
    <t>Thu 06-Nov-25 4:09 PM</t>
  </si>
  <si>
    <t>Thu 06-Nov-25 4:53 PM</t>
  </si>
  <si>
    <t>Thu 06-Nov-25 7:46 PM</t>
  </si>
  <si>
    <t>Thu 06-Nov-25 6:29 PM</t>
  </si>
  <si>
    <t>Thu 06-Nov-25 5:51 PM</t>
  </si>
  <si>
    <t>Fri 07-Nov-25 10:13 AM</t>
  </si>
  <si>
    <t>Fri 07-Nov-25 11:21 AM</t>
  </si>
  <si>
    <t>Fri 07-Nov-25 11:41 AM</t>
  </si>
  <si>
    <t>Fri 07-Nov-25 12:54 PM</t>
  </si>
  <si>
    <t>Fri 07-Nov-25 2:07 PM</t>
  </si>
  <si>
    <t>Fri 07-Nov-25 12:50 PM</t>
  </si>
  <si>
    <t>Fri 07-Nov-25 4:25 PM</t>
  </si>
  <si>
    <t>Fri 07-Nov-25 5:12 PM</t>
  </si>
  <si>
    <t>Fri 07-Nov-25 5:17 PM</t>
  </si>
  <si>
    <t>Fri 07-Nov-25 6:39 PM</t>
  </si>
  <si>
    <t>Sat 08-Nov-25 10:35 AM</t>
  </si>
  <si>
    <t>Sat 08-Nov-25 10:39 AM</t>
  </si>
  <si>
    <t>Sat 08-Nov-25 11:24 AM</t>
  </si>
  <si>
    <t>Thu 06-Nov-25 10:39 AM</t>
  </si>
  <si>
    <t>Sat 08-Nov-25 1:57 PM</t>
  </si>
  <si>
    <t>Sat 08-Nov-25 11:46 AM</t>
  </si>
  <si>
    <t>Sat 08-Nov-25 2:34 PM</t>
  </si>
  <si>
    <t>Sat 08-Nov-25 1:35 PM</t>
  </si>
  <si>
    <t>Sat 08-Nov-25 3:51 PM</t>
  </si>
  <si>
    <t>Sat 08-Nov-25 4:26 PM</t>
  </si>
  <si>
    <t>Sat 08-Nov-25 4:57 PM</t>
  </si>
  <si>
    <t>Sun 09-Nov-25 10:35 AM</t>
  </si>
  <si>
    <t>Sun 09-Nov-25 10:39 AM</t>
  </si>
  <si>
    <t>Sun 09-Nov-25 12:23 PM</t>
  </si>
  <si>
    <t>Sun 09-Nov-25 12:52 PM</t>
  </si>
  <si>
    <t>Sun 09-Nov-25 12:54 PM</t>
  </si>
  <si>
    <t>Sun 09-Nov-25 1:06 PM</t>
  </si>
  <si>
    <t>Sun 09-Nov-25 1:26 PM</t>
  </si>
  <si>
    <t>Sun 09-Nov-25 3:18 PM</t>
  </si>
  <si>
    <t>Sun 09-Nov-25 4:59 PM</t>
  </si>
  <si>
    <t>Mon 10-Nov-25 9:46 AM</t>
  </si>
  <si>
    <t>Mon 10-Nov-25 10:22 AM</t>
  </si>
  <si>
    <t>Mon 10-Nov-25 12:51 PM</t>
  </si>
  <si>
    <t>Mon 10-Nov-25 1:06 PM</t>
  </si>
  <si>
    <t>Mon 10-Nov-25 2:05 PM</t>
  </si>
  <si>
    <t>Mon 10-Nov-25 1:17 PM</t>
  </si>
  <si>
    <t>Mon 10-Nov-25 1:33 PM</t>
  </si>
  <si>
    <t>Mon 10-Nov-25 1:44 PM</t>
  </si>
  <si>
    <t>Mon 10-Nov-25 3:07 PM</t>
  </si>
  <si>
    <t>Mon 10-Nov-25 3:05 PM</t>
  </si>
  <si>
    <t>Mon 10-Nov-25 3:43 PM</t>
  </si>
  <si>
    <t>Tue 11-Nov-25 9:18 AM</t>
  </si>
  <si>
    <t>Mon 10-Nov-25 1:09 PM</t>
  </si>
  <si>
    <t>Tue 11-Nov-25 9:43 AM</t>
  </si>
  <si>
    <t>Tue 11-Nov-25 10:52 AM</t>
  </si>
  <si>
    <t>Tue 11-Nov-25 11:21 AM</t>
  </si>
  <si>
    <t>Tue 11-Nov-25 11:22 AM</t>
  </si>
  <si>
    <t>Tue 11-Nov-25 11:11 PM</t>
  </si>
  <si>
    <t>Tue 11-Nov-25 12:11 PM</t>
  </si>
  <si>
    <t>Tue 11-Nov-25 1:18 PM</t>
  </si>
  <si>
    <t>Mon 10-Nov-25 6:09 PM</t>
  </si>
  <si>
    <t>Tue 11-Nov-25 9:30 AM</t>
  </si>
  <si>
    <t>Tue 11-Nov-25 12:07 PM</t>
  </si>
  <si>
    <t>Tue 11-Nov-25 4:01 PM</t>
  </si>
  <si>
    <t>Tue 11-Nov-25 4:12 PM</t>
  </si>
  <si>
    <t>Wed 12-Nov-25 9:34 AM</t>
  </si>
  <si>
    <t>Wed 12-Nov-25 11:29 AM</t>
  </si>
  <si>
    <t>Wed 12-Nov-25 1:37 PM</t>
  </si>
  <si>
    <t>Thu 13-Nov-25 8:59 AM</t>
  </si>
  <si>
    <t>Thu 13-Nov-25 9:28 AM</t>
  </si>
  <si>
    <t>Thu 13-Nov-25 11:38 AM</t>
  </si>
  <si>
    <t>Thu 13-Nov-25 11:46 AM</t>
  </si>
  <si>
    <t>Thu 13-Nov-25 11:51 AM</t>
  </si>
  <si>
    <t>Thu 13-Nov-25 12:06 PM</t>
  </si>
  <si>
    <t>Thu 13-Nov-25 12:18 PM</t>
  </si>
  <si>
    <t>Thu 13-Nov-25 12:24 PM</t>
  </si>
  <si>
    <t>Thu 13-Nov-25 12:50 PM</t>
  </si>
  <si>
    <t>Thu 13-Nov-25 1:23 PM</t>
  </si>
  <si>
    <t>Thu 13-Nov-25 3:14 PM</t>
  </si>
  <si>
    <t>Thu 13-Nov-25 4:26 PM</t>
  </si>
  <si>
    <t>Fri 14-Nov-25 9:06 AM</t>
  </si>
  <si>
    <t>Fri 14-Nov-25 1:41 PM</t>
  </si>
  <si>
    <t>Fri 14-Nov-25 2:28 PM</t>
  </si>
  <si>
    <t>Fri 14-Nov-25 3:08 PM</t>
  </si>
  <si>
    <t>Fri 14-Nov-25 4:51 PM</t>
  </si>
  <si>
    <t>Fri 14-Nov-25 5:28 PM</t>
  </si>
  <si>
    <t>Fri 14-Nov-25 9:14 PM</t>
  </si>
  <si>
    <t>Fri 14-Nov-25 4:54 PM</t>
  </si>
  <si>
    <t>Fri 14-Nov-25 4:50 PM</t>
  </si>
  <si>
    <t>Fri 14-Nov-25 9:36 AM</t>
  </si>
  <si>
    <t>Thu 13-Nov-25 10:47 PM</t>
  </si>
  <si>
    <t>Sat 15-Nov-25 11:54 AM</t>
  </si>
  <si>
    <t>Sat 15-Nov-25 1:05 PM</t>
  </si>
  <si>
    <t>Sat 15-Nov-25 12:18 PM</t>
  </si>
  <si>
    <t>Sat 15-Nov-25 2:13 PM</t>
  </si>
  <si>
    <t>Sat 15-Nov-25 5:44 PM</t>
  </si>
  <si>
    <t>Sat 15-Nov-25 7:51 PM</t>
  </si>
  <si>
    <t>Sat 15-Nov-25 8:47 PM</t>
  </si>
  <si>
    <t>Sun 16-Nov-25 9:04 AM</t>
  </si>
  <si>
    <t>Sun 16-Nov-25 10:21 AM</t>
  </si>
  <si>
    <t>Sun 16-Nov-25 10:30 AM</t>
  </si>
  <si>
    <t>Sun 16-Nov-25 12:12 PM</t>
  </si>
  <si>
    <t>Sun 16-Nov-25 2:09 PM</t>
  </si>
  <si>
    <t>Sun 16-Nov-25 2:29 PM</t>
  </si>
  <si>
    <t>Sun 16-Nov-25 1:34 PM</t>
  </si>
  <si>
    <t>Sun 16-Nov-25 4:03 PM</t>
  </si>
  <si>
    <t>Mon 17-Nov-25 9:36 AM</t>
  </si>
  <si>
    <t>Mon 17-Nov-25 2:05 PM</t>
  </si>
  <si>
    <t>Mon 17-Nov-25 12:37 PM</t>
  </si>
  <si>
    <t>Mon 17-Nov-25 5:16 PM</t>
  </si>
  <si>
    <t>Mon 17-Nov-25 6:38 PM</t>
  </si>
  <si>
    <t>Tue 18-Nov-25 12:58 AM</t>
  </si>
  <si>
    <t>Tue 18-Nov-25 10:10 AM</t>
  </si>
  <si>
    <t>Tue 18-Nov-25 11:21 AM</t>
  </si>
  <si>
    <t>Tue 18-Nov-25 11:53 AM</t>
  </si>
  <si>
    <t>Tue 18-Nov-25 11:55 AM</t>
  </si>
  <si>
    <t>Tue 18-Nov-25 3:43 PM</t>
  </si>
  <si>
    <t>Tue 18-Nov-25 2:05 PM</t>
  </si>
  <si>
    <t>Tue 18-Nov-25 4:14 PM</t>
  </si>
  <si>
    <t>Tue 18-Nov-25 4:48 PM</t>
  </si>
  <si>
    <t>Tue 18-Nov-25 5:43 PM</t>
  </si>
  <si>
    <t>Wed 19-Nov-25 10:28 AM</t>
  </si>
  <si>
    <t>Mon 17-Nov-25 5:20 PM</t>
  </si>
  <si>
    <t>Wed 19-Nov-25 1:03 PM</t>
  </si>
  <si>
    <t>Wed 19-Nov-25 1:32 PM</t>
  </si>
  <si>
    <t>Wed 19-Nov-25 1:49 PM</t>
  </si>
  <si>
    <t>Wed 19-Nov-25 4:41 PM</t>
  </si>
  <si>
    <t>Wed 19-Nov-25 4:19 PM</t>
  </si>
  <si>
    <t>Wed 19-Nov-25 4:42 PM</t>
  </si>
  <si>
    <t>Wed 19-Nov-25 5:00 PM</t>
  </si>
  <si>
    <t>Thu 20-Nov-25 9:25 AM</t>
  </si>
  <si>
    <t>Wed 19-Nov-25 10:15 PM</t>
  </si>
  <si>
    <t>Wed 19-Nov-25 10:31 PM</t>
  </si>
  <si>
    <t>Thu 20-Nov-25 12:43 PM</t>
  </si>
  <si>
    <t>Thu 20-Nov-25 11:12 AM</t>
  </si>
  <si>
    <t>Thu 20-Nov-25 12:47 PM</t>
  </si>
  <si>
    <t>Thu 20-Nov-25 11:55 AM</t>
  </si>
  <si>
    <t>Thu 20-Nov-25 12:00 PM</t>
  </si>
  <si>
    <t xml:space="preserve">SUNRISE HOLIDAYS </t>
  </si>
  <si>
    <t>Thu 20-Nov-25 2:16 PM</t>
  </si>
  <si>
    <t>Thu 20-Nov-25 2:34 PM</t>
  </si>
  <si>
    <t>Thu 20-Nov-25 5:12 PM</t>
  </si>
  <si>
    <t>Thu 20-Nov-25 3:25 PM</t>
  </si>
  <si>
    <t>Thu 20-Nov-25 5:05 PM</t>
  </si>
  <si>
    <t>Thu 20-Nov-25 5:04 PM</t>
  </si>
  <si>
    <t>Thu 20-Nov-25 9:01 AM</t>
  </si>
  <si>
    <t>Fri 21-Nov-25 12:34 PM</t>
  </si>
  <si>
    <t>Fri 21-Nov-25 1:21 PM</t>
  </si>
  <si>
    <t>Fri 21-Nov-25 2:32 PM</t>
  </si>
  <si>
    <t>Fri 21-Nov-25 5:01 PM</t>
  </si>
  <si>
    <t>Fri 21-Nov-25 11:15 AM</t>
  </si>
  <si>
    <t>Fri 21-Nov-25 11:31 AM</t>
  </si>
  <si>
    <t>Fri 21-Nov-25 3:24 PM</t>
  </si>
  <si>
    <t>Fri 21-Nov-25 5:02 PM</t>
  </si>
  <si>
    <t>Fri 21-Nov-25 6:15 PM</t>
  </si>
  <si>
    <t>Fri 21-Nov-25 9:59 PM</t>
  </si>
  <si>
    <t>Sat 22-Nov-25 10:23 AM</t>
  </si>
  <si>
    <t>Sat 22-Nov-25 11:11 AM</t>
  </si>
  <si>
    <t>Sat 22-Nov-25 11:51 AM</t>
  </si>
  <si>
    <t>Sat 22-Nov-25 12:26 PM</t>
  </si>
  <si>
    <t>Sat 22-Nov-25 10:57 AM</t>
  </si>
  <si>
    <t>Sat 22-Nov-25 12:13 PM</t>
  </si>
  <si>
    <t>Sat 22-Nov-25 2:02 PM</t>
  </si>
  <si>
    <t>Sat 22-Nov-25 4:10 PM</t>
  </si>
  <si>
    <t>Sun 23-Nov-25 10:31 AM</t>
  </si>
  <si>
    <t>Sun 23-Nov-25 1:27 PM</t>
  </si>
  <si>
    <t>Sun 23-Nov-25 3:13 PM</t>
  </si>
  <si>
    <t>Sun 23-Nov-25 6:36 PM</t>
  </si>
  <si>
    <t>Mon 24-Nov-25 9:05 AM</t>
  </si>
  <si>
    <t>Mon 24-Nov-25 12:00 PM</t>
  </si>
  <si>
    <t>Mon 24-Nov-25 11:52 AM</t>
  </si>
  <si>
    <t>Mon 24-Nov-25 3:01 PM</t>
  </si>
  <si>
    <t>Mon 24-Nov-25 3:02 PM</t>
  </si>
  <si>
    <t>Mon 24-Nov-25 3:49 PM</t>
  </si>
  <si>
    <t>RENAISSANCE SHARM EL SHEIKH GOLDEN VIEW BEACH RESORT</t>
  </si>
  <si>
    <t>Tue 25-Nov-25 10:01 AM</t>
  </si>
  <si>
    <t>Tue 25-Nov-25 12:35 PM</t>
  </si>
  <si>
    <t>Tue 25-Nov-25 12:40 PM</t>
  </si>
  <si>
    <t>Tue 25-Nov-25 12:48 PM</t>
  </si>
  <si>
    <t>Tue 25-Nov-25 12:57 PM</t>
  </si>
  <si>
    <t>Tue 25-Nov-25 1:10 PM</t>
  </si>
  <si>
    <t>Tue 25-Nov-25 1:38 PM</t>
  </si>
  <si>
    <t>Tue 25-Nov-25 2:03 PM</t>
  </si>
  <si>
    <t>Tue 25-Nov-25 2:23 PM</t>
  </si>
  <si>
    <t>Tue 25-Nov-25 4:30 PM</t>
  </si>
  <si>
    <t>Wed 26-Nov-25 1:27 PM</t>
  </si>
  <si>
    <t>Wed 26-Nov-25 3:44 PM</t>
  </si>
  <si>
    <t>Wed 26-Nov-25 12:13 PM</t>
  </si>
  <si>
    <t>Wed 26-Nov-25 1:05 PM</t>
  </si>
  <si>
    <t>Wed 26-Nov-25 4:27 PM</t>
  </si>
  <si>
    <t>Mon 24-Nov-25 5:02 PM</t>
  </si>
  <si>
    <t>Sun 23-Nov-25 2:37 PM</t>
  </si>
  <si>
    <t>Sun 23-Nov-25 1:16 PM</t>
  </si>
  <si>
    <t>Wed 26-Nov-25 4:37 PM</t>
  </si>
  <si>
    <t>Wed 26-Nov-25 5:24 PM</t>
  </si>
  <si>
    <t>Thu 27-Nov-25 1:01 PM</t>
  </si>
  <si>
    <t>Thu 27-Nov-25 1:29 PM</t>
  </si>
  <si>
    <t>Thu 27-Nov-25 3:33 PM</t>
  </si>
  <si>
    <t>Thu 27-Nov-25 3:37 PM</t>
  </si>
  <si>
    <t>Thu 27-Nov-25 3:02 PM</t>
  </si>
  <si>
    <t>Thu 27-Nov-25 4:42 PM</t>
  </si>
  <si>
    <t>Thu 27-Nov-25 6:14 PM</t>
  </si>
  <si>
    <t>Fri 28-Nov-25 9:34 AM</t>
  </si>
  <si>
    <t>Fri 28-Nov-25 9:47 AM</t>
  </si>
  <si>
    <t>Fri 28-Nov-25 11:23 AM</t>
  </si>
  <si>
    <t>Fri 28-Nov-25 2:16 PM</t>
  </si>
  <si>
    <t>Fri 28-Nov-25 2:20 PM</t>
  </si>
  <si>
    <t>Fri 28-Nov-25 4:24 PM</t>
  </si>
  <si>
    <t>Fri 28-Nov-25 4:56 PM</t>
  </si>
  <si>
    <t>Sat 29-Nov-25 12:06 PM</t>
  </si>
  <si>
    <t>Sat 29-Nov-25 12:14 PM</t>
  </si>
  <si>
    <t>Sat 29-Nov-25 2:00 PM</t>
  </si>
  <si>
    <t>Sat 29-Nov-25 11:45 AM</t>
  </si>
  <si>
    <t>Sat 29-Nov-25 12:20 PM</t>
  </si>
  <si>
    <t>Sat 29-Nov-25 12:57 PM</t>
  </si>
  <si>
    <t>Sat 29-Nov-25 1:08 PM</t>
  </si>
  <si>
    <t>Sat 29-Nov-25 2:33 PM</t>
  </si>
  <si>
    <t>Sat 29-Nov-25 3:01 PM</t>
  </si>
  <si>
    <t>Sat 29-Nov-25 4:26 PM</t>
  </si>
  <si>
    <t>Sat 29-Nov-25 7:00 PM</t>
  </si>
  <si>
    <t>Sat 29-Nov-25 4:35 PM</t>
  </si>
  <si>
    <t>Sun 30-Nov-25 12:29 PM</t>
  </si>
  <si>
    <t>Sun 30-Nov-25 12:12 PM</t>
  </si>
  <si>
    <t>Sun 30-Nov-25 3:06 PM</t>
  </si>
  <si>
    <t>Sun 30-Nov-25 3:59 PM</t>
  </si>
  <si>
    <t>Mon 01-Dec-25 2:15 PM</t>
  </si>
  <si>
    <t>Mon 01-Dec-25 4:02 PM</t>
  </si>
  <si>
    <t>Sun 30-Nov-25 7:05 PM</t>
  </si>
  <si>
    <t>Sun 30-Nov-25 9:33 PM</t>
  </si>
  <si>
    <t>Sun 30-Nov-25 9:35 PM</t>
  </si>
  <si>
    <t>Mon 01-Dec-25 11:10 AM</t>
  </si>
  <si>
    <t>Mon 01-Dec-25 12:41 PM</t>
  </si>
  <si>
    <t>Tue 02-Dec-25 10:49 AM</t>
  </si>
  <si>
    <t>Tue 02-Dec-25 11:59 AM</t>
  </si>
  <si>
    <t>Tue 02-Dec-25 6:24 PM</t>
  </si>
  <si>
    <t>Wed 03-Dec-25 9:26 AM</t>
  </si>
  <si>
    <t>TRUE BEACH</t>
  </si>
  <si>
    <t>Tue 02-Dec-25 3:47 PM</t>
  </si>
  <si>
    <t>Wed 03-Dec-25 10:51 AM</t>
  </si>
  <si>
    <t>Wed 03-Dec-25 11:56 AM</t>
  </si>
  <si>
    <t>Wed 03-Dec-25 12:07 PM</t>
  </si>
  <si>
    <t>Wed 03-Dec-25 12:44 PM</t>
  </si>
  <si>
    <t>Wed 03-Dec-25 12:51 PM</t>
  </si>
  <si>
    <t>Wed 03-Dec-25 1:29 PM</t>
  </si>
  <si>
    <t>Wed 03-Dec-25 1:58 PM</t>
  </si>
  <si>
    <t>Wed 03-Dec-25 3:10 PM</t>
  </si>
  <si>
    <t>Wed 03-Dec-25 3:47 PM</t>
  </si>
  <si>
    <t>Wed 03-Dec-25 5:03 PM</t>
  </si>
  <si>
    <t>31/10/2026</t>
  </si>
  <si>
    <t>Thu 04-Dec-25 10:31 AM</t>
  </si>
  <si>
    <t>Thu 04-Dec-25 3:49 PM</t>
  </si>
  <si>
    <t>Thu 04-Dec-25 3:59 PM</t>
  </si>
  <si>
    <t>Wed 03-Dec-25 5:02 PM</t>
  </si>
  <si>
    <t>Wed 03-Dec-25 5:05 PM</t>
  </si>
  <si>
    <t>Thu 04-Dec-25 7:03 PM</t>
  </si>
  <si>
    <t>Thu 04-Dec-25 5:16 PM</t>
  </si>
  <si>
    <t>Thu 04-Dec-25 5:23 PM</t>
  </si>
  <si>
    <t>Fri 05-Dec-25 2:54 PM</t>
  </si>
  <si>
    <t>Fri 05-Dec-25 1:22 PM</t>
  </si>
  <si>
    <t>Fri 05-Dec-25 11:08 AM</t>
  </si>
  <si>
    <t>Sat 06-Dec-25 11:11 AM</t>
  </si>
  <si>
    <t>Sat 06-Dec-25 11:27 AM</t>
  </si>
  <si>
    <t>Sat 06-Dec-25 12:54 PM</t>
  </si>
  <si>
    <t>Sat 06-Dec-25 1:49 PM</t>
  </si>
  <si>
    <t>Sat 06-Dec-25 3:48 PM</t>
  </si>
  <si>
    <t>Sat 06-Dec-25 4:27 PM</t>
  </si>
  <si>
    <t>Sun 07-Dec-25 1:32 PM</t>
  </si>
  <si>
    <t>Sun 07-Dec-25 3:13 PM</t>
  </si>
  <si>
    <t>Sun 07-Dec-25 10:56 AM</t>
  </si>
  <si>
    <t>JAZ FANARA</t>
  </si>
  <si>
    <t>Sun 07-Dec-25 10:47 AM</t>
  </si>
  <si>
    <t>Sun 07-Dec-25 11:36 AM</t>
  </si>
  <si>
    <t>Sun 07-Dec-25 1:23 PM</t>
  </si>
  <si>
    <t>Mon 08-Dec-25 12:54 PM</t>
  </si>
  <si>
    <t>Mon 08-Dec-25 3:33 PM</t>
  </si>
  <si>
    <t>Mon 08-Dec-25 4:53 PM</t>
  </si>
  <si>
    <t>Mon 08-Dec-25 5:35 PM</t>
  </si>
  <si>
    <t>Mon 08-Dec-25 3:58 PM</t>
  </si>
  <si>
    <t>Tue 09-Dec-25 10:18 AM</t>
  </si>
  <si>
    <t>Tue 09-Dec-25 11:41 AM</t>
  </si>
  <si>
    <t>Tue 09-Dec-25 2:51 PM</t>
  </si>
  <si>
    <t>Tue 09-Dec-25 3:21 PM</t>
  </si>
  <si>
    <t>Wed 10-Dec-25 10:30 AM</t>
  </si>
  <si>
    <t>Wed 10-Dec-25 12:21 PM</t>
  </si>
  <si>
    <t>Wed 10-Dec-25 11:44 AM</t>
  </si>
  <si>
    <t>Wed 10-Dec-25 5:04 PM</t>
  </si>
  <si>
    <t>Wed 10-Dec-25 2:04 PM</t>
  </si>
  <si>
    <t>Wed 10-Dec-25 6:20 PM</t>
  </si>
  <si>
    <t>Thu 11-Dec-25 10:54 AM</t>
  </si>
  <si>
    <t>Thu 11-Dec-25 12:39 PM</t>
  </si>
  <si>
    <t>Wed 10-Dec-25 11:42 AM</t>
  </si>
  <si>
    <t>Thu 11-Dec-25 10:57 AM</t>
  </si>
  <si>
    <t>Thu 11-Dec-25 1:38 PM</t>
  </si>
  <si>
    <t>Thu 11-Dec-25 4:00 PM</t>
  </si>
  <si>
    <t>Thu 11-Dec-25 2:09 PM</t>
  </si>
  <si>
    <t>Thu 11-Dec-25 2:53 PM</t>
  </si>
  <si>
    <t>Thu 11-Dec-25 3:22 PM</t>
  </si>
  <si>
    <t>Thu 11-Dec-25 3:36 PM</t>
  </si>
  <si>
    <t>Thu 11-Dec-25 4:38 PM</t>
  </si>
  <si>
    <t>Thu 11-Dec-25 5:07 PM</t>
  </si>
  <si>
    <t>Thu 11-Dec-25 4:07 PM</t>
  </si>
  <si>
    <t>Thu 11-Dec-25 4:03 PM</t>
  </si>
  <si>
    <t>Fri 12-Dec-25 11:19 AM</t>
  </si>
  <si>
    <t>Fri 12-Dec-25 2:36 PM</t>
  </si>
  <si>
    <t>Fri 12-Dec-25 3:03 PM</t>
  </si>
  <si>
    <t>Fri 12-Dec-25 4:24 PM</t>
  </si>
  <si>
    <t>Sat 13-Dec-25 2:00 PM</t>
  </si>
  <si>
    <t>Sat 13-Dec-25 12:53 PM</t>
  </si>
  <si>
    <t>Sat 13-Dec-25 11:04 AM</t>
  </si>
  <si>
    <t>Sat 13-Dec-25 5:29 PM</t>
  </si>
  <si>
    <t>Sun 14-Dec-25 9:47 AM</t>
  </si>
  <si>
    <t>Sun 14-Dec-25 11:01 AM</t>
  </si>
  <si>
    <t>Sun 14-Dec-25 11:04 AM</t>
  </si>
  <si>
    <t>Sun 14-Dec-25 11:57 AM</t>
  </si>
  <si>
    <t>Sun 14-Dec-25 12:57 PM</t>
  </si>
  <si>
    <t>Sun 14-Dec-25 4:25 PM</t>
  </si>
  <si>
    <t>Mon 15-Dec-25 10:38 AM</t>
  </si>
  <si>
    <t>Mon 15-Dec-25 11:03 AM</t>
  </si>
  <si>
    <t>Mon 15-Dec-25 11:17 AM</t>
  </si>
  <si>
    <t>Mon 15-Dec-25 2:05 PM</t>
  </si>
  <si>
    <t>Mon 15-Dec-25 3:13 PM</t>
  </si>
  <si>
    <t>Tue 16-Dec-25 6:26 PM</t>
  </si>
  <si>
    <t>Wed 17-Dec-25 9:45 AM</t>
  </si>
  <si>
    <t>Wed 17-Dec-25 10:30 AM</t>
  </si>
  <si>
    <t>Wed 17-Dec-25 11:34 AM</t>
  </si>
  <si>
    <t>Wed 17-Dec-25 12:37 PM</t>
  </si>
  <si>
    <t>Wed 17-Dec-25 12:53 PM</t>
  </si>
  <si>
    <t>Wed 17-Dec-25 2:44 PM</t>
  </si>
  <si>
    <t>Wed 17-Dec-25 5:01 PM</t>
  </si>
  <si>
    <t>Wed 17-Dec-25 4:51 PM</t>
  </si>
  <si>
    <t>Wed 17-Dec-25 6:04 PM</t>
  </si>
  <si>
    <t>Thu 18-Dec-25 10:26 AM</t>
  </si>
  <si>
    <t>Thu 18-Dec-25 12:14 PM</t>
  </si>
  <si>
    <t>Thu 18-Dec-25 1:36 PM</t>
  </si>
  <si>
    <t>Thu 18-Dec-25 4:22 PM</t>
  </si>
  <si>
    <t>Thu 18-Dec-25 4:35 PM</t>
  </si>
  <si>
    <t>Thu 18-Dec-25 4:39 PM</t>
  </si>
  <si>
    <t>Fri 19-Dec-25 10:12 AM</t>
  </si>
  <si>
    <t>Fri 19-Dec-25 1:35 PM</t>
  </si>
  <si>
    <t>Fri 19-Dec-25 2:03 PM</t>
  </si>
  <si>
    <t>Fri 19-Dec-25 2:20 PM</t>
  </si>
  <si>
    <t>Fri 19-Dec-25 5:00 PM</t>
  </si>
  <si>
    <t>Fri 19-Dec-25 5:02 PM</t>
  </si>
  <si>
    <t>Fri 19-Dec-25 5:45 PM</t>
  </si>
  <si>
    <t>Sat 20-Dec-25 4:14 PM</t>
  </si>
  <si>
    <t>Sun 21-Dec-25 1:55 PM</t>
  </si>
  <si>
    <t>Sun 21-Dec-25 7:24 PM</t>
  </si>
  <si>
    <t>Sun 21-Dec-25 6:08 PM</t>
  </si>
  <si>
    <t>Mon 22-Dec-25 9:57 AM</t>
  </si>
  <si>
    <t>Mon 22-Dec-25 12:53 PM</t>
  </si>
  <si>
    <t>Mon 22-Dec-25 2:54 PM</t>
  </si>
  <si>
    <t>Mon 22-Dec-25 2:19 PM</t>
  </si>
  <si>
    <t>Mon 22-Dec-25 4:30 PM</t>
  </si>
  <si>
    <t>Tue 23-Dec-25 10:56 AM</t>
  </si>
  <si>
    <t>Tue 23-Dec-25 11:01 AM</t>
  </si>
  <si>
    <t>Tue 23-Dec-25 2:13 PM</t>
  </si>
  <si>
    <t>Tue 23-Dec-25 5:05 PM</t>
  </si>
  <si>
    <t>Tue 23-Dec-25 11:11 AM</t>
  </si>
  <si>
    <t>Tue 23-Dec-25 5:06 PM</t>
  </si>
  <si>
    <t>Wed 24-Dec-25 10:24 AM</t>
  </si>
  <si>
    <t>Wed 24-Dec-25 1:08 PM</t>
  </si>
  <si>
    <t>Wed 24-Dec-25 12:14 PM</t>
  </si>
  <si>
    <t>Wed 24-Dec-25 1:36 PM</t>
  </si>
  <si>
    <t>Thu 25-Dec-25 11:45 AM</t>
  </si>
  <si>
    <t>Fri 26-Dec-25 9:48 AM</t>
  </si>
  <si>
    <t>Sat 27-Dec-25 2:25 PM</t>
  </si>
  <si>
    <t>Sun 28-Dec-25 3:04 PM</t>
  </si>
  <si>
    <t>Mon 29-Dec-25 11:56 AM</t>
  </si>
  <si>
    <t>Mon 29-Dec-25 3:43 PM</t>
  </si>
  <si>
    <t>Mon 29-Dec-25 3:09 PM</t>
  </si>
  <si>
    <t>Tue 30-Dec-25 9:15 AM</t>
  </si>
  <si>
    <t>Wed 31-Dec-25 12:55 PM</t>
  </si>
  <si>
    <t>Tue 30-Dec-25 8:44 PM</t>
  </si>
  <si>
    <t>Wed 31-Dec-25 2:44 PM</t>
  </si>
  <si>
    <t>Fri 02-Jan-26 1:47 PM</t>
  </si>
  <si>
    <t>Fri 02-Jan-26 3:49 PM</t>
  </si>
  <si>
    <t>Sat 03-Jan-26 3:53 PM</t>
  </si>
  <si>
    <t>Sun 04-Jan-26 9:55 AM</t>
  </si>
  <si>
    <t>Sat 03-Jan-26 5:03 PM</t>
  </si>
  <si>
    <t>Sun 04-Jan-26 1:14 PM</t>
  </si>
  <si>
    <t>Sun 04-Jan-26 1:31 PM</t>
  </si>
  <si>
    <t>Sun 04-Jan-26 2:43 PM</t>
  </si>
  <si>
    <t>Tue 06-Jan-26 9:47 AM</t>
  </si>
  <si>
    <t>Mon 05-Jan-26 7:08 PM</t>
  </si>
  <si>
    <t>Tue 06-Jan-26 10:49 AM</t>
  </si>
  <si>
    <t>Tue 06-Jan-26 11:52 AM</t>
  </si>
  <si>
    <t>Tue 06-Jan-26 12:15 PM</t>
  </si>
  <si>
    <t>Tue 06-Jan-26 4:42 PM</t>
  </si>
  <si>
    <t>Wed 07-Jan-26 9:01 AM</t>
  </si>
  <si>
    <t>Wed 07-Jan-26 2:12 PM</t>
  </si>
  <si>
    <t>Wed 07-Jan-26 3:50 PM</t>
  </si>
  <si>
    <t>Thu 08-Jan-26 12:53 PM</t>
  </si>
  <si>
    <t>Fri 09-Jan-26 10:41 AM</t>
  </si>
  <si>
    <t>Fri 09-Jan-26 1:48 PM</t>
  </si>
  <si>
    <t>Sat 10-Jan-26 12:13 PM</t>
  </si>
  <si>
    <t>Sun 11-Jan-26 1:03 PM</t>
  </si>
  <si>
    <t>Sun 11-Jan-26 10:12 AM</t>
  </si>
  <si>
    <t>Sun 11-Jan-26 1:53 PM</t>
  </si>
  <si>
    <t>Mon 12-Jan-26 10:24 AM</t>
  </si>
  <si>
    <t>Mon 12-Jan-26 10:23 AM</t>
  </si>
  <si>
    <t>Mon 12-Jan-26 12:34 PM</t>
  </si>
  <si>
    <t>Mon 12-Jan-26 2:17 PM</t>
  </si>
  <si>
    <t>Mon 12-Jan-26 10:46 AM</t>
  </si>
  <si>
    <t>Tue 13-Jan-26 9:25 AM</t>
  </si>
  <si>
    <t>Tue 13-Jan-26 11:19 AM</t>
  </si>
  <si>
    <t>Tue 13-Jan-26 1:47 PM</t>
  </si>
  <si>
    <t>Wed 14-Jan-26 1:23 PM</t>
  </si>
  <si>
    <t>Tue 13-Jan-26 4:11 PM</t>
  </si>
  <si>
    <t>Wed 14-Jan-26 3:53 PM</t>
  </si>
  <si>
    <t>Wed 14-Jan-26 1:36 PM</t>
  </si>
  <si>
    <t>Tue 13-Jan-26 4:57 PM</t>
  </si>
  <si>
    <t>Wed 14-Jan-26 1:21 PM</t>
  </si>
  <si>
    <t>Thu 15-Jan-26 11:57 AM</t>
  </si>
  <si>
    <t>Thu 15-Jan-26 1:31 PM</t>
  </si>
  <si>
    <t>Thu 15-Jan-26 4:04 PM</t>
  </si>
  <si>
    <t>Fri 16-Jan-26 8:45 AM</t>
  </si>
  <si>
    <t>Thu 15-Jan-26 10:13 AM</t>
  </si>
  <si>
    <t>Thu 15-Jan-26 11:02 AM</t>
  </si>
  <si>
    <t>Thu 15-Jan-26 1:51 PM</t>
  </si>
  <si>
    <t>Fri 16-Jan-26 10:56 AM</t>
  </si>
  <si>
    <t>Fri 16-Jan-26 12:42 PM</t>
  </si>
  <si>
    <t>Fri 16-Jan-26 3:31 PM</t>
  </si>
  <si>
    <t>Fri 16-Jan-26 4:51 PM</t>
  </si>
  <si>
    <t>Fri 16-Jan-26 4:45 PM</t>
  </si>
  <si>
    <t>Fri 16-Jan-26 5:17 PM</t>
  </si>
  <si>
    <t>Sat 17-Jan-26 11:44 AM</t>
  </si>
  <si>
    <t>Sat 17-Jan-26 11:52 AM</t>
  </si>
  <si>
    <t>Sat 17-Jan-26 11:36 AM</t>
  </si>
  <si>
    <t>Sun 18-Jan-26 8:48 AM</t>
  </si>
  <si>
    <t>amphoras</t>
  </si>
  <si>
    <t>Sat 17-Jan-26 6:01 PM</t>
  </si>
  <si>
    <t>Sun 18-Jan-26 12:15 PM</t>
  </si>
  <si>
    <t>Sun 18-Jan-26 12:10 PM</t>
  </si>
  <si>
    <t>Sun 18-Jan-26 12:04 PM</t>
  </si>
  <si>
    <t>Sun 18-Jan-26 11:13 AM</t>
  </si>
  <si>
    <t>Tue 20-Jan-26 11:42 AM</t>
  </si>
  <si>
    <t>Tue 20-Jan-26 12:14 PM</t>
  </si>
  <si>
    <t>Tue 20-Jan-26 6:08 PM</t>
  </si>
  <si>
    <t>Wed 21-Jan-26 9:09 AM</t>
  </si>
  <si>
    <t>Wed 21-Jan-26 9:30 AM</t>
  </si>
  <si>
    <t>Wed 21-Jan-26 9:57 AM</t>
  </si>
  <si>
    <t>Wed 21-Jan-26 10:47 AM</t>
  </si>
  <si>
    <t>Wed 21-Jan-26 11:46 AM</t>
  </si>
  <si>
    <t>Wed 21-Jan-26 1:06 PM</t>
  </si>
  <si>
    <t>Wed 21-Jan-26 4:17 PM</t>
  </si>
  <si>
    <t>Wed 21-Jan-26 11:10 AM</t>
  </si>
  <si>
    <t>Thu 22-Jan-26 9:34 AM</t>
  </si>
  <si>
    <t>Thu 22-Jan-26 11:22 AM</t>
  </si>
  <si>
    <t>Thu 22-Jan-26 1:15 PM</t>
  </si>
  <si>
    <t>Thu 22-Jan-26 4:13 PM</t>
  </si>
  <si>
    <t>Thu 22-Jan-26 5:50 PM</t>
  </si>
  <si>
    <t>Thu 22-Jan-26 6:26 PM</t>
  </si>
  <si>
    <t>Fri 23-Jan-26 10:06 AM</t>
  </si>
  <si>
    <t>Fri 23-Jan-26 1:45 PM</t>
  </si>
  <si>
    <t>Thu 22-Jan-26 2:17 PM</t>
  </si>
  <si>
    <t>Fri 23-Jan-26 5:38 PM</t>
  </si>
  <si>
    <t>Fri 23-Jan-26 6:45 PM</t>
  </si>
  <si>
    <t>Sat 24-Jan-26 11:25 AM</t>
  </si>
  <si>
    <t>Sat 24-Jan-26 10:30 AM</t>
  </si>
  <si>
    <t>Sat 24-Jan-26 4:38 PM</t>
  </si>
  <si>
    <t>Sat 24-Jan-26 5:44 PM</t>
  </si>
  <si>
    <t>Wed 28-Jan-26 12:35 PM</t>
  </si>
  <si>
    <t>Wed 28-Jan-26 12:57 PM</t>
  </si>
  <si>
    <t>Wed 28-Jan-26 5:33 PM</t>
  </si>
  <si>
    <t>Wed 28-Jan-26 6:55 PM</t>
  </si>
  <si>
    <t>Thu 29-Jan-26 9:52 AM</t>
  </si>
  <si>
    <t>Amphoras Beach</t>
  </si>
  <si>
    <t>Thu 29-Jan-26 12:25 PM</t>
  </si>
  <si>
    <t>Sun 25-Jan-26 10:43 AM</t>
  </si>
  <si>
    <t>Sun 25-Jan-26 2:09 PM</t>
  </si>
  <si>
    <t>Mon 26-Jan-26 10:27 AM</t>
  </si>
  <si>
    <t>Mon 26-Jan-26 11:38 AM</t>
  </si>
  <si>
    <t>Mon 26-Jan-26 4:50 PM</t>
  </si>
  <si>
    <t>Mon 26-Jan-26 5:51 PM</t>
  </si>
  <si>
    <t>Mon 26-Jan-26 8:17 PM</t>
  </si>
  <si>
    <t>Tue 27-Jan-26 12:47 PM</t>
  </si>
  <si>
    <t>Thu 29-Jan-26 3:45 PM</t>
  </si>
  <si>
    <t>Thu 29-Jan-26 4:04 PM</t>
  </si>
  <si>
    <t>Thu 29-Jan-26 4:34 PM</t>
  </si>
  <si>
    <t>Thu 29-Jan-26 6:22 PM</t>
  </si>
  <si>
    <t>Fri 30-Jan-26 11:51 AM</t>
  </si>
  <si>
    <t>Fri 30-Jan-26 5:53 PM</t>
  </si>
  <si>
    <t>Sun 25-Jan-26 12:55 PM</t>
  </si>
  <si>
    <t>Amphoras Blu</t>
  </si>
  <si>
    <t>Mon 26-Jan-26 10:51 AM</t>
  </si>
  <si>
    <t>Tue 27-Jan-26 12:53 PM</t>
  </si>
  <si>
    <t>Tue 27-Jan-26 5:14 PM</t>
  </si>
  <si>
    <t>Sat 31-Jan-26 2:50 PM</t>
  </si>
  <si>
    <t>Sat 24-Jan-26 11:54 AM</t>
  </si>
  <si>
    <t>Tue 27-Jan-26 5:39 PM</t>
  </si>
  <si>
    <t>Wed 28-Jan-26 11:55 AM</t>
  </si>
  <si>
    <t>Thu 29-Jan-26 9:25 AM</t>
  </si>
  <si>
    <t>amphoras Blu</t>
  </si>
  <si>
    <t>Fri 30-Jan-26 6:34 PM</t>
  </si>
  <si>
    <t>Fri 30-Jan-26 7:27 PM</t>
  </si>
  <si>
    <t>Sat 31-Jan-26 11:43 AM</t>
  </si>
  <si>
    <t>Sat 31-Jan-26 1:53 PM</t>
  </si>
  <si>
    <t>Sat 31-Jan-26 4:11 PM</t>
  </si>
  <si>
    <t>Sat 31-Jan-26 4:30 PM</t>
  </si>
  <si>
    <t>Sat 31-Jan-26 4:33 PM</t>
  </si>
  <si>
    <t>PICKALBATROS sea world</t>
  </si>
  <si>
    <t>Sat 31-Jan-26 10:53 AM</t>
  </si>
  <si>
    <t>Sat 31-Jan-26 12:23 PM</t>
  </si>
  <si>
    <t>Sun 01-Feb-26 12:04 PM</t>
  </si>
  <si>
    <t>Sun 01-Feb-26 10:26 AM</t>
  </si>
  <si>
    <t>Sun 01-Feb-26 12:58 PM</t>
  </si>
  <si>
    <t>Sun 01-Feb-26 2:48 PM</t>
  </si>
  <si>
    <t>Sun 01-Feb-26 2:51 PM</t>
  </si>
  <si>
    <t>Sun 01-Feb-26 3:28 PM</t>
  </si>
  <si>
    <t>Mon 02-Feb-26 10:30 AM</t>
  </si>
  <si>
    <t>Mon 02-Feb-26 11:23 AM</t>
  </si>
  <si>
    <t>Mon 02-Feb-26 12:20 PM</t>
  </si>
  <si>
    <t>Mon 02-Feb-26 1:02 PM</t>
  </si>
  <si>
    <t>Mon 02-Feb-26 1:35 PM</t>
  </si>
  <si>
    <t>Mon 02-Feb-26 3:03 PM</t>
  </si>
  <si>
    <t>Mon 02-Feb-26 4:53 PM</t>
  </si>
  <si>
    <t>Mon 02-Feb-26 9:29 PM</t>
  </si>
  <si>
    <t>Mon 02-Feb-26 5:58 PM</t>
  </si>
  <si>
    <t>Tue 03-Feb-26 10:12 AM</t>
  </si>
  <si>
    <t>Tue 03-Feb-26 10:57 AM</t>
  </si>
  <si>
    <t>Tue 03-Feb-26 11:35 AM</t>
  </si>
  <si>
    <t>Tue 03-Feb-26 12:36 PM</t>
  </si>
  <si>
    <t>Tue 03-Feb-26 3:54 PM</t>
  </si>
  <si>
    <t>Tue 03-Feb-26 4:09 PM</t>
  </si>
  <si>
    <t>Tue 03-Feb-26 5:05 PM</t>
  </si>
  <si>
    <t>Wed 04-Feb-26 12:01 AM</t>
  </si>
  <si>
    <t>Tue 03-Feb-26 7:45 PM</t>
  </si>
  <si>
    <t>Wed 04-Feb-26 10:13 AM</t>
  </si>
  <si>
    <t>Wed 04-Feb-26 11:02 AM</t>
  </si>
  <si>
    <t>Wed 04-Feb-26 12:27 PM</t>
  </si>
  <si>
    <t>Wed 04-Feb-26 1:28 PM</t>
  </si>
  <si>
    <t>Wed 04-Feb-26 1:58 PM</t>
  </si>
  <si>
    <t>Wed 04-Feb-26 2:22 PM</t>
  </si>
  <si>
    <t>Wed 04-Feb-26 3:47 PM</t>
  </si>
  <si>
    <t>Wed 04-Feb-26 3:55 PM</t>
  </si>
  <si>
    <t>Wed 04-Feb-26 4:37 PM</t>
  </si>
  <si>
    <t>Wed 04-Feb-26 4:43 PM</t>
  </si>
  <si>
    <t>Wed 04-Feb-26 5:04 PM</t>
  </si>
  <si>
    <t>Wed 04-Feb-26 5:27 PM</t>
  </si>
  <si>
    <t xml:space="preserve">Amphoras Beach </t>
  </si>
  <si>
    <t>Thu 05-Feb-26 12:02 PM</t>
  </si>
  <si>
    <t>Thu 05-Feb-26 12:35 PM</t>
  </si>
  <si>
    <t>Thu 05-Feb-26 2:02 PM</t>
  </si>
  <si>
    <t>Thu 05-Feb-26 2:27 PM</t>
  </si>
  <si>
    <t>Thu 05-Feb-26 2:44 PM</t>
  </si>
  <si>
    <t>Thu 05-Feb-26 3:27 PM</t>
  </si>
  <si>
    <t>Thu 05-Feb-26 4:34 PM</t>
  </si>
  <si>
    <t>Thu 05-Feb-26 7:30 PM</t>
  </si>
  <si>
    <t>Fri 06-Feb-26 10:46 AM</t>
  </si>
  <si>
    <t>Fri 06-Feb-26 2:37 PM</t>
  </si>
  <si>
    <t>Fri 06-Feb-26 3:09 PM</t>
  </si>
  <si>
    <t>Sat 07-Feb-26 9:54 AM</t>
  </si>
  <si>
    <t>Sat 07-Feb-26 10:18 AM</t>
  </si>
  <si>
    <t>Sat 07-Feb-26 10:41 AM</t>
  </si>
  <si>
    <t>Sat 07-Feb-26 11:38 AM</t>
  </si>
  <si>
    <t>Sat 07-Feb-26 12:11 PM</t>
  </si>
  <si>
    <t>Sat 31-Jan-26 7:57 PM</t>
  </si>
  <si>
    <t>Sat 07-Feb-26 5:36 PM</t>
  </si>
  <si>
    <t>Sun 08-Feb-26 11:22 AM</t>
  </si>
  <si>
    <t>Sun 08-Feb-26 12:27 PM</t>
  </si>
  <si>
    <t>Sun 08-Feb-26 12:33 PM</t>
  </si>
  <si>
    <t>Sun 08-Feb-26 12:47 PM</t>
  </si>
  <si>
    <t>Sun 08-Feb-26 1:18 PM</t>
  </si>
  <si>
    <t>Sun 08-Feb-26 3:44 PM</t>
  </si>
  <si>
    <t>Sun 08-Feb-26 3:46 PM</t>
  </si>
  <si>
    <t>Sun 08-Feb-26 4:20 PM</t>
  </si>
  <si>
    <t>Sun 08-Feb-26 4:23 PM</t>
  </si>
  <si>
    <t>Sun 08-Feb-26 4:26 PM</t>
  </si>
  <si>
    <t>Sun 08-Feb-26 4:22 PM</t>
  </si>
  <si>
    <t>Sun 08-Feb-26 5:14 PM</t>
  </si>
  <si>
    <t>Mon 09-Feb-26 10:04 AM</t>
  </si>
  <si>
    <t>Mon 09-Feb-26 10:48 AM</t>
  </si>
  <si>
    <t>Mon 09-Feb-26 10:27 AM</t>
  </si>
  <si>
    <t>Mon 09-Feb-26 5:11 PM</t>
  </si>
  <si>
    <t>Mon 09-Feb-26 7:38 PM</t>
  </si>
  <si>
    <t>Tue 10-Feb-26 11:36 AM</t>
  </si>
  <si>
    <t>Tue 10-Feb-26 11:54 AM</t>
  </si>
  <si>
    <t>Tue 10-Feb-26 11:57 AM</t>
  </si>
  <si>
    <t>Tue 10-Feb-26 12:22 PM</t>
  </si>
  <si>
    <t>Tue 10-Feb-26 12:50 PM</t>
  </si>
  <si>
    <t>Tue 10-Feb-26 12:42 PM</t>
  </si>
  <si>
    <t>Tue 10-Feb-26 1:23 PM</t>
  </si>
  <si>
    <t>Tue 10-Feb-26 1:44 PM</t>
  </si>
  <si>
    <t>Tue 10-Feb-26 2:05 PM</t>
  </si>
  <si>
    <t>Tue 10-Feb-26 2:06 PM</t>
  </si>
  <si>
    <t>Tue 10-Feb-26 3:57 PM</t>
  </si>
  <si>
    <t>Tue 10-Feb-26 4:07 PM</t>
  </si>
  <si>
    <t>Tue 10-Feb-26 4:50 PM</t>
  </si>
  <si>
    <t>Tue 10-Feb-26 5:22 PM</t>
  </si>
  <si>
    <t>Tue 10-Feb-26 7:36 PM</t>
  </si>
  <si>
    <t>Tue 10-Feb-26 8:11 PM</t>
  </si>
  <si>
    <t>Mon 09-Feb-26 7:51 PM</t>
  </si>
  <si>
    <t>Tue 10-Feb-26 10:03 AM</t>
  </si>
  <si>
    <t>Mon 09-Feb-26 2:41 PM</t>
  </si>
  <si>
    <t>Wed 11-Feb-26 1:02 PM</t>
  </si>
  <si>
    <t xml:space="preserve">Amphors Blu </t>
  </si>
  <si>
    <t>Wed 11-Feb-26 1:14 PM</t>
  </si>
  <si>
    <t>Wed 11-Feb-26 1:30 PM</t>
  </si>
  <si>
    <t>Wed 11-Feb-26 2:45 PM</t>
  </si>
  <si>
    <t>Wed 11-Feb-26 1:15 PM</t>
  </si>
  <si>
    <t>Wed 11-Feb-26 12:47 PM</t>
  </si>
  <si>
    <t>Tue 10-Feb-26 1:14 PM</t>
  </si>
  <si>
    <t>Wed 11-Feb-26 4:50 PM</t>
  </si>
  <si>
    <t>Wed 11-Feb-26 5:22 PM</t>
  </si>
  <si>
    <t>Wed 11-Feb-26 8:33 PM</t>
  </si>
  <si>
    <t>Thu 12-Feb-26 8:19 AM</t>
  </si>
  <si>
    <t>Thu 12-Feb-26 9:21 AM</t>
  </si>
  <si>
    <t>Thu 12-Feb-26 11:00 AM</t>
  </si>
  <si>
    <t>Thu 12-Feb-26 11:23 AM</t>
  </si>
  <si>
    <t>Thu 12-Feb-26 11:55 AM</t>
  </si>
  <si>
    <t>Thu 12-Feb-26 1:15 PM</t>
  </si>
  <si>
    <t>Thu 12-Feb-26 1:20 PM</t>
  </si>
  <si>
    <t>Thu 12-Feb-26 1:28 PM</t>
  </si>
  <si>
    <t>Thu 12-Feb-26 1:57 PM</t>
  </si>
  <si>
    <t>Thu 12-Feb-26 2:05 PM</t>
  </si>
  <si>
    <t>Thu 12-Feb-26 2:34 PM</t>
  </si>
  <si>
    <t>Tue 10-Feb-26 12:27 PM</t>
  </si>
  <si>
    <t>Thu 12-Feb-26 4:27 PM</t>
  </si>
  <si>
    <t xml:space="preserve">Amphoras Blu </t>
  </si>
  <si>
    <t>Fri 13-Feb-26 9:18 AM</t>
  </si>
  <si>
    <t>Fri 13-Feb-26 9:12 AM</t>
  </si>
  <si>
    <t>Fri 13-Feb-26 4:50 PM</t>
  </si>
  <si>
    <t>Fri 13-Feb-26 7:41 PM</t>
  </si>
  <si>
    <t>Fri 13-Feb-26 1:35 PM</t>
  </si>
  <si>
    <t>Sat 14-Feb-26 1:52 PM</t>
  </si>
  <si>
    <t>Sat 14-Feb-26 12:14 PM</t>
  </si>
  <si>
    <t>Sat 14-Feb-26 10:15 AM</t>
  </si>
  <si>
    <t>Sun 15-Feb-26 9:36 AM</t>
  </si>
  <si>
    <t>Sun 15-Feb-26 11:22 AM</t>
  </si>
  <si>
    <t>Sun 15-Feb-26 11:48 AM</t>
  </si>
  <si>
    <t>Sun 15-Feb-26 1:16 PM</t>
  </si>
  <si>
    <t>Sun 15-Feb-26 2:02 PM</t>
  </si>
  <si>
    <t>Sat 14-Feb-26 4:30 PM</t>
  </si>
  <si>
    <t>Sun 15-Feb-26 2:36 PM</t>
  </si>
  <si>
    <t>Sun 15-Feb-26 3:57 PM</t>
  </si>
  <si>
    <t>Sat 14-Feb-26 4:49 PM</t>
  </si>
  <si>
    <t>Mon 16-Feb-26 1:12 PM</t>
  </si>
  <si>
    <t>Mon 16-Feb-26 12:51 PM</t>
  </si>
  <si>
    <t>Sat 14-Feb-26 4:56 PM</t>
  </si>
  <si>
    <t>Mon 16-Feb-26 2:32 PM</t>
  </si>
  <si>
    <t>Mon 16-Feb-26 3:24 PM</t>
  </si>
  <si>
    <t>Mon 16-Feb-26 4:08 PM</t>
  </si>
  <si>
    <t>Tue 17-Feb-26 8:43 AM</t>
  </si>
  <si>
    <t xml:space="preserve">Amphors Beach </t>
  </si>
  <si>
    <t>Tue 17-Feb-26 9:14 AM</t>
  </si>
  <si>
    <t>Amphors Blu</t>
  </si>
  <si>
    <t>Tue 17-Feb-26 9:24 AM</t>
  </si>
  <si>
    <t>Tue 17-Feb-26 10:00 AM</t>
  </si>
  <si>
    <t>Tue 17-Feb-26 11:12 AM</t>
  </si>
  <si>
    <t>Tue 17-Feb-26 11:51 AM</t>
  </si>
  <si>
    <t>Tue 17-Feb-26 11:56 AM</t>
  </si>
  <si>
    <t>Tue 17-Feb-26 1:42 PM</t>
  </si>
  <si>
    <t>Tue 17-Feb-26 1:58 PM</t>
  </si>
  <si>
    <t>Tue 17-Feb-26 2:06 PM</t>
  </si>
  <si>
    <t>Tue 17-Feb-26 2:21 PM</t>
  </si>
  <si>
    <t>Wed 18-Feb-26 12:59 PM</t>
  </si>
  <si>
    <t>Wed 18-Feb-26 1:02 PM</t>
  </si>
  <si>
    <t>Wed 18-Feb-26 11:49 AM</t>
  </si>
  <si>
    <t>Wed 18-Feb-26 11:20 AM</t>
  </si>
  <si>
    <t>Wed 18-Feb-26 10:37 AM</t>
  </si>
  <si>
    <t>Wed 18-Feb-26 1:39 PM</t>
  </si>
  <si>
    <t>Wed 18-Feb-26 2:40 PM</t>
  </si>
  <si>
    <t>Wed 18-Feb-26 3:20 PM</t>
  </si>
  <si>
    <t>Wed 18-Feb-26 3:18 PM</t>
  </si>
  <si>
    <t>Wed 18-Feb-26 3:45 PM</t>
  </si>
  <si>
    <t>Thu 19-Feb-26 9:45 AM</t>
  </si>
  <si>
    <t>Tue 17-Feb-26 6:16 PM</t>
  </si>
  <si>
    <t>Thu 19-Feb-26 11:18 AM</t>
  </si>
  <si>
    <t>Thu 19-Feb-26 11:23 AM</t>
  </si>
  <si>
    <t>Thu 19-Feb-26 2:18 PM</t>
  </si>
  <si>
    <t>Thu 19-Feb-26 2:19 PM</t>
  </si>
  <si>
    <t>Thu 19-Feb-26 2:25 PM</t>
  </si>
  <si>
    <t>Thu 19-Feb-26 2:23 PM</t>
  </si>
  <si>
    <t>Thu 19-Feb-26 2:54 PM</t>
  </si>
  <si>
    <t>Thu 19-Feb-26 4:17 PM</t>
  </si>
  <si>
    <t>Fri 20-Feb-26 9:46 AM</t>
  </si>
  <si>
    <t>Fri 20-Feb-26 11:38 AM</t>
  </si>
  <si>
    <t>Fri 20-Feb-26 10:52 AM</t>
  </si>
  <si>
    <t>Fri 20-Feb-26 3:19 PM</t>
  </si>
  <si>
    <t>Sat 21-Feb-26 9:48 AM</t>
  </si>
  <si>
    <t>Sat 21-Feb-26 10:09 AM</t>
  </si>
  <si>
    <t>Sat 21-Feb-26 10:42 AM</t>
  </si>
  <si>
    <t>Sat 21-Feb-26 9:10 AM</t>
  </si>
  <si>
    <t>Sat 21-Feb-26 12:35 PM</t>
  </si>
  <si>
    <t>Sat 21-Feb-26 1:34 PM</t>
  </si>
  <si>
    <t>Sat 21-Feb-26 1:37 PM</t>
  </si>
  <si>
    <t>Sat 21-Feb-26 1:32 PM</t>
  </si>
  <si>
    <t>Sat 21-Feb-26 1:19 PM</t>
  </si>
  <si>
    <t>Sat 21-Feb-26 3:45 PM</t>
  </si>
  <si>
    <t>Sat 21-Feb-26 5:11 PM</t>
  </si>
  <si>
    <t>Sat 21-Feb-26 5:22 PM</t>
  </si>
  <si>
    <t>Sat 21-Feb-26 5:26 PM</t>
  </si>
  <si>
    <t>Sun 22-Feb-26 11:15 AM</t>
  </si>
  <si>
    <t>Sun 22-Feb-26 2:56 PM</t>
  </si>
  <si>
    <t>Sun 22-Feb-26 2:58 PM</t>
  </si>
  <si>
    <t>Sun 22-Feb-26 3:15 PM</t>
  </si>
  <si>
    <t>Sun 22-Feb-26 3:00 PM</t>
  </si>
  <si>
    <t>Sun 22-Feb-26 3:28 PM</t>
  </si>
  <si>
    <t>Mon 23-Feb-26 10:08 AM</t>
  </si>
  <si>
    <t>Mon 23-Feb-26 12:09 PM</t>
  </si>
  <si>
    <t>Mon 23-Feb-26 2:50 PM</t>
  </si>
  <si>
    <t>Tue 24-Feb-26 10:58 AM</t>
  </si>
  <si>
    <t>Tue 24-Feb-26 2:14 PM</t>
  </si>
  <si>
    <t>Tue 24-Feb-26 2:24 PM</t>
  </si>
  <si>
    <t>Tue 24-Feb-26 2:27 PM</t>
  </si>
  <si>
    <t>Wed 25-Feb-26 10:36 AM</t>
  </si>
  <si>
    <t>Wed 25-Feb-26 1:24 PM</t>
  </si>
  <si>
    <t>Wed 25-Feb-26 1:56 PM</t>
  </si>
  <si>
    <t>Thu 26-Feb-26 12:56 PM</t>
  </si>
  <si>
    <t>Thu 26-Feb-26 1:17 PM</t>
  </si>
  <si>
    <t>Fri 27-Feb-26 9:35 AM</t>
  </si>
  <si>
    <t>Thu 26-Feb-26 4:40 PM</t>
  </si>
  <si>
    <t>Fri 27-Feb-26 10:49 AM</t>
  </si>
  <si>
    <t>Thu 26-Feb-26 4:28 PM</t>
  </si>
  <si>
    <t>Thu 26-Feb-26 2:59 PM</t>
  </si>
  <si>
    <t>Thu 26-Feb-26 2:23 PM</t>
  </si>
  <si>
    <t>Thu 26-Feb-26 2:39 PM</t>
  </si>
  <si>
    <t>Tue 24-Feb-26 3:36 PM</t>
  </si>
  <si>
    <t>Fri 27-Feb-26 2:46 PM</t>
  </si>
  <si>
    <t>Thu 26-Feb-26 2:15 PM</t>
  </si>
  <si>
    <t>Sat 28-Feb-26 9:17 AM</t>
  </si>
  <si>
    <t>Sat 28-Feb-26 10:14 AM</t>
  </si>
  <si>
    <t>Sat 28-Feb-26 10:20 AM</t>
  </si>
  <si>
    <t>Fri 27-Feb-26 4:12 PM</t>
  </si>
  <si>
    <t>Tue 24-Feb-26 5:02 PM</t>
  </si>
  <si>
    <t>Wed 25-Feb-26 1:05 PM</t>
  </si>
  <si>
    <t>Wed 25-Feb-26 11:08 AM</t>
  </si>
  <si>
    <t>Wed 25-Feb-26 11:31 AM</t>
  </si>
  <si>
    <t>Wed 25-Feb-26 1:01 PM</t>
  </si>
  <si>
    <t>Wed 25-Feb-26 2:44 PM</t>
  </si>
  <si>
    <t>Wed 25-Feb-26 3:28 PM</t>
  </si>
  <si>
    <t>Sat 28-Feb-26 12:56 PM</t>
  </si>
  <si>
    <t>Sat 28-Feb-26 1:33 PM</t>
  </si>
  <si>
    <t>Thu 26-Feb-26 12:44 PM</t>
  </si>
  <si>
    <t>Thu 26-Feb-26 11:00 AM</t>
  </si>
  <si>
    <t>Thu 26-Feb-26 10:44 AM</t>
  </si>
  <si>
    <t>Thu 26-Feb-26 10:24 AM</t>
  </si>
  <si>
    <t>Thu 26-Feb-26 10:17 AM</t>
  </si>
  <si>
    <t>Thu 26-Feb-26 10:11 AM</t>
  </si>
  <si>
    <t>Thu 26-Feb-26 8:50 AM</t>
  </si>
  <si>
    <t>Thu 26-Feb-26 12:25 AM</t>
  </si>
  <si>
    <t>Wed 25-Feb-26 5:06 PM</t>
  </si>
  <si>
    <t>Wed 25-Feb-26 4:58 PM</t>
  </si>
  <si>
    <t>Wed 25-Feb-26 4:56 PM</t>
  </si>
  <si>
    <t>Sat 28-Feb-26 2:42 PM</t>
  </si>
  <si>
    <t>Sat 28-Feb-26 2:25 PM</t>
  </si>
  <si>
    <t>Sat 28-Feb-26 3:41 PM</t>
  </si>
  <si>
    <t>Sat 28-Feb-26 3:14 PM</t>
  </si>
  <si>
    <t>Sat 28-Feb-26 4:18 PM</t>
  </si>
  <si>
    <t>Sun 01-Mar-26 9:33 AM</t>
  </si>
  <si>
    <t>Sun 01-Mar-26 10:27 AM</t>
  </si>
  <si>
    <t>Sun 01-Mar-26 12:34 PM</t>
  </si>
  <si>
    <t>Sun 01-Mar-26 12:48 PM</t>
  </si>
  <si>
    <t>Sun 01-Mar-26 1:30 PM</t>
  </si>
  <si>
    <t>Sun 01-Mar-26 6:39 PM</t>
  </si>
  <si>
    <t>Mon 02-Mar-26 10:25 AM</t>
  </si>
  <si>
    <t>Mon 02-Mar-26 11:47 AM</t>
  </si>
  <si>
    <t>Mon 02-Mar-26 1:12 PM</t>
  </si>
  <si>
    <t>Mon 02-Mar-26 1:26 PM</t>
  </si>
  <si>
    <t>Fri 06-Mar-26 10:53 AM</t>
  </si>
  <si>
    <t>Fri 06-Mar-26 10:25 AM</t>
  </si>
  <si>
    <t>Fri 06-Mar-26 9:47 AM</t>
  </si>
  <si>
    <t>Thu 05-Mar-26 6:31 PM</t>
  </si>
  <si>
    <t>Thu 05-Mar-26 1:08 PM</t>
  </si>
  <si>
    <t>Thu 05-Mar-26 11:22 AM</t>
  </si>
  <si>
    <t>Thu 05-Mar-26 11:00 AM</t>
  </si>
  <si>
    <t>Wed 04-Mar-26 3:47 PM</t>
  </si>
  <si>
    <t>Wed 04-Mar-26 3:29 PM</t>
  </si>
  <si>
    <t>Tue 03-Mar-26 2:27 PM</t>
  </si>
  <si>
    <t>Tue 03-Mar-26 12:46 PM</t>
  </si>
  <si>
    <t>Tue 03-Mar-26 12:23 PM</t>
  </si>
  <si>
    <t>Tue 03-Mar-26 11:36 AM</t>
  </si>
  <si>
    <t>Mon 02-Mar-26 4:25 PM</t>
  </si>
  <si>
    <t>Sun 08-Mar-26 10:26 AM</t>
  </si>
  <si>
    <t>Sun 08-Mar-26 12:49 PM</t>
  </si>
  <si>
    <t>Mon 09-Mar-26 10:19 AM</t>
  </si>
  <si>
    <t>Mon 09-Mar-26 11:23 AM</t>
  </si>
  <si>
    <t>Mon 09-Mar-26 12:11 PM</t>
  </si>
  <si>
    <t>Mon 09-Mar-26 1:01 PM</t>
  </si>
  <si>
    <t>Tue 10-Mar-26 12:41 PM</t>
  </si>
  <si>
    <t>Wed 11-Mar-26 3:18 PM</t>
  </si>
  <si>
    <t>Wed 11-Mar-26 3:37 PM</t>
  </si>
  <si>
    <t>Wed 11-Mar-26 5:24 PM</t>
  </si>
  <si>
    <t>Thu 12-Mar-26 10:35 AM</t>
  </si>
  <si>
    <t>Thu 12-Mar-26 12:04 PM</t>
  </si>
  <si>
    <t>Thu 12-Mar-26 3:42 PM</t>
  </si>
  <si>
    <t>Thu 12-Mar-26 4:13 PM</t>
  </si>
  <si>
    <t>Thu 12-Mar-26 5:06 PM</t>
  </si>
  <si>
    <t>Fri 13-Mar-26 11:25 AM</t>
  </si>
  <si>
    <t>Fri 13-Mar-26 3:09 PM</t>
  </si>
  <si>
    <t>Fri 13-Mar-26 3:35 PM</t>
  </si>
  <si>
    <t>MONTE-CARLO &amp; ROYAL MONTE-CARLO</t>
  </si>
  <si>
    <t>Sat 14-Mar-26 10:10 AM</t>
  </si>
  <si>
    <t>Fri 13-Mar-26 7:05 PM</t>
  </si>
  <si>
    <t>Sat 14-Mar-26 11:01 AM</t>
  </si>
  <si>
    <t>Pickalbatros Sea World Resort Marsa Alam</t>
  </si>
  <si>
    <t>Sat 14-Mar-26 11:33 AM</t>
  </si>
  <si>
    <t>Sat 14-Mar-26 12:04 PM</t>
  </si>
  <si>
    <t>Sat 14-Mar-26 2:51 PM</t>
  </si>
  <si>
    <t>Sat 14-Mar-26 4:14 PM</t>
  </si>
  <si>
    <t>Sat 14-Mar-26 4:29 PM</t>
  </si>
  <si>
    <t>Sat 14-Mar-26 9:34 PM</t>
  </si>
  <si>
    <t>Sun 15-Mar-26 12:02 AM</t>
  </si>
  <si>
    <t>Sun 15-Mar-26 12:45 PM</t>
  </si>
  <si>
    <t>Sun 15-Mar-26 2:08 PM</t>
  </si>
  <si>
    <t>Sun 15-Mar-26 4:00 PM</t>
  </si>
  <si>
    <t>Mon 16-Mar-26 11:57 AM</t>
  </si>
  <si>
    <t>Mon 16-Mar-26 12:24 PM</t>
  </si>
  <si>
    <t>Mon 16-Mar-26 12:33 PM</t>
  </si>
  <si>
    <t>Mon 16-Mar-26 12:46 PM</t>
  </si>
  <si>
    <t>Mon 16-Mar-26 1:00 PM</t>
  </si>
  <si>
    <t>Mon 16-Mar-26 1:22 PM</t>
  </si>
  <si>
    <t>Mon 16-Mar-26 2:53 PM</t>
  </si>
  <si>
    <t>Mon 16-Mar-26 3:41 PM</t>
  </si>
  <si>
    <t>Mon 16-Mar-26 4:13 PM</t>
  </si>
  <si>
    <t>Mon 16-Mar-26 5:35 PM</t>
  </si>
  <si>
    <t>Mon 16-Mar-26 7:29 PM</t>
  </si>
  <si>
    <t>Tue 17-Mar-26 11:21 AM</t>
  </si>
  <si>
    <t>Tue 17-Mar-26 12:42 PM</t>
  </si>
  <si>
    <t>Thu 19-Mar-26 10:47 AM</t>
  </si>
  <si>
    <t>Wed 18-Mar-26 2:52 PM</t>
  </si>
  <si>
    <t>Wed 18-Mar-26 2:51 PM</t>
  </si>
  <si>
    <t>Thu 19-Mar-26 12:11 PM</t>
  </si>
  <si>
    <t>Thu 19-Mar-26 2:50 PM</t>
  </si>
  <si>
    <t>Thu 19-Mar-26 3:06 PM</t>
  </si>
  <si>
    <t>Fri 20-Mar-26 11:31 AM</t>
  </si>
  <si>
    <t>Fri 20-Mar-26 1:32 PM</t>
  </si>
  <si>
    <t>Fri 20-Mar-26 3:46 PM</t>
  </si>
  <si>
    <t>Fri 20-Mar-26 4:00 PM</t>
  </si>
  <si>
    <t>Fri 20-Mar-26 4:27 PM</t>
  </si>
  <si>
    <t>Fri 20-Mar-26 5:40 PM</t>
  </si>
  <si>
    <t>Fri 20-Mar-26 5:51 PM</t>
  </si>
  <si>
    <t>Sat 21-Mar-26 1:58 PM</t>
  </si>
  <si>
    <t>Sat 21-Mar-26 2:05 PM</t>
  </si>
  <si>
    <t>Sat 21-Mar-26 2:51 PM</t>
  </si>
  <si>
    <t>Sun 22-Mar-26 3:28 PM</t>
  </si>
  <si>
    <t>Sun 22-Mar-26 4:16 PM</t>
  </si>
  <si>
    <t>Mon 23-Mar-26 10:12 AM</t>
  </si>
  <si>
    <t>Mon 23-Mar-26 11:31 AM</t>
  </si>
  <si>
    <t>Mon 23-Mar-26 3:53 PM</t>
  </si>
  <si>
    <t>Mon 23-Mar-26 3:55 PM</t>
  </si>
  <si>
    <t>Mon 23-Mar-26 3:33 PM</t>
  </si>
  <si>
    <t>Mon 23-Mar-26 4:25 PM</t>
  </si>
  <si>
    <t>Tue 24-Mar-26 9:44 AM</t>
  </si>
  <si>
    <t>Tue 24-Mar-26 11:35 AM</t>
  </si>
  <si>
    <t>Tue 24-Mar-26 1:10 PM</t>
  </si>
  <si>
    <t>Tue 24-Mar-26 4:29 PM</t>
  </si>
  <si>
    <t>Tue 24-Mar-26 3:35 PM</t>
  </si>
  <si>
    <t>Wed 25-Mar-26 11:03 AM</t>
  </si>
  <si>
    <t>Wed 25-Mar-26 4:38 PM</t>
  </si>
  <si>
    <t>Fri 27-Mar-26 8:28 AM</t>
  </si>
  <si>
    <t>Fri 27-Mar-26 11:56 AM</t>
  </si>
  <si>
    <t>Fri 27-Mar-26 12:48 PM</t>
  </si>
  <si>
    <t>Wed 01-Apr-26 1:08 PM</t>
  </si>
  <si>
    <t>Wed 01-Apr-26 1:47 PM</t>
  </si>
  <si>
    <t>Wed 01-Apr-26 11:06 AM</t>
  </si>
  <si>
    <t>Wed 01-Apr-26 6:15 PM</t>
  </si>
  <si>
    <t>Wed 01-Apr-26 4:27 PM</t>
  </si>
  <si>
    <t>Thu 02-Apr-26 10:31 AM</t>
  </si>
  <si>
    <t>Thu 02-Apr-26 11:09 AM</t>
  </si>
  <si>
    <t>Thu 02-Apr-26 11:27 AM</t>
  </si>
  <si>
    <t>Thu 02-Apr-26 11:42 AM</t>
  </si>
  <si>
    <t>Thu 02-Apr-26 4:33 PM</t>
  </si>
  <si>
    <t>Thu 02-Apr-26 4:18 PM</t>
  </si>
  <si>
    <t>Thu 02-Apr-26 4:15 PM</t>
  </si>
  <si>
    <t>Thu 02-Apr-26 3:53 PM</t>
  </si>
  <si>
    <t>Fri 03-Apr-26 9:36 AM</t>
  </si>
  <si>
    <t>Fri 03-Apr-26 1:13 PM</t>
  </si>
  <si>
    <t>Fri 03-Apr-26 4:39 PM</t>
  </si>
  <si>
    <t>Fri 03-Apr-26 7:32 PM</t>
  </si>
  <si>
    <t>Sat 04-Apr-26 10:50 AM</t>
  </si>
  <si>
    <t>Sat 04-Apr-26 11:31 AM</t>
  </si>
  <si>
    <t>Sat 04-Apr-26 12:44 PM</t>
  </si>
  <si>
    <t>Sat 04-Apr-26 1:13 PM</t>
  </si>
  <si>
    <t>Sat 04-Apr-26 1:26 PM</t>
  </si>
  <si>
    <t>Sat 04-Apr-26 2:05 PM</t>
  </si>
  <si>
    <t>Sat 04-Apr-26 2:29 PM</t>
  </si>
  <si>
    <t>Sat 04-Apr-26 2:17 PM</t>
  </si>
  <si>
    <t>Sat 04-Apr-26 5:47 PM</t>
  </si>
  <si>
    <t>Sat 04-Apr-26 5:57 PM</t>
  </si>
  <si>
    <t>Sun 05-Apr-26 7:22 PM</t>
  </si>
  <si>
    <t>Mon 06-Apr-26 11:13 AM</t>
  </si>
  <si>
    <t>Mon 06-Apr-26 1:56 PM</t>
  </si>
  <si>
    <t>Mon 06-Apr-26 3:43 PM</t>
  </si>
  <si>
    <t>Tue 07-Apr-26 9:45 AM</t>
  </si>
  <si>
    <t>Tue 07-Apr-26 11:05 AM</t>
  </si>
  <si>
    <t>Tue 07-Apr-26 2:02 PM</t>
  </si>
  <si>
    <t>Tue 07-Apr-26 3:59 PM</t>
  </si>
  <si>
    <t>Tue 07-Apr-26 12:40 PM</t>
  </si>
  <si>
    <t>Wed 08-Apr-26 10:52 AM</t>
  </si>
  <si>
    <t>Wed 08-Apr-26 12:51 PM</t>
  </si>
  <si>
    <t>Wed 08-Apr-26 1:51 PM</t>
  </si>
  <si>
    <t>Wed 08-Apr-26 3:19 PM</t>
  </si>
  <si>
    <t>Wed 08-Apr-26 3:14 PM</t>
  </si>
  <si>
    <t>Wed 08-Apr-26 5:25 PM</t>
  </si>
  <si>
    <t>Wed 08-Apr-26 8:25 PM</t>
  </si>
  <si>
    <t>Wed 08-Apr-26 4:58 PM</t>
  </si>
  <si>
    <t>Wed 08-Apr-26 5:20 PM</t>
  </si>
  <si>
    <t>Thu 09-Apr-26 1:31 PM</t>
  </si>
  <si>
    <t>Thu 09-Apr-26 5:25 PM</t>
  </si>
  <si>
    <t>Thu 09-Apr-26 5:59 PM</t>
  </si>
  <si>
    <t>Fri 10-Apr-26 3:06 PM</t>
  </si>
  <si>
    <t>Fri 10-Apr-26 3:11 PM</t>
  </si>
  <si>
    <t>Fri 10-Apr-26 7:58 PM</t>
  </si>
  <si>
    <t>Sat 11-Apr-26 12:35 PM</t>
  </si>
  <si>
    <t>Sat 11-Apr-26 9:31 AM</t>
  </si>
  <si>
    <t>Sat 11-Apr-26 11:23 AM</t>
  </si>
  <si>
    <t>Sat 11-Apr-26 12:19 PM</t>
  </si>
  <si>
    <t>Sat 11-Apr-26 5:32 PM</t>
  </si>
  <si>
    <t>Sun 12-Apr-26 10:05 AM</t>
  </si>
  <si>
    <t>File Number</t>
  </si>
  <si>
    <t>Cost EGP</t>
  </si>
  <si>
    <t>Selling EGP</t>
  </si>
  <si>
    <t>P/L EGP</t>
  </si>
  <si>
    <t>Rehla .Com</t>
  </si>
  <si>
    <t>EGY</t>
  </si>
  <si>
    <t xml:space="preserve"> FT-1001-01</t>
  </si>
  <si>
    <t>Elite Sea Skay</t>
  </si>
  <si>
    <t xml:space="preserve">Single </t>
  </si>
  <si>
    <t>B.B</t>
  </si>
  <si>
    <t>Mr Mohamed Abdallah</t>
  </si>
  <si>
    <t xml:space="preserve"> FT-1002-02</t>
  </si>
  <si>
    <t>IND</t>
  </si>
  <si>
    <t xml:space="preserve"> FT-1003-03</t>
  </si>
  <si>
    <t xml:space="preserve">Jungle Aqua Park </t>
  </si>
  <si>
    <t>Bungalow Family room</t>
  </si>
  <si>
    <t>Soft Allinc</t>
  </si>
  <si>
    <t>Ahmed Abou Elnaga</t>
  </si>
  <si>
    <t xml:space="preserve"> FT-1004-04</t>
  </si>
  <si>
    <t>BO</t>
  </si>
  <si>
    <t xml:space="preserve"> FT-1005-05</t>
  </si>
  <si>
    <t>29/4/2026</t>
  </si>
  <si>
    <t xml:space="preserve"> FT-1006-06</t>
  </si>
  <si>
    <t>Ajira Resort Sahl Hasheesh</t>
  </si>
  <si>
    <t xml:space="preserve">deluxe room sea view </t>
  </si>
  <si>
    <t>Reham Ahmed.</t>
  </si>
  <si>
    <t>SPO</t>
  </si>
  <si>
    <t>VCR</t>
  </si>
  <si>
    <t>Yes</t>
  </si>
  <si>
    <t>USD</t>
  </si>
  <si>
    <t>BB</t>
  </si>
  <si>
    <t>N/A</t>
  </si>
  <si>
    <t>EUR</t>
  </si>
  <si>
    <t>HB</t>
  </si>
  <si>
    <t>Pending</t>
  </si>
  <si>
    <t>DD</t>
  </si>
  <si>
    <t>LXR</t>
  </si>
  <si>
    <t>GBP</t>
  </si>
  <si>
    <t>FB</t>
  </si>
  <si>
    <t>Sent</t>
  </si>
  <si>
    <t>Bubble</t>
  </si>
  <si>
    <t>Family</t>
  </si>
  <si>
    <t>EGP</t>
  </si>
  <si>
    <t>3rd Party</t>
  </si>
  <si>
    <t>Suite</t>
  </si>
  <si>
    <t>TCP</t>
  </si>
  <si>
    <t>J. Suite</t>
  </si>
  <si>
    <t>Stop Sale</t>
  </si>
  <si>
    <t>BKG BANK — RESERVATIONS DASHBOARD</t>
  </si>
  <si>
    <t>Winter Season 25-26 Fulvago</t>
  </si>
  <si>
    <t>FILTERS</t>
  </si>
  <si>
    <t>Arr Date From:</t>
  </si>
  <si>
    <t>Arr Date To:</t>
  </si>
  <si>
    <t>Status:</t>
  </si>
  <si>
    <t>ALL</t>
  </si>
  <si>
    <t>T/O:</t>
  </si>
  <si>
    <t>Market:</t>
  </si>
  <si>
    <t>Resort:</t>
  </si>
  <si>
    <t>Type ALL or specific value (e.g. Confirmed / JMB / WE / HRG)</t>
  </si>
  <si>
    <t>KEY PERFORMANCE INDICATORS</t>
  </si>
  <si>
    <t>Total Bookings</t>
  </si>
  <si>
    <t>Cancelled</t>
  </si>
  <si>
    <t>Rooms</t>
  </si>
  <si>
    <t>Adults</t>
  </si>
  <si>
    <t>Children</t>
  </si>
  <si>
    <t>Infants</t>
  </si>
  <si>
    <t>Room Nights</t>
  </si>
  <si>
    <t>Avg Stay (NTS)</t>
  </si>
  <si>
    <t>Unique Hotels</t>
  </si>
  <si>
    <t>Top Hotel</t>
  </si>
  <si>
    <t>PROFIT &amp; LOSS (filtered range)</t>
  </si>
  <si>
    <t>Margin % USD</t>
  </si>
  <si>
    <t>Margin % EUR</t>
  </si>
  <si>
    <t>Avg P/L EUR / Bkg</t>
  </si>
  <si>
    <t>Profitable Bkgs</t>
  </si>
  <si>
    <t>Loss Bkgs</t>
  </si>
  <si>
    <t>Loss %</t>
  </si>
  <si>
    <t>BREAKDOWN BY TOUR OPERATOR</t>
  </si>
  <si>
    <t>Bookings</t>
  </si>
  <si>
    <t>Margin %</t>
  </si>
  <si>
    <t>Other</t>
  </si>
  <si>
    <t>TOTAL</t>
  </si>
  <si>
    <t>BREAKDOWN BY MARKET</t>
  </si>
  <si>
    <t>BREAKDOWN BY RESORT</t>
  </si>
  <si>
    <t>TOP 15 HOTELS (filtered range)</t>
  </si>
  <si>
    <t>Rank</t>
  </si>
  <si>
    <t>HELPER AREA — DO NOT EDIT</t>
  </si>
  <si>
    <t>RoomNights</t>
  </si>
  <si>
    <t>RankKey</t>
  </si>
  <si>
    <t>UPCOMING PAYMENT OPTION DATES (next 60 days)</t>
  </si>
  <si>
    <t>Days Until</t>
  </si>
  <si>
    <t>Hotel</t>
  </si>
  <si>
    <t>Payment Helper</t>
  </si>
  <si>
    <t>POptDate</t>
  </si>
  <si>
    <t>BkgRef</t>
  </si>
  <si>
    <t>ArrDate</t>
  </si>
  <si>
    <t>CostEUR</t>
  </si>
  <si>
    <t>DaysUntil</t>
  </si>
  <si>
    <t>SortKey</t>
  </si>
  <si>
    <t>MONTHLY ARRIVALS TREND (filtered range)</t>
  </si>
  <si>
    <t>Month</t>
  </si>
  <si>
    <t>Avg Stay</t>
  </si>
  <si>
    <t/>
  </si>
  <si>
    <t>EBD %</t>
  </si>
  <si>
    <t>EBD Payment Date</t>
  </si>
  <si>
    <t>EBD Payment Amount USD</t>
  </si>
  <si>
    <t>EBD Payment Amount EUR</t>
  </si>
  <si>
    <t>Guest Name Rebooked</t>
  </si>
  <si>
    <t>CHD</t>
  </si>
  <si>
    <t>EBD P. Amount USD</t>
  </si>
  <si>
    <t>EBD P. Amount EUR</t>
  </si>
  <si>
    <t>Meal Basis</t>
  </si>
  <si>
    <t>Booking Status</t>
  </si>
  <si>
    <t>Tour Operator</t>
  </si>
  <si>
    <t>Room Category</t>
  </si>
  <si>
    <t>TRV</t>
  </si>
  <si>
    <t>MAK</t>
  </si>
  <si>
    <t>SAF</t>
  </si>
  <si>
    <t>SMB</t>
  </si>
  <si>
    <t>SAH</t>
  </si>
  <si>
    <t>DHB</t>
  </si>
  <si>
    <t>NWB</t>
  </si>
  <si>
    <t>SAI</t>
  </si>
  <si>
    <t>Currency</t>
  </si>
  <si>
    <t>AMPHORAS AQUA - ADULT ONLY</t>
  </si>
  <si>
    <t>AMPHORAS BLU RESORT - ADULTS ONLY</t>
  </si>
  <si>
    <t>BLEND EL PHISTONE RESORT</t>
  </si>
  <si>
    <t>CLEOPATRA LUXURY RESORT MAKADI BAY MAIN HOTEL</t>
  </si>
  <si>
    <t>DESERT ROSE RESORT</t>
  </si>
  <si>
    <t>DOMINA CORAL BAY AQUA MARINE BEACH</t>
  </si>
  <si>
    <t>DOMINA CORAL BAY SULTAN</t>
  </si>
  <si>
    <t>LE PACHA RESORT</t>
  </si>
  <si>
    <t>MARRIOTT BEACH RESORT HURGHADA</t>
  </si>
  <si>
    <t>PICKALBATROS CITADEL RESORT</t>
  </si>
  <si>
    <t>PICKALBATROS JUNGLE AQUA PARK BY NEVERLAND</t>
  </si>
  <si>
    <t>REEF OASIS BEACH RESORT (VERACLUB)</t>
  </si>
  <si>
    <t>RIXOS RADAMIS</t>
  </si>
  <si>
    <t>SENTIDO MAMLOUK PALACE RESORT (HRG)</t>
  </si>
  <si>
    <t>Standard Room</t>
  </si>
  <si>
    <t>Permium Pool View</t>
  </si>
  <si>
    <t>JAZ GRAND MARSA</t>
  </si>
  <si>
    <t>Permium Side Sea View</t>
  </si>
  <si>
    <t>Permium Sea View</t>
  </si>
  <si>
    <t>Family Pool View</t>
  </si>
  <si>
    <t>02 Family Connected</t>
  </si>
  <si>
    <t>Standard Pool View</t>
  </si>
  <si>
    <t>Superior Room</t>
  </si>
  <si>
    <t>Superior Pool View Room</t>
  </si>
  <si>
    <t>Superior Sea View Room</t>
  </si>
  <si>
    <t>one bed room chalet</t>
  </si>
  <si>
    <t>Two-bedroom chalet</t>
  </si>
  <si>
    <t>Standard Pool View Room</t>
  </si>
  <si>
    <t>Standard Sea View Room</t>
  </si>
  <si>
    <t>Standard front sea View Room</t>
  </si>
  <si>
    <t>Deluxe room</t>
  </si>
  <si>
    <t>Deluxe Sea View</t>
  </si>
  <si>
    <t>Club room</t>
  </si>
  <si>
    <t>Family suite</t>
  </si>
  <si>
    <t>Swim up Suite</t>
  </si>
  <si>
    <t>Superior Garden View</t>
  </si>
  <si>
    <t>Superior Pool Views</t>
  </si>
  <si>
    <t>Deluxe Garden View</t>
  </si>
  <si>
    <t>Deluxe Pool Views</t>
  </si>
  <si>
    <t>Superior GV</t>
  </si>
  <si>
    <t>Superior PV</t>
  </si>
  <si>
    <t>Superior SV</t>
  </si>
  <si>
    <t>Deluxe GV</t>
  </si>
  <si>
    <t>Deluxe PV</t>
  </si>
  <si>
    <t>Deluxe SV</t>
  </si>
  <si>
    <t>Elphistone Deluxe GV</t>
  </si>
  <si>
    <t>Elphistone Deluxe PV</t>
  </si>
  <si>
    <t>Elphistone Deluxe SV</t>
  </si>
  <si>
    <t>Family Room</t>
  </si>
  <si>
    <t>Deluxe Family</t>
  </si>
  <si>
    <t>Superior Family Suite</t>
  </si>
  <si>
    <t>Calimera Family Suite</t>
  </si>
  <si>
    <t>Deluxe Family Suite</t>
  </si>
  <si>
    <t>Standard Garden Room</t>
  </si>
  <si>
    <t>Premium Deluxe Room  Garden view</t>
  </si>
  <si>
    <t>Premium Deluxe Room Pool view</t>
  </si>
  <si>
    <t>Premium Deluxe Sea View Room</t>
  </si>
  <si>
    <t>Premium Deluxe Front Room</t>
  </si>
  <si>
    <t>Junior Suite</t>
  </si>
  <si>
    <t>Master Suite</t>
  </si>
  <si>
    <t>Standard Garden View Room</t>
  </si>
  <si>
    <t>Superior Direct Pool or Sea side View</t>
  </si>
  <si>
    <t>Superior Direct Sea view</t>
  </si>
  <si>
    <t>Elegant Garden View</t>
  </si>
  <si>
    <t>Elegant Direct Sea View</t>
  </si>
  <si>
    <t>Deluxe Elegant Garden View</t>
  </si>
  <si>
    <t>Deluxe Elegant Direct Sea view</t>
  </si>
  <si>
    <t>Family Room ( 2 units )</t>
  </si>
  <si>
    <t>Superior Direct pool View</t>
  </si>
  <si>
    <t>Family Room (02 Units)</t>
  </si>
  <si>
    <t>Family one Bedroom</t>
  </si>
  <si>
    <t>Family Two Bedrooms</t>
  </si>
  <si>
    <t>Standard Garden View</t>
  </si>
  <si>
    <t>Standard Side Sea View or Sea View</t>
  </si>
  <si>
    <t>Pool View Room</t>
  </si>
  <si>
    <t>Sea View Room</t>
  </si>
  <si>
    <t>Standard GV</t>
  </si>
  <si>
    <t>Superior Room GV/PV</t>
  </si>
  <si>
    <t>Superior Room SV</t>
  </si>
  <si>
    <t>Deluxe Family Room GV</t>
  </si>
  <si>
    <t>Superior Room GV</t>
  </si>
  <si>
    <t>Superior Room SSV</t>
  </si>
  <si>
    <t>Superior Room Garden View</t>
  </si>
  <si>
    <t>Superior Room Pool View &amp; Bay View</t>
  </si>
  <si>
    <t>Superior Deluxe Garden View</t>
  </si>
  <si>
    <t>Superior Deluxe Pool View &amp; Bay View</t>
  </si>
  <si>
    <t>Family Room Garden View</t>
  </si>
  <si>
    <t>Family Room Pool View &amp; Bay View</t>
  </si>
  <si>
    <t>Family Swim UP</t>
  </si>
  <si>
    <t>Superior Garden room</t>
  </si>
  <si>
    <t>Superior Pool View room</t>
  </si>
  <si>
    <t>Superior TPL Room GV &amp; PV</t>
  </si>
  <si>
    <t>Deluxe Room Pool View</t>
  </si>
  <si>
    <t>Superior Room Pool View</t>
  </si>
  <si>
    <t>Superior Family Garden View</t>
  </si>
  <si>
    <t>Superior Family Pool View</t>
  </si>
  <si>
    <t>Family Deluxe Garden View</t>
  </si>
  <si>
    <t>Superior Deluxe Room Garden View</t>
  </si>
  <si>
    <t>Family Room Pool View</t>
  </si>
  <si>
    <t>Family Deluxe Room Garden View</t>
  </si>
  <si>
    <t>Family Deluxe Room Pool View</t>
  </si>
  <si>
    <t>Two Bed room apartment GV</t>
  </si>
  <si>
    <t>Two Bed room apartment PV</t>
  </si>
  <si>
    <t>Sea View Supplement</t>
  </si>
  <si>
    <t>Family Room Supplement</t>
  </si>
  <si>
    <t>Double Trouble (GV-PSV-SV)</t>
  </si>
  <si>
    <t>Triple Trouble (GV-PV)</t>
  </si>
  <si>
    <t>Triple Trouble (PSV)</t>
  </si>
  <si>
    <t>Triple Trouble (SV)</t>
  </si>
  <si>
    <t>Gypster (GV)</t>
  </si>
  <si>
    <t>Gypster (PSV)</t>
  </si>
  <si>
    <t>Gypster (SV)</t>
  </si>
  <si>
    <t>Merakilous (GV)</t>
  </si>
  <si>
    <t>Merakilous (SV)</t>
  </si>
  <si>
    <t>Deluxe Garden</t>
  </si>
  <si>
    <t>Deluxe Pool</t>
  </si>
  <si>
    <t>Superior Sea View</t>
  </si>
  <si>
    <t>Deluxe Beach Front</t>
  </si>
  <si>
    <t>Junior Suite ( Sea view beach front)</t>
  </si>
  <si>
    <t>Honey Moon Room (Adults Only- Sea View)</t>
  </si>
  <si>
    <t>Standard Room GV</t>
  </si>
  <si>
    <t>Standard Room PV</t>
  </si>
  <si>
    <t>Family 2 Bedrooms</t>
  </si>
  <si>
    <t>Standard Room SV</t>
  </si>
  <si>
    <t>Deluxe Room SV</t>
  </si>
  <si>
    <t>Superior Swim UP</t>
  </si>
  <si>
    <t>Standard Room GV/PV</t>
  </si>
  <si>
    <t>Family Bungalow Sliding PV</t>
  </si>
  <si>
    <t>Splash Room Aqua Park View</t>
  </si>
  <si>
    <t>Family 2 Bedrooms PV</t>
  </si>
  <si>
    <t>Standard Room SSV</t>
  </si>
  <si>
    <t>Standard Room Sea View</t>
  </si>
  <si>
    <t>Bungalow Room</t>
  </si>
  <si>
    <t>Side Sea View Room</t>
  </si>
  <si>
    <t>Junior Suite Sea View</t>
  </si>
  <si>
    <t>Standard Room (GV)</t>
  </si>
  <si>
    <t>Standard Room (PV)</t>
  </si>
  <si>
    <t>Standard Room (PSV)</t>
  </si>
  <si>
    <t>Family Bunkbed  (GV-PV)</t>
  </si>
  <si>
    <t>Family Suite (GV)</t>
  </si>
  <si>
    <t>Family Suite (PV)</t>
  </si>
  <si>
    <t>Junior Suite (SV)</t>
  </si>
  <si>
    <t>Executive Suite (SV)</t>
  </si>
  <si>
    <t>Superior Garden View Room</t>
  </si>
  <si>
    <t>Superior  Pool View Room</t>
  </si>
  <si>
    <t>Superior  Side Sea View Room</t>
  </si>
  <si>
    <t>Superior Swim-Up  Room</t>
  </si>
  <si>
    <t>Family Deluxe Garden View Room</t>
  </si>
  <si>
    <t>Family Deluxe Pool View Room</t>
  </si>
  <si>
    <t>Family Deluxe Side Sea View Room</t>
  </si>
  <si>
    <t>Family Deluxe Swim-UP Room</t>
  </si>
  <si>
    <t>Standard Room Lagoon / Pool</t>
  </si>
  <si>
    <t>Standard Room Sea view</t>
  </si>
  <si>
    <t>Deluxe Room Lagoon / Pool view</t>
  </si>
  <si>
    <t>Deluxe Room Sea view</t>
  </si>
  <si>
    <t>Elite Room</t>
  </si>
  <si>
    <t>Premium Room – Garden view</t>
  </si>
  <si>
    <t>Premium Room – Pool / Sea view</t>
  </si>
  <si>
    <t>Boho Room</t>
  </si>
  <si>
    <t>Superior Room (GV)</t>
  </si>
  <si>
    <t>Superior Room (PV)</t>
  </si>
  <si>
    <t>Superior Room (PSV)</t>
  </si>
  <si>
    <t>Deluxe Room (PV)</t>
  </si>
  <si>
    <t>Deluxe Room (PSV)</t>
  </si>
  <si>
    <t>Deluxe Room (BF)</t>
  </si>
  <si>
    <t>Junior Suite (GV)</t>
  </si>
  <si>
    <t>Standard Room Back View</t>
  </si>
  <si>
    <t>Standard Room (SV)</t>
  </si>
  <si>
    <t>Superior Room (SV)</t>
  </si>
  <si>
    <t>Deluxe Room (SV)</t>
  </si>
  <si>
    <t>Premium Room (SV)</t>
  </si>
  <si>
    <t>Junior Suite City View</t>
  </si>
  <si>
    <t>Premium Jacuzzi Suite (SV)</t>
  </si>
  <si>
    <t>Master Suite (SV)</t>
  </si>
  <si>
    <t>Premium Room</t>
  </si>
  <si>
    <t>Premium Room Garden Side (2nd line)</t>
  </si>
  <si>
    <t>Premium Sea View</t>
  </si>
  <si>
    <t>Junior Suite Garden Side (2nd line)</t>
  </si>
  <si>
    <t>Diplomatic Suite</t>
  </si>
  <si>
    <t>Family Suite Garden Side (2nd line)</t>
  </si>
  <si>
    <t>Comfort  Room Garden View</t>
  </si>
  <si>
    <t>Comfort Sea View</t>
  </si>
  <si>
    <t>Premium Sea View Room</t>
  </si>
  <si>
    <t>Premium Plus Sea View</t>
  </si>
  <si>
    <t>Comfort Plus Garden View</t>
  </si>
  <si>
    <t>Comfort Plus Sea View</t>
  </si>
  <si>
    <t>Premium Grand Room</t>
  </si>
  <si>
    <t>Premium Garden View</t>
  </si>
  <si>
    <t>Premium Sea View / Marina View / Pool View / Lagoon view</t>
  </si>
  <si>
    <t>Superior Sea View / Marina View / Lagoon view</t>
  </si>
  <si>
    <t>Superior</t>
  </si>
  <si>
    <t>Comfort Room</t>
  </si>
  <si>
    <t>Premium Family</t>
  </si>
  <si>
    <t>Superior Plus</t>
  </si>
  <si>
    <t>Comfort Family Room</t>
  </si>
  <si>
    <t>Comfort Grand Room</t>
  </si>
  <si>
    <t>Premium</t>
  </si>
  <si>
    <t>Comfort Family</t>
  </si>
  <si>
    <t>Swim Up</t>
  </si>
  <si>
    <t>Family Room Superior</t>
  </si>
  <si>
    <t>Superior P.V/G.V</t>
  </si>
  <si>
    <t>Superior Side sea view</t>
  </si>
  <si>
    <t>Superior Sea view</t>
  </si>
  <si>
    <t>Family room</t>
  </si>
  <si>
    <t>Premium GV</t>
  </si>
  <si>
    <t>Premium SV</t>
  </si>
  <si>
    <t>FAMILY ROMM POOL VIEW</t>
  </si>
  <si>
    <t>MAIN BUILDING SUPERIOR ROOM SWIM UP VIEW</t>
  </si>
  <si>
    <t>Deluxe Room</t>
  </si>
  <si>
    <t>Grand Family Room</t>
  </si>
  <si>
    <t>Bungalow GV</t>
  </si>
  <si>
    <t>Superior GV/City View</t>
  </si>
  <si>
    <t>Regal Room GV/BV</t>
  </si>
  <si>
    <t>Handling</t>
  </si>
  <si>
    <t xml:space="preserve">CXL </t>
  </si>
  <si>
    <t>pax</t>
  </si>
  <si>
    <t>17162799 -173786</t>
  </si>
  <si>
    <t>16356733 ,20303405</t>
  </si>
  <si>
    <t>*00000002-20303524</t>
  </si>
  <si>
    <t>*00000004-20242972</t>
  </si>
  <si>
    <t>20243087-20303526</t>
  </si>
  <si>
    <t>20303486 -2704244</t>
  </si>
  <si>
    <t>20303643 -595954449325</t>
  </si>
  <si>
    <t>20303657-173748 -175419</t>
  </si>
  <si>
    <t xml:space="preserve">173801-175706 </t>
  </si>
  <si>
    <t>20303674- 173658</t>
  </si>
  <si>
    <t>2175227-375013919</t>
  </si>
  <si>
    <t>20303724-85556957</t>
  </si>
  <si>
    <t>SGL ,DBL</t>
  </si>
  <si>
    <t>DBL+single</t>
  </si>
  <si>
    <t>DBL+SGL</t>
  </si>
  <si>
    <t>TPL+DBL</t>
  </si>
  <si>
    <t>Soft All</t>
  </si>
  <si>
    <t xml:space="preserve">Herr Gino Van Haeken , Frau Isabelle Rigaux </t>
  </si>
  <si>
    <t xml:space="preserve">Marco Braunsdorf  ,  Diana Braunsdorf </t>
  </si>
  <si>
    <t xml:space="preserve">   Dirk Mattlat  ,  
Martina Mattlat </t>
  </si>
  <si>
    <t xml:space="preserve">  Milutin Stefanov  , Elke Borgmann 
</t>
  </si>
  <si>
    <t xml:space="preserve">Birgit Herold  , Andreas Herold </t>
  </si>
  <si>
    <t xml:space="preserve">Matthias Heinz Neun , 
 Bernd Hatzebruch </t>
  </si>
  <si>
    <t xml:space="preserve"> louise den herder  , 
 Ms Amanda Schreurs </t>
  </si>
  <si>
    <t>Lilian Fischediek</t>
  </si>
  <si>
    <t xml:space="preserve">Robin, Bennett , ROBIN, BENNETT </t>
  </si>
  <si>
    <t>MRS June Akrigg , Robert Akrigg</t>
  </si>
  <si>
    <t>Stuart Lacey ,  Mrs Claire Lacey, Rebooked and confirmed with hotel with voucher 20303536</t>
  </si>
  <si>
    <t xml:space="preserve">Stephanie Gross , Marcus Duester </t>
  </si>
  <si>
    <t>Karin Schneider</t>
  </si>
  <si>
    <t>Ruchella Etnel-Staphorst</t>
  </si>
  <si>
    <t>VINICIO MANFREDI</t>
  </si>
  <si>
    <t>Milly Combe   ,  MRS Tracey Combe</t>
  </si>
  <si>
    <t xml:space="preserve">SIMONETTA, FIORI  ,, 
VINCENZA, SALVOLDI </t>
  </si>
  <si>
    <t>MR Stefan Schnitzer  ,  
Marion Schnitzer</t>
  </si>
  <si>
    <t xml:space="preserve">  Teresa Bowsher,
  Mr Peter Bowsher</t>
  </si>
  <si>
    <t>Gert Roelink, 
Marleen Hofste,Tess Roelink,
Sepp Roelink</t>
  </si>
  <si>
    <t>Edelgard Szalek</t>
  </si>
  <si>
    <t>Justine, Crubile</t>
  </si>
  <si>
    <t>Christian Otto Pfander</t>
  </si>
  <si>
    <t>Juan Alexander 
Andres Toro Alvarez</t>
  </si>
  <si>
    <t xml:space="preserve">Alexander Kansin  ,
  Elena Kansin </t>
  </si>
  <si>
    <t xml:space="preserve">FRANCESCO, TRINCHILLO , 
ROSARIA ASSUNTA, DI GIACOMO </t>
  </si>
  <si>
    <t>JEAN NOEL, FOUILLAT</t>
  </si>
  <si>
    <t xml:space="preserve">Elke Andres , Dany Hettich </t>
  </si>
  <si>
    <t>Petra Margret Wehmeyer</t>
  </si>
  <si>
    <t xml:space="preserve">Ms Maaike Groenendijk  - 
Mr Marvin de Wilde </t>
  </si>
  <si>
    <t xml:space="preserve">Veronique, Coulon </t>
  </si>
  <si>
    <t xml:space="preserve">MR Mathew Evans  , 
 Kelly Evans   ,  Emilia </t>
  </si>
  <si>
    <t>Bouchaib Boujir</t>
  </si>
  <si>
    <t xml:space="preserve">SILVANO, PESCI  -PAOLA, CREMONA 
</t>
  </si>
  <si>
    <t>de heer Peter Jackmaert</t>
  </si>
  <si>
    <t>Jessica CXL on 10-03 Knuth -Seif - Wincent Seif , Re booked with name Wincent Seif  on 10-03</t>
  </si>
  <si>
    <t>MEHMET SERTAÇ  KELEŞ ,
 ASLI  İNCEGÜL</t>
  </si>
  <si>
    <t>Axel Kaiser</t>
  </si>
  <si>
    <t>Bryan, Dehn , Lyman, Dehn</t>
  </si>
  <si>
    <t>mevrouw Lichelle Makkinga</t>
  </si>
  <si>
    <t xml:space="preserve">Ralf Wagner ,  
Sandra Wagner ,  Tim Wagner </t>
  </si>
  <si>
    <t>MISS Heidrun Arnold</t>
  </si>
  <si>
    <t xml:space="preserve">Tatjana Albrecht ,
  Andre Albrecht </t>
  </si>
  <si>
    <t xml:space="preserve">   Sanaz Majidi CXL on 23-03 ,Subhan Noori ,   : Bashir Noori , Rebooked on 16-03 with name Subhan Noorie</t>
  </si>
  <si>
    <t xml:space="preserve">Nicole Meyer ,  Annika Meyer ,
  Anne Ipfelkofer </t>
  </si>
  <si>
    <t xml:space="preserve">MISS Heather Scullion  , 
Archie Maskell ,  Daisy Maskell </t>
  </si>
  <si>
    <t>Vicenzo Saccone</t>
  </si>
  <si>
    <t>NURULLAH CIFTCI , MAJDA BENSMIDA , AMIRA NUR CIFTCI, RUYA ROJIN CIFTCI</t>
  </si>
  <si>
    <t>Claudia Kern</t>
  </si>
  <si>
    <t>RYAN STEPHENS</t>
  </si>
  <si>
    <t>AURELIE Berger</t>
  </si>
  <si>
    <t>Doris Claudia Poertner</t>
  </si>
  <si>
    <t>Stella, Ross</t>
  </si>
  <si>
    <t xml:space="preserve">Sven Roessle Schneider , 
Tanja Roessle </t>
  </si>
  <si>
    <t>HANNAH, CONDUCT</t>
  </si>
  <si>
    <t>Markus Lang ,  
Pierina Ponce Rapalino , 
Mariana Lang Ponce ,
 Emma Lang Ponce</t>
  </si>
  <si>
    <t>Stefanie Tonja, 
GeislerFreitag</t>
  </si>
  <si>
    <t>Maren Dietz</t>
  </si>
  <si>
    <t>Theresa  Mprah ,  
Briella  Osei - Ntiamoah Antwi</t>
  </si>
  <si>
    <t xml:space="preserve">MS Kelsey Stranock ,  
Onyeka adaora Onyeka Adigwe
 //  Vanessa Nwosu </t>
  </si>
  <si>
    <t>Sara Gomm</t>
  </si>
  <si>
    <t>Pieter Van Mourick</t>
  </si>
  <si>
    <t>HUSEYIN CENGIZ , BUSRA , NIL</t>
  </si>
  <si>
    <t>Valentina Bender , Kevin Bender</t>
  </si>
  <si>
    <t>Maria Rauch , Laurenz Schmidt</t>
  </si>
  <si>
    <t>ROSITSA IVANOVA, ANGELOVA</t>
  </si>
  <si>
    <t>20303414     Nicole Lacher</t>
  </si>
  <si>
    <t>Glen Martin</t>
  </si>
  <si>
    <t xml:space="preserve">MISS Christa Huber , 
 Tanja Huber </t>
  </si>
  <si>
    <t>Melanie Guth</t>
  </si>
  <si>
    <t xml:space="preserve">Christoph Busenbach ,
 Sabine Busenbach </t>
  </si>
  <si>
    <t>Hans Werner Ernst Guthoerl</t>
  </si>
  <si>
    <t>Karina, Ross</t>
  </si>
  <si>
    <t>Ingrida Cepauskiene</t>
  </si>
  <si>
    <t>Sued Ahmeti,  Dritmira  Hyseni</t>
  </si>
  <si>
    <t>Daniella Loftus</t>
  </si>
  <si>
    <t>MISS Jenna Nolan , 
 Bartholomew Critchley-Clark, 
August Critchley</t>
  </si>
  <si>
    <t>Lois Shaw</t>
  </si>
  <si>
    <t xml:space="preserve">16844557  Michael Schmitt  , 
 Jakob Schmitt </t>
  </si>
  <si>
    <t xml:space="preserve">MS Claire Allen  , 
 Melissa Ferdinand </t>
  </si>
  <si>
    <t>Alper Uysal</t>
  </si>
  <si>
    <t>EVREN ZEYNEP KARTAL</t>
  </si>
  <si>
    <t xml:space="preserve">Henry Kaehlig , Miriam Kaehlig  , 
Celina Kaehlig </t>
  </si>
  <si>
    <t>Aaron Rodney</t>
  </si>
  <si>
    <t>Leonardo Jagatic , 
Patricija Jelinek</t>
  </si>
  <si>
    <t>Antalne  Varga</t>
  </si>
  <si>
    <t xml:space="preserve">MIA MEFTAH  ,  KHOULOUD MIA MEFTAH ,
  BOUCHRA MEFTAH </t>
  </si>
  <si>
    <t xml:space="preserve">Birgit Jabs-Janietz ,
  Norbert Janietz </t>
  </si>
  <si>
    <t xml:space="preserve">Volker Kilian Bohlender  , 
 Lucia Maria Schultz-Henninger </t>
  </si>
  <si>
    <t xml:space="preserve">Francesca Irene Antoinette Bulani  , 
 Louis Fey,  Tim Fey </t>
  </si>
  <si>
    <t xml:space="preserve">Frederic Villard , 
 Florence Marie Clementine Gast ,
  Mathilda Narinda Villard </t>
  </si>
  <si>
    <t xml:space="preserve">MALIKA MABTOUT  , 
 MINA BENZYANE </t>
  </si>
  <si>
    <t>CIHAN  GAMZE  GÖKÇE  , 
 ERTAŞ</t>
  </si>
  <si>
    <t xml:space="preserve">Dehsara SKERA </t>
  </si>
  <si>
    <t>Hassan Moosa</t>
  </si>
  <si>
    <t>Christian Bunzel</t>
  </si>
  <si>
    <t xml:space="preserve">Christophe Mechine   ,
  Sophie Suler </t>
  </si>
  <si>
    <t xml:space="preserve">Tobias Rudkowski  ,  
Lydia Elisabeth Ring </t>
  </si>
  <si>
    <t xml:space="preserve">Julia Baum  ,   Susanne Baum </t>
  </si>
  <si>
    <t>Admir Mulaku</t>
  </si>
  <si>
    <t xml:space="preserve">Gilles Weidert , Jessica Schiltz </t>
  </si>
  <si>
    <t>Andreia Spinola De Nobrega</t>
  </si>
  <si>
    <t xml:space="preserve">Michael Poienariu ,  
Yvonne Judith Poienariu </t>
  </si>
  <si>
    <t xml:space="preserve">Cornelia Koehler </t>
  </si>
  <si>
    <t>VASILEIOS KATSIRIS , 
KATSIRISaa</t>
  </si>
  <si>
    <t>TINA KOS , LARISA VODEB</t>
  </si>
  <si>
    <t>Christian Wolfgang Eickermann</t>
  </si>
  <si>
    <t>Nevena Gligorovic , Nemanja Perisic</t>
  </si>
  <si>
    <t xml:space="preserve">Carmen Bertila, Govea Rodriguez,  
Lorena Beatriz, Martinez Villamizar </t>
  </si>
  <si>
    <t xml:space="preserve">Sergej Agafonow , Anna Agafonow </t>
  </si>
  <si>
    <t xml:space="preserve">Olaf Wiesner ,  Alla Kharchenko </t>
  </si>
  <si>
    <t>Gerhard Peter</t>
  </si>
  <si>
    <t>Sander Heuvelink</t>
  </si>
  <si>
    <t xml:space="preserve">Hans Dieter Schroeter , Gertrud Charlotte Schroeter 
</t>
  </si>
  <si>
    <t>Anisa Khanom  , Mohammed Uddin</t>
  </si>
  <si>
    <t>Graziano Cottuno</t>
  </si>
  <si>
    <t xml:space="preserve">Mareike Haase  ,  Sascha-Michael de Graaf </t>
  </si>
  <si>
    <t xml:space="preserve">DMITRII SVETLANA , EVSTIGNEEV
</t>
  </si>
  <si>
    <t>Benjamin Richardson</t>
  </si>
  <si>
    <t>MR Tania Craigie</t>
  </si>
  <si>
    <t xml:space="preserve">SEVINC FETTAHOGLU , INCIGUL AKGUN
</t>
  </si>
  <si>
    <t xml:space="preserve">GONUL FETTAHOGLU , ERGUL SECGIN  , 
YASEMIN NEZIROGLUNUR
</t>
  </si>
  <si>
    <t xml:space="preserve">Justine Jander , Liam Jander </t>
  </si>
  <si>
    <t>Daniel Wetzel  , Julia Weisshuhn ,  booked with name Julia Weisshuhn on 25-01</t>
  </si>
  <si>
    <t>Elda Martinazzoli</t>
  </si>
  <si>
    <t xml:space="preserve">        ROSARIA GAETANO ,
 BARBAROSSA SEQUINO,
 FEDERICA SEQUINO
</t>
  </si>
  <si>
    <t xml:space="preserve">Marco Barchesi , IULIANA FLOREA
</t>
  </si>
  <si>
    <t xml:space="preserve">       Tino Kersten , Cindy Kersten ,  Charly Gerd Kersten
</t>
  </si>
  <si>
    <t>Larissa Linneke, Peter Linneke</t>
  </si>
  <si>
    <t xml:space="preserve">Karin Mayer  ,  Frank Machnik </t>
  </si>
  <si>
    <t>Justin gregory Reeves</t>
  </si>
  <si>
    <t xml:space="preserve">ALBERT BLERTA SOLEI ,  LLESHI
</t>
  </si>
  <si>
    <t>MR Paul-Gerhard G��rzel</t>
  </si>
  <si>
    <t>Monika Gabler</t>
  </si>
  <si>
    <t xml:space="preserve"> MR Andrew Leach</t>
  </si>
  <si>
    <t>Clinton Najee Regis</t>
  </si>
  <si>
    <t xml:space="preserve">MARTYNAS KAZIMIERAS,
ZAKAITIS ,  
KAMILE	BUKSNYTE
</t>
  </si>
  <si>
    <t>Ghazwan Almutawali</t>
  </si>
  <si>
    <t>Hanin Saad Mohammed</t>
  </si>
  <si>
    <t>Ali Altimimi</t>
  </si>
  <si>
    <t>Andrea Gruber</t>
  </si>
  <si>
    <t>Herr Gertjan Nijkamp</t>
  </si>
  <si>
    <t xml:space="preserve">Milan, Krstic ,  Ljiljana Krstic ,  Vesna </t>
  </si>
  <si>
    <t xml:space="preserve">Minkah Doram </t>
  </si>
  <si>
    <t xml:space="preserve">Cornelia Weber , Reinhard Weber </t>
  </si>
  <si>
    <t xml:space="preserve">MR OSKAR ROMAN WASOWICZ , 
 DANIEL DARIUSZ WASOWICZ </t>
  </si>
  <si>
    <t xml:space="preserve">Suzana Miljatovic  , Slobodan Miljatovic </t>
  </si>
  <si>
    <t xml:space="preserve">Erika Dorninger </t>
  </si>
  <si>
    <t xml:space="preserve">Felix Putzinger </t>
  </si>
  <si>
    <t>CEYLAN ARSLAN,  
MERT ARSLAN, MERCAN ARSLAN</t>
  </si>
  <si>
    <t>TAHSIN SIMSEK</t>
  </si>
  <si>
    <t>Ali Dursun Öztürk</t>
  </si>
  <si>
    <t xml:space="preserve">Charlotte Baxter , Thomas Lockwood , Georgia Palfre, Freddie Lockwood </t>
  </si>
  <si>
    <t>EMILIA ANNA , ANDREA ANTONIO , ALFONSO  PIPOLO , ANDREJA ANTONIO</t>
  </si>
  <si>
    <t>Evelyn Fuchs</t>
  </si>
  <si>
    <t xml:space="preserve">Justin Eckardt, Anna Hotinskaia  </t>
  </si>
  <si>
    <t>MARTINA AVANZO , ciro esposito</t>
  </si>
  <si>
    <t>Ilaria Cappellazzo</t>
  </si>
  <si>
    <t>BERNA ZORLU , BASAK SAHIN</t>
  </si>
  <si>
    <t xml:space="preserve">Malak Ailo </t>
  </si>
  <si>
    <t xml:space="preserve">Benjamin Holzmann </t>
  </si>
  <si>
    <t>Nicolas Maggiore , Nicolas Maggiore , NicolasMaggiore</t>
  </si>
  <si>
    <t xml:space="preserve">Lykke Melchert </t>
  </si>
  <si>
    <t xml:space="preserve">Sascha König </t>
  </si>
  <si>
    <t>maria coda , martina mazzarella</t>
  </si>
  <si>
    <t>Duriye KUBRA Akben</t>
  </si>
  <si>
    <t xml:space="preserve">Sven Henning </t>
  </si>
  <si>
    <t>Robert Williams  , Donna Delahaye</t>
  </si>
  <si>
    <t xml:space="preserve">Isabella Wollek , Pius Martin Wihler </t>
  </si>
  <si>
    <t xml:space="preserve">Maria Paola Vallogini </t>
  </si>
  <si>
    <t>giorgia tomasi , FILIPPO ALBERI</t>
  </si>
  <si>
    <t>George Warda</t>
  </si>
  <si>
    <t>Johannes Kleijn , Erik Kleijn</t>
  </si>
  <si>
    <t xml:space="preserve">Gary Larkman , Leanne Main </t>
  </si>
  <si>
    <t>Boris Michailidis</t>
  </si>
  <si>
    <t xml:space="preserve">Samuel Joshua Steffan </t>
  </si>
  <si>
    <t xml:space="preserve">GEISELER, RONNY </t>
  </si>
  <si>
    <t xml:space="preserve">Angela Boehme - Mueller Sebastian  - Jonas Mueller </t>
  </si>
  <si>
    <t xml:space="preserve">Heribert Udo Baulig , Christina Maria Baulig </t>
  </si>
  <si>
    <t xml:space="preserve">Christof Haberl </t>
  </si>
  <si>
    <t xml:space="preserve">MOHAMED SADEK KHALIL SALEH, 
SALY OMAR ABDALLA ELKHOLY </t>
  </si>
  <si>
    <t>DANIELA SAVI, GIUSEPPE MAURL</t>
  </si>
  <si>
    <t>Pavla Mejzlikova</t>
  </si>
  <si>
    <t>mevrouw Mieke Welberg</t>
  </si>
  <si>
    <t>VINCENZO RUSSO , GABRIELE RUSSO, SOLE RUSSO, LIDIA SILVESTRO , MATTIA RUSSO</t>
  </si>
  <si>
    <t>Ignac Meglen</t>
  </si>
  <si>
    <t xml:space="preserve">Marco Ferraiuolo, Valeria Piscopo , Thomas Ferraiuolo ,Raul Ferraiuolo </t>
  </si>
  <si>
    <t>Grazia Maria Puglisi, Ilenia Puglisi</t>
  </si>
  <si>
    <t>Sonia Multari, Orazio Puglisi, Nunzio  Puglisi</t>
  </si>
  <si>
    <t>Blerim Vula, Liridona Cana</t>
  </si>
  <si>
    <t>Coral Finnegan, Jessica Demoore</t>
  </si>
  <si>
    <t>Audun Asbjørnsen</t>
  </si>
  <si>
    <t xml:space="preserve">Laiba Khan , Samreen Shoukat </t>
  </si>
  <si>
    <t xml:space="preserve">MARCO ANGELONI </t>
  </si>
  <si>
    <t>Uwe Holle , Kathrin Birk</t>
  </si>
  <si>
    <t>FABIANA AVANTARIO , NICOLAMARINO TOMMASO</t>
  </si>
  <si>
    <t>AVANTARIO FABIANA , TOMMASO NICOLAMARINO</t>
  </si>
  <si>
    <t>Gallo Maria, Apruzzese Giovanni, Apruzzese Gianmaria</t>
  </si>
  <si>
    <t xml:space="preserve">Paresh Shah - Priti Shah </t>
  </si>
  <si>
    <t>Kathleen Hudson</t>
  </si>
  <si>
    <t>Phil Dascombe</t>
  </si>
  <si>
    <t xml:space="preserve">Hugo Renucci , Sophia Staab </t>
  </si>
  <si>
    <t>Thomas Kamenik</t>
  </si>
  <si>
    <t>BAYRAM ULU - EKATERINA ULU - MELEK ULU - ERDEM ULU</t>
  </si>
  <si>
    <t>Aaron Arthur Skipper</t>
  </si>
  <si>
    <t>Elif Aytekin Uzel</t>
  </si>
  <si>
    <t>Kevin Burke</t>
  </si>
  <si>
    <t xml:space="preserve">Stefanie Beier-Barknecht </t>
  </si>
  <si>
    <t>MEHMET CEYLAN</t>
  </si>
  <si>
    <t>Dana Gvazdovica , Andris Gvazdovics</t>
  </si>
  <si>
    <t>CENGIZ DÜCAN , ASLI DÜCAN</t>
  </si>
  <si>
    <t xml:space="preserve">Manuel Brugger </t>
  </si>
  <si>
    <t>Aksu Atakan , Anda Alperen, 
Gök Ibrahim, Uspahadziev Junus</t>
  </si>
  <si>
    <t xml:space="preserve">Stephanie Maeder </t>
  </si>
  <si>
    <t xml:space="preserve">Alyssia Peuget </t>
  </si>
  <si>
    <t>SWEET MEI HON</t>
  </si>
  <si>
    <t>Sandra Riegel , Lukas Riegel, Manuel Peceros, Sebastian Donhauser</t>
  </si>
  <si>
    <t>Michael Stange, Karin Weber</t>
  </si>
  <si>
    <t xml:space="preserve">Samy Tabbara , Marine Tabbara , Wissam Aymane Tabbara </t>
  </si>
  <si>
    <t xml:space="preserve">Katharina Lein , Alexander Lein , Emma Lein , Felix Lein </t>
  </si>
  <si>
    <t>Verena Ament</t>
  </si>
  <si>
    <t>Kadir Tezcan - Sinan Kocagoz</t>
  </si>
  <si>
    <t xml:space="preserve"> Tamkho Vitaev - Giulia Alexandra Ciortan </t>
  </si>
  <si>
    <t>Regina Zade</t>
  </si>
  <si>
    <t xml:space="preserve">HASNIE ABDUS SALAM ATHAR , HASNIE MONA ATHAR , HASNIE FATIMA TUZ ZEHRA </t>
  </si>
  <si>
    <t xml:space="preserve">Neela Halbach , Kion Abraham </t>
  </si>
  <si>
    <t xml:space="preserve">Johanna Ida Reim </t>
  </si>
  <si>
    <t>Maria Teixeira CXL on 09-12, Idalina Moreira Fernandes , Joana Esteves , Rebooked and confirmed on 01-12 with guest name  Idalina Moreira on 01-12 CXL on 14-03, Rebooked on 11-03 with name Joana Esteves</t>
  </si>
  <si>
    <t>Jane Taylor</t>
  </si>
  <si>
    <t xml:space="preserve">julia mastrorosa, Justine Legrix  ,Assia Sakho ,Mady Sakho ,Maïmouna Sakho </t>
  </si>
  <si>
    <t>Laurent CHILLET</t>
  </si>
  <si>
    <t>Erich Passoter, Olga Passoter</t>
  </si>
  <si>
    <t xml:space="preserve">Refik Jakupovic , Mejrema Cacic </t>
  </si>
  <si>
    <t>Norbert Schaefer</t>
  </si>
  <si>
    <t xml:space="preserve">Nico Richter - Christian Rhinow  - Marcus Liebert </t>
  </si>
  <si>
    <t xml:space="preserve">Barbara Binder - </t>
  </si>
  <si>
    <t>Heinz Udo Buchta - Petra Ilona Buchta</t>
  </si>
  <si>
    <t xml:space="preserve">Hendrik Rougoor ,
 Noa Rougoor , Chloe Rougoor </t>
  </si>
  <si>
    <t>Philipp Martin CXL on 24-01 Menzel ,  Laura Burock, Re Booked with Name Laura Burock on 24-01</t>
  </si>
  <si>
    <t>Patriza Tosi</t>
  </si>
  <si>
    <t>Emanuela Bulgari , Roberto Peris</t>
  </si>
  <si>
    <t>Matthew Terry</t>
  </si>
  <si>
    <t xml:space="preserve">Iryna Kekalenko ,Oleksandr Kekalenko </t>
  </si>
  <si>
    <t>Sergej Pfeifer</t>
  </si>
  <si>
    <t>Wendy Boeve</t>
  </si>
  <si>
    <t>Aurora Brongo , Giorgia La ginestra</t>
  </si>
  <si>
    <t>ERIK MANOLKOV, EMILIA VELKOVA</t>
  </si>
  <si>
    <t>luca zacchello</t>
  </si>
  <si>
    <t xml:space="preserve">ANDRAS ZELENAK </t>
  </si>
  <si>
    <t xml:space="preserve">Albertus Eggink ,Mariska Berendsen
 ,Kai Eggink ,Zoe Eggink </t>
  </si>
  <si>
    <t>CAROL IDA,ALESSANDRO MERISIO,AGNESE POETINI,MASSIMO MERISIO,</t>
  </si>
  <si>
    <t>YURII DROBIAZKO</t>
  </si>
  <si>
    <t>YULIIA SHAKHMANTSIR	,LIDIIA LYTVINOVA</t>
  </si>
  <si>
    <t>LIDIIA LYTVYNOVA, YULIIA SHAKHMANTSIR , MARK DROBIAZKO</t>
  </si>
  <si>
    <t>MUSTAFA KANKILIC</t>
  </si>
  <si>
    <t>NICOLO MASCOLO, LUCA DI STEFANO</t>
  </si>
  <si>
    <t>Sufian Sabir, Muhammad Faizan</t>
  </si>
  <si>
    <t>Monique Debernitz , Manuela Duta</t>
  </si>
  <si>
    <t>Robert Luft ,Marie-Luise Vité</t>
  </si>
  <si>
    <t>Maik Jentzsch , Antje Jentzsch</t>
  </si>
  <si>
    <t xml:space="preserve">TERESA ARTINA </t>
  </si>
  <si>
    <t>pier luigi montalti , patriza fibbrero</t>
  </si>
  <si>
    <t>Gianni Volpato ,Marilisa Frison</t>
  </si>
  <si>
    <t>graziano riello , liliana maria olivo</t>
  </si>
  <si>
    <t>Gabriella Bertoli ,Umberto Zanardini</t>
  </si>
  <si>
    <t>FRANCESCO PASCAROSA</t>
  </si>
  <si>
    <t>Alido ceppi</t>
  </si>
  <si>
    <t>GIAN PIERA POZZI ,SERGIO VILLA</t>
  </si>
  <si>
    <t xml:space="preserve">Melissa Villa ,Mirela Krsanac </t>
  </si>
  <si>
    <t xml:space="preserve">Sabine Liebeheim ,Dirk Archner </t>
  </si>
  <si>
    <t xml:space="preserve">Klaus Walter Leopold Ehinger,  Lydia Ehinger </t>
  </si>
  <si>
    <t>MIRELA KRSANAC</t>
  </si>
  <si>
    <t>marcello mucchetti ,mariarosa goglioni</t>
  </si>
  <si>
    <t>carlo mariani , gesuina mauri , antonio gianni baldon , angela martucci</t>
  </si>
  <si>
    <t>FRANCESCA RAO ,RAFFAELE BRUNO SCHEMOZ</t>
  </si>
  <si>
    <t>NICOLETTA MERAFINA ,ANNAMARIA PENNINO</t>
  </si>
  <si>
    <t>ALDO CEPPI</t>
  </si>
  <si>
    <t>SERGIO VILLA ,GIAN PIERA POZZI</t>
  </si>
  <si>
    <t>DANIELA MUTTI ,TONINO SILVAGGI</t>
  </si>
  <si>
    <t xml:space="preserve">Freddy Poppe  ,Traute Jauken </t>
  </si>
  <si>
    <t>Angelo Cogliolo</t>
  </si>
  <si>
    <t>Claudia Sció</t>
  </si>
  <si>
    <t>Rainer Klein ,Janine Schärfke ,Sophia Schärfke</t>
  </si>
  <si>
    <t>Sara Kadoura</t>
  </si>
  <si>
    <t>Thi Huyen Trang Trinh</t>
  </si>
  <si>
    <t xml:space="preserve">Nadine Brennecke ,Dirk Brennecke </t>
  </si>
  <si>
    <t>Matteo Maino, Licia Gonelotto.</t>
  </si>
  <si>
    <t xml:space="preserve">Gurpreet Singh ,Alexandra Catalina Vasile ,Jaspreet Emma Singh ,Gurfateh Matei Singh,Parveen Rebeca Singh </t>
  </si>
  <si>
    <t>Eszter Novak</t>
  </si>
  <si>
    <t xml:space="preserve">Andrea SCIO - Daniela Aprea - Mirko Sciò - Marta Sciò </t>
  </si>
  <si>
    <t>Malgorzata Shonibare</t>
  </si>
  <si>
    <t>Viktoriia Karelina</t>
  </si>
  <si>
    <t>Choa Kwak</t>
  </si>
  <si>
    <t>CATIA CARNOVALE, TALAT MEHMOOD</t>
  </si>
  <si>
    <t xml:space="preserve">Simone, Marina Tagliabue </t>
  </si>
  <si>
    <t>Silvia Provenzano</t>
  </si>
  <si>
    <t>Robert Wilson</t>
  </si>
  <si>
    <t xml:space="preserve">FRANCISCO COUTO , CATIA MOUTINHO , FRANCISCO COUTO </t>
  </si>
  <si>
    <t xml:space="preserve">Andrej Durikovic - </t>
  </si>
  <si>
    <t>TURGAY GULMEZ</t>
  </si>
  <si>
    <t>Yusuf Jamaly</t>
  </si>
  <si>
    <t>GIANNI VOLPATO,MARILISA FRISON</t>
  </si>
  <si>
    <t>FRANCO COPPO,MAURIZIA FRANCO</t>
  </si>
  <si>
    <t>AHMET BUKEG BAYKAN,FIGEN OKTAR BAYKAN</t>
  </si>
  <si>
    <t>Andrew Holland ,  
Lisa , Mae , Max</t>
  </si>
  <si>
    <t xml:space="preserve">Andrea Erlenwein, Werner Erlenwein </t>
  </si>
  <si>
    <t>Lukas Erlenwein</t>
  </si>
  <si>
    <t xml:space="preserve">Ronald Boll, Yvonne van der Graaf </t>
  </si>
  <si>
    <t>Mykola Hryva ,Nataliia Duhina</t>
  </si>
  <si>
    <t>Hibba Elbadri, sent with name (Hibb  Ebadr )</t>
  </si>
  <si>
    <t>Serhii Zavhorodnii</t>
  </si>
  <si>
    <t>DİLAN YILDIRIM , BATUHAN DÖRTGÖZ</t>
  </si>
  <si>
    <t>Fernando  Moreno Romero, Haydee de los Milagros Carlin Gallo</t>
  </si>
  <si>
    <t>Nathan Clarke , Natalia  Polatajko</t>
  </si>
  <si>
    <t>Ellis Zandstra , Carla  Werkhoven, Sijtze Eisma ,Froukina De Vries</t>
  </si>
  <si>
    <t>Luca Sabbatini ,  Gloria Agostini</t>
  </si>
  <si>
    <t xml:space="preserve">ANDRAS ZELENAK, sent with name  ANDRA  ELENK </t>
  </si>
  <si>
    <t xml:space="preserve">Benjamin Janssen, Kea Carla Marianne Janssen , Edda Stintje Janssen </t>
  </si>
  <si>
    <t>Marius Vasiloi   Ciuca , Rebeca Ana Maria Ilie</t>
  </si>
  <si>
    <t>Olasunkanmi Ashaye</t>
  </si>
  <si>
    <t>Daniar Shamar</t>
  </si>
  <si>
    <t xml:space="preserve">Nicole Greifenberg, Mirko Greifenberg, Lilly Greifenberg </t>
  </si>
  <si>
    <t>Vasile Dumitru , Osman Deborah , Dominic Ricardo Dumitru</t>
  </si>
  <si>
    <t>Alex Daniel Ciobanica , Ciobanica Junior</t>
  </si>
  <si>
    <t xml:space="preserve">Omar Meziani, Nora Meziani , Ilan Meziani , Nahim Meziani </t>
  </si>
  <si>
    <t>ZHANETA PETROVA ,PETAR  PETROV</t>
  </si>
  <si>
    <t xml:space="preserve">Lya BAUDRY ABATI , Yanna Abati Lockhart </t>
  </si>
  <si>
    <t>Francisca Muzuva</t>
  </si>
  <si>
    <t>Ömer İsmail Uymaz,İlayda Sultan Uymaz,Gülten Uymaz</t>
  </si>
  <si>
    <t>Marta Franzino</t>
  </si>
  <si>
    <t>de heer Sergio Antonio Goncalves Araujo,Luciana Maria Certal Mendes,Maria Vitoria Certal Araujo, Olivia Certal Araujo, Sent with name (Goncalves Araujo CXL on 23-03), Rebooked on 11-03 with name de heer Sergio Antonio</t>
  </si>
  <si>
    <t>Nikolina Milunovic , Jovana Milunovic</t>
  </si>
  <si>
    <t>GEORGIY GEORGIEVICH BONDAR , SOFIIA GEORGIEVNA BONDAR, MIHAIL BONDAR</t>
  </si>
  <si>
    <t>Igor Gallai Paravano</t>
  </si>
  <si>
    <t xml:space="preserve">Jérôme Contart , sent as Jerome </t>
  </si>
  <si>
    <t>Mallek RABIA</t>
  </si>
  <si>
    <t>Matteo Maino, Licia Gonelotto  , Manuel Cortellini</t>
  </si>
  <si>
    <t>(Wolfgang Josef CXL on 13-01)  ,,,Ludwig Prufling, Rebooked with guest name Ludwig and  Prufling on 12-01</t>
  </si>
  <si>
    <t>Alessandra Morellato - Fernando Santellocco</t>
  </si>
  <si>
    <t>Henrik Moehring ,  Cornelia Moehring , booked on 30-03 with name Cornelia Moring</t>
  </si>
  <si>
    <t>Jurijs Jefremovs</t>
  </si>
  <si>
    <t>Olga Seibel , Andreas  Seibel</t>
  </si>
  <si>
    <t>KAGAN AYDOGDU, OVGUM  AYDOGDU , ESLEM BADE AYDOGDU , UMAY AYDOGDU</t>
  </si>
  <si>
    <t>FERDA ARAS , SERKAN CENGELOGLU, EFE ZHAOLIN, XUAN  EGE ARAS  CENGELOGLU</t>
  </si>
  <si>
    <t>AMIR NAVAZ	KHAN , AYESHA NAVAZ	KHAN,  AKBAR NAVAZ	KHAN, KHIZAR NAVAZ	KHAN</t>
  </si>
  <si>
    <t>Joke Bulte</t>
  </si>
  <si>
    <t>MELANIA MOLINARI, MATTEO SCALVINI</t>
  </si>
  <si>
    <t>ARPAD  PAPP , JUDIT PAPP-EORY , KRISTOF PAPP , ANNABELLA	PAPP</t>
  </si>
  <si>
    <t>Martina Becker , Volker Becker</t>
  </si>
  <si>
    <t>Brigitte Castel</t>
  </si>
  <si>
    <t xml:space="preserve">Lindsay CXL on 01-04 ,,, Lesquereux,  Laurence Lesquereux, Rebooked on 30-03 with name  Laurence Lesquereux  CXL on 10-06, Re booked on 07-06 with name Lidsai Quereox </t>
  </si>
  <si>
    <t>Yvonne Waldvogel , Sent  with name (Waldvogel)</t>
  </si>
  <si>
    <t>Gokhan Tatl , Burcu Tatl , Mumin Ege Tatl</t>
  </si>
  <si>
    <t xml:space="preserve">MR Ali Cetin - Kemal Cetin </t>
  </si>
  <si>
    <t xml:space="preserve">Sarah Livia Muenst, Emilia Muenst </t>
  </si>
  <si>
    <t xml:space="preserve">Carmen Isabel Heeb,  Malea Muenst </t>
  </si>
  <si>
    <t>Amee Wale</t>
  </si>
  <si>
    <t>Alfio Montenegro ,Alessandra Richini</t>
  </si>
  <si>
    <t>Alfonso Palermo, Loredana Riva</t>
  </si>
  <si>
    <t>KATALIN PETER GABOR , KATALIN DORA,  KATALIN SEBESTYEN GABOR , KATALIN SIMON PETER</t>
  </si>
  <si>
    <t>Shana Hamilton - Hophny Saint Fleur</t>
  </si>
  <si>
    <t>Michael, Barth</t>
  </si>
  <si>
    <t xml:space="preserve">MURAT YILDIRIM , OEZNUR DERE </t>
  </si>
  <si>
    <t xml:space="preserve">Martin Josef Ehinger, Daniela Ehinger </t>
  </si>
  <si>
    <t>JOZEF CHUDZIAK ,  EWA  CHUDZIAK</t>
  </si>
  <si>
    <t xml:space="preserve">JAROSLAW GORECKI ,  HALINA GORECKA ,  ANTONUI GORECKI </t>
  </si>
  <si>
    <t xml:space="preserve">Dylan Boyd,Sparrow Romayah  ,Ravenscroft Kohen  ,Ravenscroft Kallen , Ravenscroft Jade 
Ravenscroft Karson ,Hussain Kalbi  ,Ravenscroft Tracey </t>
  </si>
  <si>
    <t>Geraldina Gruijters</t>
  </si>
  <si>
    <t xml:space="preserve">BENOIT PLONKA , CHRISTELLE PETIT EP PLONKA </t>
  </si>
  <si>
    <t>Francesca Nicosia, Marco Boco</t>
  </si>
  <si>
    <t>Elif Burcu Avsar , Rebooked with Name Avsar Elef on 20-01</t>
  </si>
  <si>
    <t xml:space="preserve">Vanda Bundula , Zénó Bundula , Bodza Bundula </t>
  </si>
  <si>
    <t xml:space="preserve">Rene Fischer - Maria Fischer  - Leon Fischer - Elias Fischer </t>
  </si>
  <si>
    <t xml:space="preserve">Susann Wagner - Thomas Heinzelmann </t>
  </si>
  <si>
    <t>Castelanelli Marco - Bonfadini Delia</t>
  </si>
  <si>
    <t>Desara Doka CXL on 13-04 ,  Re booked on 11-04 with name Deeka  deseral</t>
  </si>
  <si>
    <t>Olti Janko , Besjana Merkoqi</t>
  </si>
  <si>
    <t>Silvio CXL on 06-04 Eichler,  Simone Edith ,,, Rebooked  on 02-04 with guest name Eichler Selvo</t>
  </si>
  <si>
    <t xml:space="preserve">Ahmed Deghiedy , Fatma Elbohy , Ruqayah Ahmed </t>
  </si>
  <si>
    <t xml:space="preserve">Asmaa Fawzy , Heba Elbohy , Lama Ehab </t>
  </si>
  <si>
    <t>Alfonso Palermo  , Loredana Riva</t>
  </si>
  <si>
    <t>Paola Cerrato - Paola Cerrato</t>
  </si>
  <si>
    <t xml:space="preserve">Joerg Kunter CXL on 14-04- Nadine Angelika Knon  - Lena Knon - Connor Knon ,  Rebooked on 07-04 with name Nadine Angelika CXL on 10-06, Re booked on 04-06 with guest name Lena  Knon  Connor </t>
  </si>
  <si>
    <t xml:space="preserve">Andrea Bastendorf - Klaus Georg Bastendorf </t>
  </si>
  <si>
    <t xml:space="preserve">Peter Paul Pogoda - Michaela Pogoda  - Pia Sophia Pogoda </t>
  </si>
  <si>
    <t>Wladyslaw Grocki - Emilia Grocka</t>
  </si>
  <si>
    <t xml:space="preserve">Jonathan Janus - Allison Da Silva </t>
  </si>
  <si>
    <t xml:space="preserve">Nico Osinga  , Trijntje Brugman </t>
  </si>
  <si>
    <t xml:space="preserve">Georg Maier - Petra Michel Maier </t>
  </si>
  <si>
    <t xml:space="preserve">Herr GERARD TALLIO - Frau CLAUDINE LAURENT TALLIO </t>
  </si>
  <si>
    <t>Kerstin Hose // Ursula Brinkmann</t>
  </si>
  <si>
    <t xml:space="preserve">FABIO MELLONE - SIMONA ESPOSITO  - FABIO JUNIOR MELLONE  - SONNY MELLONE </t>
  </si>
  <si>
    <t>MIRKO AIELLO - MIRIAM FORMISANO - GABRIELE AIELLO</t>
  </si>
  <si>
    <t xml:space="preserve">Andrea Milner - </t>
  </si>
  <si>
    <t xml:space="preserve">Dirk von Oehsen - Martina Von Oehsen </t>
  </si>
  <si>
    <t>ELBEK TERZIOGLU - SAIDE TERZIOGLU - DEMIRHAN TERZIOGLU - CIHANGIR TERZIOGLU</t>
  </si>
  <si>
    <t xml:space="preserve"> Kristine Ivanova </t>
  </si>
  <si>
    <t>MARIKA BASSANO , PASQUALE BALBI , SOFIA BALBI</t>
  </si>
  <si>
    <t>Christophe MUHL</t>
  </si>
  <si>
    <t xml:space="preserve">GABRIELLA NARCISI , ENNIO CAPRIOTTI </t>
  </si>
  <si>
    <t>Ute Claus , Steffen Claus</t>
  </si>
  <si>
    <t xml:space="preserve">Raymond Gaedke, Gabriele Chistin Gaedke </t>
  </si>
  <si>
    <t>Jasmin, Wefelmeier</t>
  </si>
  <si>
    <t>SABINE  TERRIEN ,MATHIEU MOUTON</t>
  </si>
  <si>
    <t xml:space="preserve">Pavels  Prispetjevs </t>
  </si>
  <si>
    <t>Thomas  Walczyk</t>
  </si>
  <si>
    <t>Michela  Zocco , Delia Guastella</t>
  </si>
  <si>
    <t>ROBERT CORDERY</t>
  </si>
  <si>
    <t>BIANCA  PELLEGRINO , CINZIA  CAVALLO</t>
  </si>
  <si>
    <t xml:space="preserve">KEVIN LESOT  , AGNES DESPREZ  ,  ADELE LESOT  , DIANE LESOT </t>
  </si>
  <si>
    <t>VALDIS  SAVICKIS,   VALDIS  SAVICKISaa</t>
  </si>
  <si>
    <t>Elsa Leitz, Alfred Schröder</t>
  </si>
  <si>
    <t>Esmeralda ECUER , Savana   ECUER</t>
  </si>
  <si>
    <t xml:space="preserve">Gemma Minion, Ava Johnstone </t>
  </si>
  <si>
    <t>Dunia Villacastin Barreda</t>
  </si>
  <si>
    <t>MELISSA VILLA</t>
  </si>
  <si>
    <t xml:space="preserve">Peter Klaus Franz ,  Michael Gerhard	Trost </t>
  </si>
  <si>
    <t>DAVIDE  LO MONACO, GIUSEPPINA	PERRICONE , DIEGO	LO MONACO, MATTIA	LO MONACO</t>
  </si>
  <si>
    <t xml:space="preserve">Marcella   Poggini , Francesco  Chialli </t>
  </si>
  <si>
    <t xml:space="preserve">ALFONSO  CERBUCCI ,  MARIANNA  COPPOLA </t>
  </si>
  <si>
    <t>Maria  Scopelliti ,   Alessandro  Brandi</t>
  </si>
  <si>
    <t xml:space="preserve">Michael Vonklausner  </t>
  </si>
  <si>
    <t>PATRICIA, LISTER</t>
  </si>
  <si>
    <t>(LUIGI GALLIERO CXL on 10-02),  FILOMENA BELLUCCI, AMINA KAROL GALLIERO , MARIANNA GALLIERO,  (Rebooked with name FILOMENA BELLUCCI on 07-02)</t>
  </si>
  <si>
    <t xml:space="preserve">Francesco  Mastranzo </t>
  </si>
  <si>
    <t xml:space="preserve">Elen Mikayelyan </t>
  </si>
  <si>
    <t xml:space="preserve">Olena Dovhal , Iryna Vasylchenko  </t>
  </si>
  <si>
    <t xml:space="preserve">Hubert Ebenhofer  , Margit Ebenhofer  </t>
  </si>
  <si>
    <t>Olajumoke Popoola  ,  Jacob Paul Oluwatobiloba Mupasha  , Madison Kemisola Salimat E O Awosika , : Jayce Hamza Damilare Junior Awosika 
Jayce Hamza Damilare Junior Awosika ,</t>
  </si>
  <si>
    <t xml:space="preserve">Beate Kleinecke </t>
  </si>
  <si>
    <t xml:space="preserve">Eric Vonke </t>
  </si>
  <si>
    <t xml:space="preserve">Veronica Donfrancesco , Stefano Buonocore </t>
  </si>
  <si>
    <t>ANCA  AVARVAREI ,   MADALINA  BIRSAN</t>
  </si>
  <si>
    <t xml:space="preserve">MIHAELA  AVARVARI ,  ALESSIA  CEAPRAGA               </t>
  </si>
  <si>
    <t>Michael, Kraus</t>
  </si>
  <si>
    <t>Claudia, Aust</t>
  </si>
  <si>
    <t xml:space="preserve">Xhemile Ramabaja , Fatime Sherifi </t>
  </si>
  <si>
    <t xml:space="preserve">Nerxhivane Grabovci  , Erijon Grabovci  </t>
  </si>
  <si>
    <t xml:space="preserve">RITA ATTANASIO  ,   TERESA STAGLIANO  , ADELE STAGLIANO  </t>
  </si>
  <si>
    <t xml:space="preserve">Klaus Andreas Fritsche  ,  Birgit Fritsche  </t>
  </si>
  <si>
    <t xml:space="preserve">Olga Shaposhnikova  ,  Friedhelm Gabriel  </t>
  </si>
  <si>
    <t xml:space="preserve">Marcel Pohl  ,   Caroline Muschak  ,  Levi Pohl </t>
  </si>
  <si>
    <t xml:space="preserve">Sonja Still , Stefan Still </t>
  </si>
  <si>
    <t xml:space="preserve">Ennas Cristina </t>
  </si>
  <si>
    <t xml:space="preserve">Dominic Huber , Leandra Deininger </t>
  </si>
  <si>
    <t xml:space="preserve">Tobias Diener , Maryam Chalabi </t>
  </si>
  <si>
    <t xml:space="preserve">Sonja Still , Selvija Gasi </t>
  </si>
  <si>
    <t xml:space="preserve">ENNIO GRIMALDI </t>
  </si>
  <si>
    <t xml:space="preserve">Bernd Oezsevim </t>
  </si>
  <si>
    <t xml:space="preserve">Maren Thomas </t>
  </si>
  <si>
    <t>Veronica Donfrancesco  ,  Booked with Stefano Buonocore on 27-01</t>
  </si>
  <si>
    <t xml:space="preserve">ANTONIO MOLITIERNO </t>
  </si>
  <si>
    <t xml:space="preserve">PRIMO CORNIA  ,  FIORENZA BELLEI  </t>
  </si>
  <si>
    <t xml:space="preserve">Juerg Florian Oberger , Beatrix Siegenthaler - Eggenberger  </t>
  </si>
  <si>
    <t xml:space="preserve">Florent Curchod  , Marina Petracca , Theo Curchod </t>
  </si>
  <si>
    <t xml:space="preserve">Timon KnappCXL 01-04 , Terry  Ludwig Knapp, Re booked on 30-03 with name Terry  Ludwig </t>
  </si>
  <si>
    <t>ANDREA FRIGGERI , ANNALISA CLAUDIA , ELIA AN TUONG FRIGGERI</t>
  </si>
  <si>
    <t xml:space="preserve">maria grazia bianco  ,  ciro di lorenzo  </t>
  </si>
  <si>
    <t>SABRINA CANE, GIUSEPPINA PERSICHINI,  GIUSEPPEGIULIANO</t>
  </si>
  <si>
    <t>roberta perugina</t>
  </si>
  <si>
    <t xml:space="preserve">Karl-Heinz Steuerer ,  Bianca Steuerer </t>
  </si>
  <si>
    <t xml:space="preserve">Geli Putta , Freund Putta </t>
  </si>
  <si>
    <t>salvatore gargiulo</t>
  </si>
  <si>
    <t>antonella gargiulo</t>
  </si>
  <si>
    <t xml:space="preserve">Cheryl Ainsley-Matthews, Rachel Yates </t>
  </si>
  <si>
    <t>Albulescu Daniela</t>
  </si>
  <si>
    <t>Nerijus Rimsa, Audrone Raudoniute, Danielius Rimsa</t>
  </si>
  <si>
    <t>Mario Peter Gossmann</t>
  </si>
  <si>
    <t xml:space="preserve">Thierry Talichet CXL on 25-03 - Ingrid Talichet / Gabriel Talichet CXL on 25-03 - Re booked on 25-03 with  names Ingrid &amp; Gabriele </t>
  </si>
  <si>
    <t>Norberto Gaeta</t>
  </si>
  <si>
    <t xml:space="preserve">Yann Buchet  CXL on 01-04 , Lea Buchet  , Mathieu Buchet  , Emile Buchet , Rebooked on 30-03 with name Lea Mathieu </t>
  </si>
  <si>
    <t xml:space="preserve">ANTONIO CUCINIELLO  , GAIA CUCINIELLO </t>
  </si>
  <si>
    <t xml:space="preserve">Vincenzo Caputo,  </t>
  </si>
  <si>
    <t>Roberto Monaco</t>
  </si>
  <si>
    <t>Massimo Monaco</t>
  </si>
  <si>
    <t>Edo Resek CXL on 22-04, Sabina Resek,  Tajda Resek, Re booked on 01-04 with name Sabina Tajda CXL on 18-06, Re booked on 08-06 with name Risek Tajid Odo</t>
  </si>
  <si>
    <t xml:space="preserve">Vincent Babin ,  Maya Sandhu  </t>
  </si>
  <si>
    <t xml:space="preserve">jenen Hohnstein , Bianka Hohnstein </t>
  </si>
  <si>
    <t xml:space="preserve">Heike Watzel , Junis Watzel  , Mayla Watzel  </t>
  </si>
  <si>
    <t>Bernd Streckmann CXL on31-03   , Re booked on 30-03 with Name Streeck Birnd</t>
  </si>
  <si>
    <t>RAFAL PAWEL CZERWINSKI,  HONORATA	CZERWINSKA, TOBIASZ RAFAL	CZERWINSKI, 
KRZYSZTOF	GAWRON, SYLWIA MARIA	SLEZAK, LAURA MARIA	SLEZAK</t>
  </si>
  <si>
    <t>Andreas Taafel, Juliana Elisabeth Müller</t>
  </si>
  <si>
    <t xml:space="preserve">Wolfgang Fischer  ,   Andrea Petra Fischer  </t>
  </si>
  <si>
    <t>TWARDOSZ, STANISLAW , TWARDOSZ, EVACHRISTIN</t>
  </si>
  <si>
    <t>GIANLUCA GIOIA</t>
  </si>
  <si>
    <t xml:space="preserve">Valentina Cerciello , Davide Gualano  , Giacomo Gualano , Arianna Gualano </t>
  </si>
  <si>
    <t>Bernd, Fernowski</t>
  </si>
  <si>
    <t xml:space="preserve">CIRO REA  ,  TERESA PISCOPO  , MANUEL REA , MATTIA REA </t>
  </si>
  <si>
    <t>GIOVANNA PEZZANO CXL on 19-04, SALVATORE BARBARISI, FRANCESCAPIA BARBARISI , Re booked on 14-04 with name  SALVATORE BARBARISI CXL on 02-06, Rebooked on 21-05 with name FRANCE SCAPIA</t>
  </si>
  <si>
    <t>Leonard Teichmann</t>
  </si>
  <si>
    <t>CHIARA BIANCHI, ANDREA ROSARIO LEPRE, CHRISTIAN LEPRE, ALICE LEPRE</t>
  </si>
  <si>
    <t>Carmela Lio CXL on 01-04, Maurizio  Suppo, Re booked on 31-03 with name Maurizio Suppo</t>
  </si>
  <si>
    <t xml:space="preserve">Philipp Hinterleitner , Michaela Hinterleitner Exner , Lukas Hinterleitner , Emely Hinterleitner </t>
  </si>
  <si>
    <t xml:space="preserve">Kai Wachsmuth  , Christina Wachsmuth , Joline Wachsmuth , Tim Wachsmuth </t>
  </si>
  <si>
    <t>Viktor Ebers , Ludmilla Ebers</t>
  </si>
  <si>
    <t xml:space="preserve">ANDREA SORBELLO  </t>
  </si>
  <si>
    <t xml:space="preserve">Michal Derlatka </t>
  </si>
  <si>
    <t xml:space="preserve">Silvia Meissl ,Claus Dieter Meissl </t>
  </si>
  <si>
    <t xml:space="preserve">Kelly De Bruyne , Tony Debourgh  , Maury Debough,   Oona Debourgh </t>
  </si>
  <si>
    <t>MARIA CRISTINA PANEBIANCO, ADRIAN ALEXANDER	HERI</t>
  </si>
  <si>
    <t>Stefanie sabine Daebel , Franziska Dietrich</t>
  </si>
  <si>
    <t>MONICA MUSUMECI CXL on 14-04 , ALEXIS BONANNO , Re booked on 11-04 ALEXIS BONANNO  CXL on 01-06 , Re booked on 20-05 with name MUSU  MECI</t>
  </si>
  <si>
    <t xml:space="preserve">Robert Cabrera </t>
  </si>
  <si>
    <t xml:space="preserve">Ursula Marina Reichart , Bernhard Paul Reichart </t>
  </si>
  <si>
    <t>JIRI	TROJAN</t>
  </si>
  <si>
    <t>Riccardo Goegan CXL on 26-03 , Alessia Bisinella , Maddalena Goegan , Brando Goegan , Re booked on 24-03 with name (Alessia Bisinella)</t>
  </si>
  <si>
    <t>Jennifer Sue Rudi CXL on 16-04, Lara Sophie Vlechev , Caylynn Jamie Rudi , Rebooked on 06-04 with name Lara Sophie Vlechev CXL on 09-06, Re booked on 03-06 with name Caylynn Jamie</t>
  </si>
  <si>
    <t>Pawel , Malgorzata</t>
  </si>
  <si>
    <t>Patrick CXL on 11-05 Ferdinand Gerstner - Eva Waltraud Gerstner  - Lena Gerstner - Sofia Gerstner , Rebooked on 07-05 with name  Eva Waltraud</t>
  </si>
  <si>
    <t xml:space="preserve">ANTONIO  MORMILE ,   GEMMA CORTESE </t>
  </si>
  <si>
    <t>Saskia CXL on 09-06,,  Singer , Kai Singer , Re booked on 04-06 with name  Kai Singer</t>
  </si>
  <si>
    <t xml:space="preserve">Heike Jauer , Lina Jauer , Thomas Jauer , Tim Jauer </t>
  </si>
  <si>
    <t xml:space="preserve">Ayesha Sadrudin Somji , Hussein Somji  , Aydin Hussein Somji  , Aaron Hussein Somji </t>
  </si>
  <si>
    <t xml:space="preserve">Kathryn CXL on 05-01,  rebooked with name Naisby on 03-01  </t>
  </si>
  <si>
    <t>Ursula Beate CXL on 16-05   Schulz , Rosemarie Festerling , Christiane Simon , Re booked on 12-05 with name Christiane Simon CXL on 11-06, Re booked on 08-06 with name Rosemarie  Festerling</t>
  </si>
  <si>
    <t>sara buttera CXL on 16-04 ,  riccardo tagliaferri , Re booked on 12-04 with name  riccardo tagliaferri CXL on 02-06, Re booked on 20-05 with name Butera liaferri</t>
  </si>
  <si>
    <t xml:space="preserve">Timo Schaller  ,  Jennifer Nadine Schaller-Pabst , Leonie Schaller , </t>
  </si>
  <si>
    <t>Christiane Adam CXL on 13-04 ,  Christian Renner  ,  Emma Mueller, Re booked on 05-04 with name Emma Mueller CXL on 22-06, Re booked on 02-06 with name Christian Renner</t>
  </si>
  <si>
    <t>VALENTINA MARTUCCI  CXL on 15-04 , PASQUALE ESPOSITO  ,  ALISYA ESPOSITO , Re booked on 11-04 with name PASQUALE ESPOSITOCXL on 31-05, Re booked on 20-05 with name ALISYA MARTUCI</t>
  </si>
  <si>
    <t xml:space="preserve">Joke Bulte , Lian Opt Eynde </t>
  </si>
  <si>
    <t>Yilmaz Erdogan, Selim abdellah Bahi</t>
  </si>
  <si>
    <t xml:space="preserve">KAJOUJ MOHAMED , NOOR KAJOUJ , EKRAM EL MAJNAOUI , MOUSSA KAJOUJ , AMIR KAJOUJ </t>
  </si>
  <si>
    <t>Stéphanie COLBUS</t>
  </si>
  <si>
    <t>Lee, Northwood</t>
  </si>
  <si>
    <t>Steffen	Koryciak, Doreen	Koryciak</t>
  </si>
  <si>
    <t>Daniela Hennig CXL on 14-05, Claudia Hennig , Christina Veronika Mertes , Re booked on 11-05 with name  Christina Veronika</t>
  </si>
  <si>
    <t xml:space="preserve">rodolfo tedesco ,roberta de rosa , Felice Tedesco tedesco , alessandro spina , Lucrezia Tedesco tedesco , Maria Cristina Tedesco tedesco , cristina de rosa , Emmanuela Spina spina ,Aurora Spina spina </t>
  </si>
  <si>
    <t>Chiara Zurini</t>
  </si>
  <si>
    <t>Kevin Steinringer , Shtajnringer Irena, Steinringer Tamina Marie</t>
  </si>
  <si>
    <t xml:space="preserve">Franziska Dietrich , Stefanie sabine Daebel </t>
  </si>
  <si>
    <t xml:space="preserve">Martin Willy Hartmut Kaiser , Carlo Luca Kaiser </t>
  </si>
  <si>
    <t xml:space="preserve">Robert Louwerse  , Monique Cremers  </t>
  </si>
  <si>
    <t xml:space="preserve">Nicola Pietro Scaioli , roberta scandella , angelica scaioli </t>
  </si>
  <si>
    <t xml:space="preserve">NADIR ALTOMARE , LAURA DELLORO , BRANDO ALTOMARE </t>
  </si>
  <si>
    <t>Alfonso Conti</t>
  </si>
  <si>
    <t xml:space="preserve">Britt Boogerd , Nienke Winkel , Jip Boogerd , Puk Boogerd </t>
  </si>
  <si>
    <t xml:space="preserve">Matthew Mills , Jenna Brooks </t>
  </si>
  <si>
    <t xml:space="preserve">CALOGERO FALLETTA , MORENA SCIANGULA </t>
  </si>
  <si>
    <t>KATHRIN, JUETTNER</t>
  </si>
  <si>
    <t xml:space="preserve">Maik Sauer , Stephanie DAvola ,  Zoe DAvola ,  Can DAvola </t>
  </si>
  <si>
    <t xml:space="preserve">LINA SLITI , YASSINE SLITI  ,  LAURA PETITIMBERT SLITI  , WAEL SLITI  , ADEM SLITI </t>
  </si>
  <si>
    <t xml:space="preserve">Sofia Sliti , Pauline Bertrand épouse Sliti  , Marouen Sliti  , Mehdi Sliti  ,Amine Sliti  , Walid Sliti </t>
  </si>
  <si>
    <t xml:space="preserve">NAGUI KAUZMAN  , MARIE ELISABETH KAUZMAN  , MONA KOZMAN  </t>
  </si>
  <si>
    <t xml:space="preserve">MARIE HAINAUT , CLEMENT DEMASURE </t>
  </si>
  <si>
    <t>Anne-laure Lecornu, Julien Lecornu, Nino Lecornu, Tom Bacon</t>
  </si>
  <si>
    <t>Christoph, Zurheide CXL on 09-06 , Banafsheh ZahediZurheide,Sami Leopold Zurheide,  Minoo Sophie  Zurheide , Re booked on 04-06 with name Sami Leopold</t>
  </si>
  <si>
    <t>HARUTYUNYAN SUSANNA</t>
  </si>
  <si>
    <t xml:space="preserve">David Peeters CXL on 11-05 ,  Nele Gielen , Re booked on 09-05 with name Nele Gielen </t>
  </si>
  <si>
    <t xml:space="preserve">Saima Noreen  , Omar Nasar  , Taha Nasar  , Khadijah OmarNasar  , Hafsa OmarNasar </t>
  </si>
  <si>
    <t xml:space="preserve">Alessia Filace , Antonio gerardo Di vienna , Gerardo Di Vienna , Maria Filace  , Gabriele Morsillo  , Emanuela Di Vienna </t>
  </si>
  <si>
    <t xml:space="preserve">Sebastien Dietrich ,  Elyas Dietrich , Soan Dietrich </t>
  </si>
  <si>
    <t>Veronique CXL on 11-05,, Martens , Edwin Gielen , Re booked on 09-05 with name Edwin Gielen</t>
  </si>
  <si>
    <t>Anastasia Lacroix , Yohann Leroy , Sacha	Leroy, Swan	Leroy</t>
  </si>
  <si>
    <t>Jutta Gohringer</t>
  </si>
  <si>
    <t>Carolin Speth CXL on 11-04,Klaus Knörr  , Tobias Speth , Re booked on 04-04 with name Klaus Knörr</t>
  </si>
  <si>
    <t>Zdenka Mrvanova</t>
  </si>
  <si>
    <t>GIOVANNI BATTISTA	LICARI, GIOVANNI BATTISTA	LICARIaa, GIOVANNI BATTISTA	LICARIcc, GIOVANNI BATTISTA	LICARIbb</t>
  </si>
  <si>
    <t>Simone Manuela	Schnabel , Frank	Schnabel,  Silvana	Boehm,  Vanessa	Boehm</t>
  </si>
  <si>
    <t>Claudia	Horstmann</t>
  </si>
  <si>
    <t xml:space="preserve">Gabriele Adam, Natalie Adam , Mohammad-Jawad Kalakesh ,Amal Kalakesh , Abbas-Maher Kalakesh </t>
  </si>
  <si>
    <t xml:space="preserve">Peter Anders , Barbara Anders </t>
  </si>
  <si>
    <t>Rebecca Saner, Nadine Howald</t>
  </si>
  <si>
    <t xml:space="preserve">Rolf Josef CXL on 10-06 Wedel, Christa Wedel , Rebooked on 07-06 with name Christa Wedel </t>
  </si>
  <si>
    <t xml:space="preserve">EMANUELE IOVINO , ROSA DELLARCO MASTRIALE </t>
  </si>
  <si>
    <t xml:space="preserve">SALVATORE MASTRIALE , ANNA RUSSO , SALVATORE MASTRIALE </t>
  </si>
  <si>
    <t xml:space="preserve">MICHELE D AURIA ,ANNA SOMMA </t>
  </si>
  <si>
    <t>Fabio Dagostino</t>
  </si>
  <si>
    <t>Elisa Perrone, Federico  Riva</t>
  </si>
  <si>
    <t>Silvano Castelnovo</t>
  </si>
  <si>
    <t>Chiara Tiziana Zurini, Maher Portolani, Samar Portolani, Fosca Portolani</t>
  </si>
  <si>
    <t>Rachele Pelosi</t>
  </si>
  <si>
    <t>Ugo Federico</t>
  </si>
  <si>
    <t xml:space="preserve">Helmut Glechner , Valeria Paunkovic </t>
  </si>
  <si>
    <t>Simona Canavero,William Morlotti , Gianluigi Crotti, Giovanna Togni</t>
  </si>
  <si>
    <t xml:space="preserve">ORAZIO NICHOLAS FAMA , ALISIA TRUBIA , GIOELE FAMA , JOSEF TRUBIA , GAIA TURCO </t>
  </si>
  <si>
    <t xml:space="preserve">Mike Ries , Anna Katharine Ries , Emilia Sophia Ries </t>
  </si>
  <si>
    <t>Michael Teppenkamp</t>
  </si>
  <si>
    <t>Romany Sewiha</t>
  </si>
  <si>
    <t xml:space="preserve">Ahmet Sinan Basaran, Stefabie Sieben </t>
  </si>
  <si>
    <t xml:space="preserve">Martin Berger , Melanie Berger , Joshua Berger </t>
  </si>
  <si>
    <t xml:space="preserve">Christian Gromann,  Sandra Gromann </t>
  </si>
  <si>
    <t>Nicolas Cornec, Janine Fries-Cornec , Julie Cornec</t>
  </si>
  <si>
    <t xml:space="preserve">Luigi Maresca, Ciotola Miriam </t>
  </si>
  <si>
    <t xml:space="preserve">salvatore nicastro , joara scerra </t>
  </si>
  <si>
    <t xml:space="preserve">ERIKA SCILIO ,ELISA IALAZZO ,GIULIA DI MENZA , ELISA MARIA ITALIANO </t>
  </si>
  <si>
    <t xml:space="preserve">Czeslaus Bernhard Grzyb , Barbara Natalie Grzyb </t>
  </si>
  <si>
    <t xml:space="preserve">Alfred Josef Tomys , Margarethe Tomys </t>
  </si>
  <si>
    <t>FRANCESCO AMBROSIO</t>
  </si>
  <si>
    <t xml:space="preserve">Steve Schmücking  , Yvonne Schmücking ,  Phil Schmücking , Milla Schmücking </t>
  </si>
  <si>
    <t xml:space="preserve">luca scialpi  , DOROTA MARIA KULYNA  ,  THOMAS SCIALPI , LORIS SCIALPI </t>
  </si>
  <si>
    <t xml:space="preserve">Bruno Colacchi, Alessandra Alterio    </t>
  </si>
  <si>
    <t>Carmela Carrillo</t>
  </si>
  <si>
    <t xml:space="preserve">Thomas Kühl , Sandra Kühl , Mia Sophie Kühl </t>
  </si>
  <si>
    <t>Elisa Cassini</t>
  </si>
  <si>
    <t xml:space="preserve">Manuela Santuliana, Emanuel Soliman Peralta </t>
  </si>
  <si>
    <t xml:space="preserve">Nadine Hoerster, David Reineking , Finn Hoerster </t>
  </si>
  <si>
    <t xml:space="preserve">Claudia Alexandra Minz-Lübke , Moritz Benedikt Luebke , Ben Julian Luebke , David Hugo Luebke </t>
  </si>
  <si>
    <t>Barbara Gambi</t>
  </si>
  <si>
    <t>giancarlo pietrinferni , antonio pantanella</t>
  </si>
  <si>
    <t>Nicolas Voinchet</t>
  </si>
  <si>
    <t>8 years</t>
  </si>
  <si>
    <t>4&amp;3 years</t>
  </si>
  <si>
    <t>(11,9 years)</t>
  </si>
  <si>
    <t>6 years</t>
  </si>
  <si>
    <t>10&amp;9</t>
  </si>
  <si>
    <t>8 &amp; 5 years</t>
  </si>
  <si>
    <t>11 years</t>
  </si>
  <si>
    <t>5&amp;4 years</t>
  </si>
  <si>
    <t>(8&amp;6)+inf</t>
  </si>
  <si>
    <t>2,1 years</t>
  </si>
  <si>
    <t>9&amp;6 yrs</t>
  </si>
  <si>
    <t>11&amp;9 yrs</t>
  </si>
  <si>
    <t>12 years</t>
  </si>
  <si>
    <t>8,4 years</t>
  </si>
  <si>
    <t>7 years</t>
  </si>
  <si>
    <t>8,5 yearss</t>
  </si>
  <si>
    <t>5 years</t>
  </si>
  <si>
    <t>9,7 years</t>
  </si>
  <si>
    <t>7,3 years</t>
  </si>
  <si>
    <t>1 year</t>
  </si>
  <si>
    <t xml:space="preserve">9 years </t>
  </si>
  <si>
    <t>1 years</t>
  </si>
  <si>
    <t>10 YEARS</t>
  </si>
  <si>
    <t>10 years</t>
  </si>
  <si>
    <t>26/01/2026</t>
  </si>
  <si>
    <t>4 years</t>
  </si>
  <si>
    <t>5,3</t>
  </si>
  <si>
    <t>6,3</t>
  </si>
  <si>
    <t>9,4</t>
  </si>
  <si>
    <t xml:space="preserve">12,6 years </t>
  </si>
  <si>
    <t xml:space="preserve">12 years </t>
  </si>
  <si>
    <t>8,2 years</t>
  </si>
  <si>
    <t xml:space="preserve">6years </t>
  </si>
  <si>
    <t xml:space="preserve">6 years </t>
  </si>
  <si>
    <t>7&amp;1 years</t>
  </si>
  <si>
    <t>22-12-2025</t>
  </si>
  <si>
    <t xml:space="preserve">7,2 years </t>
  </si>
  <si>
    <t xml:space="preserve">7,7,2 years </t>
  </si>
  <si>
    <t xml:space="preserve">7,5 years </t>
  </si>
  <si>
    <t>23-12-2025</t>
  </si>
  <si>
    <t xml:space="preserve">7 years  </t>
  </si>
  <si>
    <t xml:space="preserve">8,6 years </t>
  </si>
  <si>
    <t>12,5</t>
  </si>
  <si>
    <t xml:space="preserve">2 years </t>
  </si>
  <si>
    <t>5,4 years</t>
  </si>
  <si>
    <t>10,8,1</t>
  </si>
  <si>
    <t>8,5</t>
  </si>
  <si>
    <t>25-11-2025</t>
  </si>
  <si>
    <t>15-02-2026</t>
  </si>
  <si>
    <t>11&amp;9</t>
  </si>
  <si>
    <t>14-12-2025</t>
  </si>
  <si>
    <t>22-02-2026</t>
  </si>
  <si>
    <t>19-02-2026</t>
  </si>
  <si>
    <t>28-12-2025</t>
  </si>
  <si>
    <t>8,5,5,3</t>
  </si>
  <si>
    <t>18-03-2026</t>
  </si>
  <si>
    <t>10,06</t>
  </si>
  <si>
    <t>22-04-2026</t>
  </si>
  <si>
    <t>13-12</t>
  </si>
  <si>
    <t>10,03 Y</t>
  </si>
  <si>
    <t>01 Y</t>
  </si>
  <si>
    <t>11,08 Y</t>
  </si>
  <si>
    <t>26-02-2026</t>
  </si>
  <si>
    <t>29-01-2026</t>
  </si>
  <si>
    <t xml:space="preserve">11 years </t>
  </si>
  <si>
    <t>7,5</t>
  </si>
  <si>
    <t>Sent with name :  MS Diana.  
Booked from Jumbo as  Family
, but supp was missed</t>
  </si>
  <si>
    <t xml:space="preserve">  Loss bcs of AI supp has been missed.  
REBOOKED with : Dirk Mattlat   20303306 CXL on 29-09, Rebooked and confirmed with hotel with guest name Martina Mattlat Voucher  20303380 on 30-09</t>
  </si>
  <si>
    <t>50% E.B on 05/10/2025</t>
  </si>
  <si>
    <t>Loss bcs of AI supp has been missed.   Milutin Stefanov CXL with hotel  on 01/08  , 
 Rebooked with name :  Elke Borgmann 
applied on EBD increase 27%   20303307</t>
  </si>
  <si>
    <t>50% E.B on 16/11/2025</t>
  </si>
  <si>
    <t>The Gala dinners have been missed.
 Rebooked with name Andreas
   20242911.  Confirmed on 20-05-2025</t>
  </si>
  <si>
    <t xml:space="preserve">The room has been confirmed with free upgrade to Sea View.
</t>
  </si>
  <si>
    <t>sent name Ms Louise</t>
  </si>
  <si>
    <t>the loss due the room sent to the hotel on 02-03, 15% E.B applied</t>
  </si>
  <si>
    <t>75% E.B on 10/10/2025</t>
  </si>
  <si>
    <t>sent name MRS June</t>
  </si>
  <si>
    <t>(Stuart Lacey,20242717CXL on 14-10 )Rebooked and confirmed with hotel with voucher 20303536
 guest name Claire   Lace  on 07-10</t>
  </si>
  <si>
    <t xml:space="preserve"> The room sent with :  Stephanie</t>
  </si>
  <si>
    <t>U27977</t>
  </si>
  <si>
    <t>U27978</t>
  </si>
  <si>
    <t xml:space="preserve">The room applied on family room rate bcs of two CHDs. Mostafa.
  Sent with name : Mrs. Staph Orest  Ref, 20242906  
   on 18-05-2025 applied on SPO 10-05-2025. </t>
  </si>
  <si>
    <t xml:space="preserve">sent name Milly </t>
  </si>
  <si>
    <t>50% E.B on 06/11/2025</t>
  </si>
  <si>
    <t>Confirmd by Mr. Hussein on  Fri 18-04-2025 4:23 PM. 
Re-booked again with Peter Bowsher  20303405.
 applied on Campain sent on 07-08-2025. Mostafa</t>
  </si>
  <si>
    <t xml:space="preserve">   The room sent with :  Edelgard</t>
  </si>
  <si>
    <t xml:space="preserve">  Tim Sent with name :  ROSARI 
  and To be rebooked as Promo with the new SPO or budget .
 Rebooked with name :  DI GIACOMO   with Promo Room    20242912 Confirmed</t>
  </si>
  <si>
    <t>FOUILLAT</t>
  </si>
  <si>
    <t>sent name Groenendijk</t>
  </si>
  <si>
    <t>Sent name Veronique. 
Jumbo sent an amended
 booking with 5 nights instead.</t>
  </si>
  <si>
    <t>Loss for 2nd child was not charged 
(sent name Mathew Eva as standard with free upgrade to cover the loss)</t>
  </si>
  <si>
    <t>Missing Gala Dinner / 
sent name Boujir  ref 00000002, 20242959 CXL on 01-10
Rebooked with hotel with guest name Bouchaib 
Ref 20303524 on 25-09</t>
  </si>
  <si>
    <t>sent name SILVANO, PESC</t>
  </si>
  <si>
    <t>Sent with name :
  Jackmaert to save it untill we receive next SPO</t>
  </si>
  <si>
    <t>The room sent with name of : Jessica //
 Re-booked with :  Wincent 27% EBD</t>
  </si>
  <si>
    <t xml:space="preserve">the room applied on 30% EBD increase </t>
  </si>
  <si>
    <t>50% E.B on 15/10/2025</t>
  </si>
  <si>
    <t>Sandro Streit</t>
  </si>
  <si>
    <t>Ulrich Streit</t>
  </si>
  <si>
    <t>Tatjana</t>
  </si>
  <si>
    <t>100% EBD to be paid on 05.09.2025</t>
  </si>
  <si>
    <t>MRS Sanaz Majidi. Applied  on contract EBD</t>
  </si>
  <si>
    <t>Nicole</t>
  </si>
  <si>
    <t>The booking has been cancelled from Jumbo then,
 they 
re-booked it again with low rates   Ref, 16829486  . Mostafa</t>
  </si>
  <si>
    <t>50% E.B On 05/08/2025</t>
  </si>
  <si>
    <t>The room applied on contract EBD</t>
  </si>
  <si>
    <t>applied on EBD increase 30%</t>
  </si>
  <si>
    <t>The loss bcs the room sold without budget.</t>
  </si>
  <si>
    <t>Confrmed less 1$ PP from SPO 29-07 asper mail on 06-08</t>
  </si>
  <si>
    <t>50% E.B on 10/09/2025</t>
  </si>
  <si>
    <t>The room applied on contract EBD.</t>
  </si>
  <si>
    <t>ROSITSA</t>
  </si>
  <si>
    <t>Sent with : Nicole and applied on contract EBD15%.
 Rebooked with : Lacher 20303414 with 20% EBD increase. Mostafa</t>
  </si>
  <si>
    <t>50% E.B on 07/09/2025</t>
  </si>
  <si>
    <t>the booking has been saved at Swiss Inn  20303465</t>
  </si>
  <si>
    <t>The room applied on EBD</t>
  </si>
  <si>
    <t>The hotel refused to confirm the room with budget</t>
  </si>
  <si>
    <t>FAM Supp didn’t appalid</t>
  </si>
  <si>
    <t>The room re-booked with Micheal schmitt  20303402.
 Jumbo cancelled the old booking,
 then sent us a new one ref 16844557 with low rates. 
I sent them that the old booking confirmed and paid to gain 72.9 eur. Mostafa</t>
  </si>
  <si>
    <t xml:space="preserve">romm sent with :  Miriam Kaehlig . </t>
  </si>
  <si>
    <t>100% EBD to be paid on 05.10.2025</t>
  </si>
  <si>
    <t>The correct calculation contains
 the second CHD =128*2*7*.8. Mostafa</t>
  </si>
  <si>
    <t>To be sent tomorrow " fixing loss "</t>
  </si>
  <si>
    <t>The room confirmed with -1 euro</t>
  </si>
  <si>
    <t>ref  00000004</t>
  </si>
  <si>
    <t>50% E.B On 05/10/2025</t>
  </si>
  <si>
    <t>the room sold with normal contract EBD, 
then sent with free upgrade to Pool view to gain 76 euro profit . Mostafa</t>
  </si>
  <si>
    <t>The room applied with new SPO + 10% EBD " my falut " Mostafa</t>
  </si>
  <si>
    <t>The room applied with 10% plus the EBD increase.
 I managed to book the room with -5 euro PPPN + applying 15% EBD on Gala dinner</t>
  </si>
  <si>
    <t>Amended to be single asper mail on 24-10</t>
  </si>
  <si>
    <t>Confirmed as Gypster GV instead. 
Re-confirmed with original room type to remove the Loss. Mostafa</t>
  </si>
  <si>
    <t>The room confirmed with budget -2 euro. Mostafa</t>
  </si>
  <si>
    <t>the room saved at Sunrise Garden beach 
 90 € pppn due to STOP-SALES. Mostafa</t>
  </si>
  <si>
    <t>Loading mistake</t>
  </si>
  <si>
    <t>cancellation fees</t>
  </si>
  <si>
    <t>the room confirmed with free upgrade
 to premium Pool. Mostafa</t>
  </si>
  <si>
    <t>50% E.B on 10/11/2025</t>
  </si>
  <si>
    <t>Sent with : Kersten.CXL 25-08
 The room applied on contract EBD 15%. 
 Re-booked with Mrs. : Cindy   20303413  "
 last 4 days with 20% EBD increase " . Mostafa</t>
  </si>
  <si>
    <t>Sent to hotel with voucher 20303495</t>
  </si>
  <si>
    <t>50% E.B  on 15/10/2025</t>
  </si>
  <si>
    <t>Loading mistake " sent with free upgrade 20303497
to sea view to reduce the loss. Mostafa</t>
  </si>
  <si>
    <t>Sent with free upgrade to superior PSV . Mostafa</t>
  </si>
  <si>
    <t>Confirmed Less 1$ PPPN Aspeer mail  on 16-09</t>
  </si>
  <si>
    <t xml:space="preserve">Contract Rate  without any reduction </t>
  </si>
  <si>
    <t>CEYLAN ARSLAN</t>
  </si>
  <si>
    <t>sent to hotel with ref 20303526</t>
  </si>
  <si>
    <t>Sent to hotel with voucher 20303530</t>
  </si>
  <si>
    <t>sent to hotel with voucher 20303531</t>
  </si>
  <si>
    <t xml:space="preserve">single room supp didn’t applied
</t>
  </si>
  <si>
    <t>Single room supp didn’t applid, 
Sent to hotel as Promo Room</t>
  </si>
  <si>
    <t>Less 2 Euro PPPN from contrcat rate as agreed with Mr Taha</t>
  </si>
  <si>
    <t>This booking has ben confirmed with hotel with Booking N 20303539</t>
  </si>
  <si>
    <t>New year supp not applid , sent with guest name Larkman</t>
  </si>
  <si>
    <t>Michailidis</t>
  </si>
  <si>
    <t xml:space="preserve">Samuel Joshua </t>
  </si>
  <si>
    <t>50% E.B on 05/11/2025</t>
  </si>
  <si>
    <t xml:space="preserve">Sent to the hotel with Ref 20303574, </t>
  </si>
  <si>
    <t>Sent to the hotel with Ref 20303572 , loss due Currency exchange</t>
  </si>
  <si>
    <t>Sent to the hotel with Ref 20303575</t>
  </si>
  <si>
    <t xml:space="preserve"> sent with voucher 20303576</t>
  </si>
  <si>
    <t>loss due SPO 30% Disc applied, and should be with Disc 25%  contrcat E.B</t>
  </si>
  <si>
    <t>50 E.B % on 05.08.2025</t>
  </si>
  <si>
    <t>Sent with name Richter</t>
  </si>
  <si>
    <t>50% E.B on 09/11/2025</t>
  </si>
  <si>
    <t xml:space="preserve"> VOLO NO6589</t>
  </si>
  <si>
    <t xml:space="preserve"> VOLO U23896</t>
  </si>
  <si>
    <t>EJU3895</t>
  </si>
  <si>
    <t>EJU3896</t>
  </si>
  <si>
    <t>VOLO NO7618</t>
  </si>
  <si>
    <t>VOLO MT3141</t>
  </si>
  <si>
    <t xml:space="preserve">VOLO NEOS AIR NO 2543 </t>
  </si>
  <si>
    <t>14:55:00 PM</t>
  </si>
  <si>
    <t>VOLO EJU3896</t>
  </si>
  <si>
    <t xml:space="preserve"> EJU3895</t>
  </si>
  <si>
    <t xml:space="preserve"> EJU3896 </t>
  </si>
  <si>
    <t xml:space="preserve"> NO6022</t>
  </si>
  <si>
    <t xml:space="preserve"> NO6023 </t>
  </si>
  <si>
    <t xml:space="preserve"> EJU3895  </t>
  </si>
  <si>
    <t xml:space="preserve"> EJU3895 </t>
  </si>
  <si>
    <t xml:space="preserve"> EJU3896</t>
  </si>
  <si>
    <t>TK698</t>
  </si>
  <si>
    <t xml:space="preserve"> SE6511 </t>
  </si>
  <si>
    <t xml:space="preserve"> Albastar AP2513</t>
  </si>
  <si>
    <t xml:space="preserve"> AP2975</t>
  </si>
  <si>
    <t xml:space="preserve"> AP2976</t>
  </si>
  <si>
    <t>VOLO Eju 3899</t>
  </si>
  <si>
    <t xml:space="preserve"> EJU3892</t>
  </si>
  <si>
    <t>Loss due contract rate applied without any reduction</t>
  </si>
  <si>
    <t>EJU3897</t>
  </si>
  <si>
    <t>NO7083</t>
  </si>
  <si>
    <t>Andrew Holland</t>
  </si>
  <si>
    <t>50% E.B Prepayment on 15-03-2026 Paid</t>
  </si>
  <si>
    <t>Paid</t>
  </si>
  <si>
    <t>paid at the hotel</t>
  </si>
  <si>
    <t>VOLO NO   3720</t>
  </si>
  <si>
    <t>VOLO NO   3721</t>
  </si>
  <si>
    <t>loss due single supp, didn’t applied</t>
  </si>
  <si>
    <t>U23892</t>
  </si>
  <si>
    <t>NO6508</t>
  </si>
  <si>
    <t>NO6422</t>
  </si>
  <si>
    <t xml:space="preserve">100% prepayment on 05-03-2026 Paid </t>
  </si>
  <si>
    <t>EJU 3889</t>
  </si>
  <si>
    <t>WIZZAIR W46364</t>
  </si>
  <si>
    <t>50% E.B on 14-05-2026</t>
  </si>
  <si>
    <t>WA6359</t>
  </si>
  <si>
    <t>WA6360</t>
  </si>
  <si>
    <t>75% E.B prepayment on 15-04-2026 Paid</t>
  </si>
  <si>
    <t>50% E.B on 15-03-2026</t>
  </si>
  <si>
    <t>100% Prepayment on 05-05-2026 Paid</t>
  </si>
  <si>
    <t>EJU1663</t>
  </si>
  <si>
    <t>50% E.B on 15-11-2026</t>
  </si>
  <si>
    <t>DOUBLE/TWIN STANDARD VIEW </t>
  </si>
  <si>
    <t>STANDARD ROOM GARDEN VIEW </t>
  </si>
  <si>
    <t xml:space="preserve">DOUBLE/TWIN SEA VIEW </t>
  </si>
  <si>
    <t xml:space="preserve">WE </t>
  </si>
  <si>
    <t xml:space="preserve">SWIM UP ROOM </t>
  </si>
  <si>
    <t xml:space="preserve">COMFORT SINGLE </t>
  </si>
  <si>
    <t>SWIM UP ROOM 2AD </t>
  </si>
  <si>
    <t>DOUBLE/TWIN SEA VIEW</t>
  </si>
  <si>
    <t>DOUBLE/TWIN STANDARD VIEW</t>
  </si>
  <si>
    <t>PREMIUM SINGLE ROOM </t>
  </si>
  <si>
    <t xml:space="preserve">STANDARD GARDEN ROOM </t>
  </si>
  <si>
    <t xml:space="preserve">Promo Room </t>
  </si>
  <si>
    <t>PROMO ROOM</t>
  </si>
  <si>
    <t xml:space="preserve">DOUBLE/TWIN GARDEN VIEW. </t>
  </si>
  <si>
    <t xml:space="preserve">PROMO ROOM </t>
  </si>
  <si>
    <t xml:space="preserve">COMFORT ROOM </t>
  </si>
  <si>
    <t xml:space="preserve">STANDARD SEA VIEW </t>
  </si>
  <si>
    <t xml:space="preserve">SINGLE STANDARD </t>
  </si>
  <si>
    <t>Superior Room Aqua</t>
  </si>
  <si>
    <t xml:space="preserve">SUITE SINGLE </t>
  </si>
  <si>
    <t xml:space="preserve">DELUXE ROOM AQUA </t>
  </si>
  <si>
    <t xml:space="preserve">GARDEN SUITE </t>
  </si>
  <si>
    <t>STANDARD COMFORT ROOM  </t>
  </si>
  <si>
    <t xml:space="preserve">DOUBLE/TWIN GARDEN VIEW </t>
  </si>
  <si>
    <t>Sandro Streit  CXL on 31-01, Eilna Streit , Alessio Streit , Simona Streit  Re booked on 21-12 with name Eilna  Alessio CXL on 10-02 ,Rebooked with Name Simona  Strit on 24-01, CXL on 26-03, Re booked on 12-03 with name Sandro Alessi</t>
  </si>
  <si>
    <t>DOUBLE/TWIN GARDEN VIEW </t>
  </si>
  <si>
    <t>Hans-Ulrich Streit CXL on 31-01,  Gabriela Streit Re booked on 21-12 with name Hans-Ulrich CXL on 10-02 ,Rebooked with Name Gabriela  Ulrich  on 24-01, CXL on 26-03, Re booked on 12-03 with name Streit  Hans</t>
  </si>
  <si>
    <t xml:space="preserve">SINGLE STANDARD ROOM </t>
  </si>
  <si>
    <t xml:space="preserve">DOUBLE/TWIN SUPERIOR GARDEN VIEW </t>
  </si>
  <si>
    <t>DOUBLE PROMO ROOM GARDEN VIEW</t>
  </si>
  <si>
    <t xml:space="preserve">SINGLE SUPERIOR GARDEN VIEW </t>
  </si>
  <si>
    <t xml:space="preserve">SUPERIOR DELUXE SINGLE </t>
  </si>
  <si>
    <t>SINGLE SUPERIOR SEA VIEW </t>
  </si>
  <si>
    <t xml:space="preserve">DOUBLE/TWIN DELUXE ROOM AQUA </t>
  </si>
  <si>
    <t>DOUBLE/TWIN SUPERIOR GARDEN VIEW</t>
  </si>
  <si>
    <t>DOUBLE PROMO ROOM  
   SINGLE GARDEN VIEW</t>
  </si>
  <si>
    <t xml:space="preserve">SUPERIOR GARDEN ROOM </t>
  </si>
  <si>
    <t>Deluxe Room Sea View</t>
  </si>
  <si>
    <t>DOUBLE/TWIN STANDARD</t>
  </si>
  <si>
    <t>SINGLE SUPERIOR GARDEN VIEW </t>
  </si>
  <si>
    <t>STANDARD SEA VIEW SINGLE </t>
  </si>
  <si>
    <t>Premium Room Sea View</t>
  </si>
  <si>
    <t xml:space="preserve">DOUBLE/TWIN SUPERIOR SIDE SEA VIEW </t>
  </si>
  <si>
    <t xml:space="preserve">SINGLE SUPERIOR POOL VIEW </t>
  </si>
  <si>
    <t>STANDARD TWIN ROOM</t>
  </si>
  <si>
    <t>Family deluxe room garden view</t>
  </si>
  <si>
    <t>PREMIUM GARDEN VIEW ROOM</t>
  </si>
  <si>
    <t>TRIPLE GARDEN VIEW </t>
  </si>
  <si>
    <t>Pool / Lagoon View Room</t>
  </si>
  <si>
    <t>Superior main building room sea side</t>
  </si>
  <si>
    <t>FAMILY ROOM (2 BEDROOM)</t>
  </si>
  <si>
    <t>STANDARD TRIPLE </t>
  </si>
  <si>
    <t>SWIM UP ROOM</t>
  </si>
  <si>
    <t>FAMILY ROOM (2AD+2CH) </t>
  </si>
  <si>
    <t xml:space="preserve"> WE</t>
  </si>
  <si>
    <t>DOUBLE/TWIN SUPERIOR (2AD+1CH) </t>
  </si>
  <si>
    <t>Dune Superior Swim Up Room</t>
  </si>
  <si>
    <t>DOUBLE COMFORT</t>
  </si>
  <si>
    <t>DOUBLE POOL VIEW </t>
  </si>
  <si>
    <t xml:space="preserve">DOUBLE/TWIN SUPERIOR GARDEN </t>
  </si>
  <si>
    <t>DOUBLE COMFORT ROOM 2AD </t>
  </si>
  <si>
    <t>DOUBLE COMFORT </t>
  </si>
  <si>
    <t>DOUBLE TROUBLE GARDEN/POOL/SEA VIEW (1AD) </t>
  </si>
  <si>
    <t xml:space="preserve">DOUBLE SUPERIOR </t>
  </si>
  <si>
    <t>DOUBLE/TWIN SUPERIOR </t>
  </si>
  <si>
    <t>STANDARD GARDEN ROOM (2AD</t>
  </si>
  <si>
    <t>DOUBLE SUPERIOR SEA VIEW  </t>
  </si>
  <si>
    <t>SINGLE STANDARD (1AD) </t>
  </si>
  <si>
    <t>FAMILY ROOM (3AD+1CH) </t>
  </si>
  <si>
    <t>Superior Room Sea View</t>
  </si>
  <si>
    <t xml:space="preserve">DOUBLE/TWIN POOL VIEW </t>
  </si>
  <si>
    <t>DOUBLE SUPERIOR GARDEN VIEW </t>
  </si>
  <si>
    <t>DOUBLE PREMIUM POOL VIEW  </t>
  </si>
  <si>
    <t xml:space="preserve">DOUBLE SUPERIOR GARDEN VIEW </t>
  </si>
  <si>
    <t>DOUBLE SEA SIDE  </t>
  </si>
  <si>
    <t>SWIM UP ROOM 3AD </t>
  </si>
  <si>
    <t>Superior Deluxe GV Room</t>
  </si>
  <si>
    <t xml:space="preserve">DOUBLE SUPERIOR SEA VIEW </t>
  </si>
  <si>
    <t>Superior Triple  TPL</t>
  </si>
  <si>
    <t>SINGLE STANDARD ROOM </t>
  </si>
  <si>
    <t xml:space="preserve">DBL Family Pool view </t>
  </si>
  <si>
    <t xml:space="preserve">TRIPLE STANDARD VIEW </t>
  </si>
  <si>
    <t xml:space="preserve">Deluxe Room Aqua </t>
  </si>
  <si>
    <t>SINGLE POOL VIEW </t>
  </si>
  <si>
    <t>Standard Room Side Sea View</t>
  </si>
  <si>
    <t>SINGLE PROMO ROOM </t>
  </si>
  <si>
    <t xml:space="preserve">SINGLE USE SUPERIOR GARDEN VIEW </t>
  </si>
  <si>
    <t>Premium Room Garden View</t>
  </si>
  <si>
    <t>Family Bungalow Sliding Doors</t>
  </si>
  <si>
    <t>DOUBLE/TWIN POOL VIEW </t>
  </si>
  <si>
    <t xml:space="preserve">Premium Room </t>
  </si>
  <si>
    <t>Deluxe room garden view</t>
  </si>
  <si>
    <t xml:space="preserve">DOUBLE/TWIN STANDARD </t>
  </si>
  <si>
    <t>SUPERIOR SEA VIEW </t>
  </si>
  <si>
    <t>SINGLE STANDARD ROOM</t>
  </si>
  <si>
    <t>DOUBLE SUPERIOR GARDEN VIEW</t>
  </si>
  <si>
    <t>COMFORT TWIN SINGLE USE </t>
  </si>
  <si>
    <t>Standard Room Garden Or Pool View</t>
  </si>
  <si>
    <t>Premium Room Garden View
&amp;Premium Room Sea View</t>
  </si>
  <si>
    <t>Bungalow Garden View</t>
  </si>
  <si>
    <t xml:space="preserve">DOUBLE PREMIUM GARDEN VIEW </t>
  </si>
  <si>
    <t>Family Bunkbed Room</t>
  </si>
  <si>
    <t xml:space="preserve">SUPERIOR SIDE SEA VIEW </t>
  </si>
  <si>
    <t xml:space="preserve">SUPERIOR POOL VIEW </t>
  </si>
  <si>
    <t xml:space="preserve">SUPERIOR GARDEN VIEW </t>
  </si>
  <si>
    <t>Gypster Sea View</t>
  </si>
  <si>
    <t xml:space="preserve">PREMIUM GARDEN VIEW </t>
  </si>
  <si>
    <t>Gypster Side Sea View</t>
  </si>
  <si>
    <t xml:space="preserve">DOUBLE/TWIN STANDARD VIEW </t>
  </si>
  <si>
    <t>Standard Room Side Sea View,  
Standard Room Garden View</t>
  </si>
  <si>
    <t xml:space="preserve">STANDARD BACK VIEW </t>
  </si>
  <si>
    <t xml:space="preserve">DELUXE POOL VIEW </t>
  </si>
  <si>
    <t>Susanne UKN CXL on 01-02 , Sterre Rougoor , Re booked with name  (Sterre Rougor - 2704244) on 31-01</t>
  </si>
  <si>
    <t>Superior Room Pool / Partial Sea Side</t>
  </si>
  <si>
    <t>Standard Room Pool View, Standard Room Garden View</t>
  </si>
  <si>
    <t>Double Trouble Garden / Side Sea View</t>
  </si>
  <si>
    <t xml:space="preserve">DOUBLE STANDARD GARDEN/POOL VIEW </t>
  </si>
  <si>
    <t xml:space="preserve">FAMILY POOL VIEW </t>
  </si>
  <si>
    <t>Standard sea view Room</t>
  </si>
  <si>
    <t>TRIPLE  GARDEN VIEW </t>
  </si>
  <si>
    <t xml:space="preserve">PREMIUM SEA VIEW </t>
  </si>
  <si>
    <t xml:space="preserve"> STANDARD BACK VIEW </t>
  </si>
  <si>
    <t xml:space="preserve">SINGLE STAND ROOM </t>
  </si>
  <si>
    <t xml:space="preserve">DOUBLE STAND ROOM </t>
  </si>
  <si>
    <t>DOUBLE - PROMO ROOM</t>
  </si>
  <si>
    <t>SINGLE GARDEN VIEW </t>
  </si>
  <si>
    <t xml:space="preserve">JUNIOR SUITE </t>
  </si>
  <si>
    <t>2 DBL ROOMS STANDARD MOUNTAIN</t>
  </si>
  <si>
    <t>Superior Room Side Sea View</t>
  </si>
  <si>
    <t>Deluxe Family Garden Room</t>
  </si>
  <si>
    <t>Deluxe family room pool view</t>
  </si>
  <si>
    <t>Premium Room Garden Side 2nd Line</t>
  </si>
  <si>
    <t xml:space="preserve">Handling Only </t>
  </si>
  <si>
    <t xml:space="preserve">SUPRIOR GARDEN VIEW </t>
  </si>
  <si>
    <t xml:space="preserve">2 SUPERIOR GARDEN VIEW </t>
  </si>
  <si>
    <t>SNG STD POOL</t>
  </si>
  <si>
    <t>DBL STD POOL</t>
  </si>
  <si>
    <t xml:space="preserve">Superior Room Blue Planet </t>
  </si>
  <si>
    <t xml:space="preserve">Superior Room </t>
  </si>
  <si>
    <t>DOUBLE/TWIN GARDEN VIEW</t>
  </si>
  <si>
    <t>GARDEN OR POOL VIEW </t>
  </si>
  <si>
    <t>PREMIUM POOL VIEW</t>
  </si>
  <si>
    <t xml:space="preserve">STANDARD ROOM GARDEN VIEW </t>
  </si>
  <si>
    <t>Standard Room Pool View</t>
  </si>
  <si>
    <t>Superior Pool View</t>
  </si>
  <si>
    <t>Family Room Aqua</t>
  </si>
  <si>
    <t>SUPERIOR ROOM GARDEN VIEW</t>
  </si>
  <si>
    <t>SINGLE DELUXE </t>
  </si>
  <si>
    <t xml:space="preserve">Superior Pool View </t>
  </si>
  <si>
    <t>Pool  Lagoon View Room, Elite room</t>
  </si>
  <si>
    <t>Junior Suite +18</t>
  </si>
  <si>
    <t>SINGLE POOL VIEW ,DOUBLE  POOL VIEW</t>
  </si>
  <si>
    <t>(Melanie CXL on 05-02)Schilling  , Axel Helmut Scholz , Andrea Michaela Scholz  ( Rebooked on 04-02 with Name Schilling , Axel Helmut CXL on 09-06) Re booked on 03-06 with name Andrea Melanie , Michaela Scholz</t>
  </si>
  <si>
    <t>COMFORT ROOM</t>
  </si>
  <si>
    <t xml:space="preserve">STANDARD ROOM GARDEN / POOL VIEW </t>
  </si>
  <si>
    <t>(UMIT AKGUL CXL on 12-02),  DUYSEL DASTAN AKGUL, UYGAR ERIM AKGUL, UMAY ADA AKGUL, (Re booked on 08-02 with name UYSEL DASTAN  595954449325)</t>
  </si>
  <si>
    <t>FAMILY ROOM AQUA</t>
  </si>
  <si>
    <t>Rixos Radamis</t>
  </si>
  <si>
    <t>Family Blue Planet</t>
  </si>
  <si>
    <t>Superior Triple Room Garden &amp; Pool View</t>
  </si>
  <si>
    <t>(Sabriye Merve CXL on 24-01) ,  Müslüm Ardıç Demirel,  Umay Demirel   &amp; Rebooked with name Demirel Sabye on 20-01  (173748) CXL on 10-02 , Re booked on 04-02 with name Müslüm Ardıç (175419)</t>
  </si>
  <si>
    <t>SUPERIOR ROOM POOL VIEW </t>
  </si>
  <si>
    <t>Renate Maria CXL on 24-01 Staeubli Eppich, rebooked on21-01with name Staeubli Eppich CXL on 12-02 (173801) (Re booked on 07-02 with Name Maria Renat 175706)</t>
  </si>
  <si>
    <t>Sandy Milovanovic, Linda Roth , Rebooked with  name  Linda Roth (173786)</t>
  </si>
  <si>
    <t>Deluxe Garden view</t>
  </si>
  <si>
    <t>Deluxe Room Aqua</t>
  </si>
  <si>
    <t>DELUXE ROOM</t>
  </si>
  <si>
    <t>Premium suite room</t>
  </si>
  <si>
    <t>Aquamarine beach club domina coral bay</t>
  </si>
  <si>
    <t xml:space="preserve">SUPERIOR ROOM POOL VIEW </t>
  </si>
  <si>
    <t>DELUXE DOUBLE SEA VIEW</t>
  </si>
  <si>
    <t>Superior Pool</t>
  </si>
  <si>
    <t>veraclub reef oasis beach resort</t>
  </si>
  <si>
    <t>Claudia Lavrijsen CXL on 25-05 ,Luuk van den Nieuwenhof  , Re booked on 25-05 with name , Luuk van den Nieuwenhof</t>
  </si>
  <si>
    <t>SUPERIOR ROOM POOL VIEW</t>
  </si>
  <si>
    <t>2 Single Premium Room Garden Side 2nd Line</t>
  </si>
  <si>
    <t>FAMILY ROOM,Premium Grand</t>
  </si>
  <si>
    <t>Superior Side Sea View</t>
  </si>
  <si>
    <t>TITANIC RESORT</t>
  </si>
  <si>
    <t>AMPHORAS AQUA RESORT ADULTS ONLY</t>
  </si>
  <si>
    <t>STANDARD ROOM GARDEN / POOL VIEW</t>
  </si>
  <si>
    <t>Family chalet room</t>
  </si>
  <si>
    <t xml:space="preserve">AMPHORAS BEACH </t>
  </si>
  <si>
    <t>STEIGENBERGER ALCAZAR</t>
  </si>
  <si>
    <t>Deluxe Family Side Sea View</t>
  </si>
  <si>
    <t>JUNIOR SUITE SEA VIEW</t>
  </si>
  <si>
    <t xml:space="preserve">COMFORT ROOM GARDEN VIEW </t>
  </si>
  <si>
    <t>TITANIC BEACH SPA AND AQUA PARK</t>
  </si>
  <si>
    <t xml:space="preserve">STANDARD COMFORT ROOM </t>
  </si>
  <si>
    <t>Superior room garden / pool view</t>
  </si>
  <si>
    <t xml:space="preserve">FAMILY DELUXE POOL VIEW </t>
  </si>
  <si>
    <t>2 POOL VIEW ROOMS</t>
  </si>
  <si>
    <t xml:space="preserve">BUONOCORE GENNARO CXL on 20-06 ,SORRENTINO CONSOLATA , BUONOCORE GIORGIA , BUONOCRE MELISSA , BUONOCORE MICHELA , Re booked on 17-06 with name SORRENTINO CONSOLATA </t>
  </si>
  <si>
    <t>Comfort</t>
  </si>
  <si>
    <t xml:space="preserve">FELICIA BARBARISI CXL on 16-04, MASSIMO MARINO , Re booked on 13-04 with  name  MASSIMO MARINO CXL  on 20-06, Re booked on 23-05 with name BARB ARISI </t>
  </si>
  <si>
    <t xml:space="preserve">Comfort  FAMILY STANDARD </t>
  </si>
  <si>
    <t>COMFORT FAMILY STANDARD</t>
  </si>
  <si>
    <t>Three Corners Rihana Resort</t>
  </si>
  <si>
    <t>TITANIC RESORT (EX AQUA PARK)</t>
  </si>
  <si>
    <t xml:space="preserve">STANDARD ROOM GARDEN </t>
  </si>
  <si>
    <t>2 SUPERIOR ROOMS</t>
  </si>
  <si>
    <t>CARMELA PARISI , PAOLO CACCAVALLO CXL on 20-04  , IDA CACAVALLO CXL  on 20-04 ,  GRACE ADUJAN , ISABEL ADUJAN  , Re booked on 13-04 with names   CARMELA PARISI,  GRACE ADUJAN CXL on 18-06, Re booked on 24-05 with names CACCA VALLO , ISABEL DUJEN</t>
  </si>
  <si>
    <t>COMFORT ROOM GARDEN VIEW </t>
  </si>
  <si>
    <t>SVETLANA CXL on 18-06, FRANK-GERDT , DIMITRI	GERDT, Rebooked on 14-06 with name DIMITRI GERDT</t>
  </si>
  <si>
    <t xml:space="preserve">3 SUPERIOR ROOM </t>
  </si>
  <si>
    <t xml:space="preserve">COMFORT ROOM SEA VIEW </t>
  </si>
  <si>
    <t>DOUBLE COMFORT ROOM</t>
  </si>
  <si>
    <t>STANDARD ROOM </t>
  </si>
  <si>
    <t xml:space="preserve">SUPERIOR ROOM GARDEN  VIEW </t>
  </si>
  <si>
    <t xml:space="preserve">Comfort Family Room QUADRUPLE </t>
  </si>
  <si>
    <t xml:space="preserve">2 STANDARD ROOM </t>
  </si>
  <si>
    <t>ANDREA SORBELLO, CARMELA MELANIA SANTANNA, MORENA SORBELLO, GIOELE SORBELLO,   Sent with name  SERBELL  ANDRE CXL on 08-06, Re booked on 21-05 with name SERBELO  ANDRE CXL on 21-06 , Re booked on 20-06 with name CARMELA MELANIA</t>
  </si>
  <si>
    <t xml:space="preserve">FAMILY STANDARD </t>
  </si>
  <si>
    <t>TravelYria</t>
  </si>
  <si>
    <t xml:space="preserve">DOBLE COMFORT </t>
  </si>
  <si>
    <t xml:space="preserve">DOUBLE COMFORT </t>
  </si>
  <si>
    <t>STANDARD SEA VIEW </t>
  </si>
  <si>
    <t>2 Comfort rooms</t>
  </si>
  <si>
    <t>Makadi</t>
  </si>
  <si>
    <t>STANDARD &amp;Premium Room Garden View</t>
  </si>
  <si>
    <t xml:space="preserve">STANDARD POOL VIEW ROOM </t>
  </si>
  <si>
    <t>2 STANDARD ROOMS</t>
  </si>
  <si>
    <t>THREE CORNERS RIHANA RESORT</t>
  </si>
  <si>
    <t>2 Premium Rooms</t>
  </si>
  <si>
    <t>Turkey</t>
  </si>
  <si>
    <t>Hurghada Marriott Beach Resort</t>
  </si>
  <si>
    <t xml:space="preserve">Sea View Room </t>
  </si>
  <si>
    <t xml:space="preserve">THE THREE CORNERS SUNNY BEACH RESORT </t>
  </si>
  <si>
    <t xml:space="preserve"> Superior Deluxe Room Garden View</t>
  </si>
  <si>
    <t>ONE BEDROOM CHALET </t>
  </si>
  <si>
    <t>STANDARD POOL VIEW ROOM</t>
  </si>
  <si>
    <t xml:space="preserve">2 SUPERIOR ROOM </t>
  </si>
  <si>
    <t>STANDARD COMFORT ROOM</t>
  </si>
  <si>
    <t>FR</t>
  </si>
  <si>
    <t>Username</t>
  </si>
  <si>
    <t>Password</t>
  </si>
  <si>
    <t>Role</t>
  </si>
  <si>
    <t>Gouda</t>
  </si>
  <si>
    <t>3d14c2d4e4ced81e459e4ace7c01466a700000fb94a3bbe944a55fb92693e879</t>
  </si>
  <si>
    <t>Admin</t>
  </si>
  <si>
    <t>iTour - Fulvago</t>
  </si>
  <si>
    <t>This workbook requires macros to run.
Click 'Enable Content' on the security bar, then close and reopen.</t>
  </si>
  <si>
    <t>Control Panel|-1</t>
  </si>
  <si>
    <t>BKG Bank|0</t>
  </si>
  <si>
    <t>Dashboard|0</t>
  </si>
  <si>
    <t>Mat|0</t>
  </si>
  <si>
    <t>Arrival_Transfers|0</t>
  </si>
  <si>
    <t>Departure_Transfers |0</t>
  </si>
  <si>
    <t>Stop Sale|0</t>
  </si>
  <si>
    <t>Local Market|0</t>
  </si>
  <si>
    <t>ArrivalReport|0</t>
  </si>
  <si>
    <t>BookingFinanceReport|0</t>
  </si>
  <si>
    <t>PaymentOptionReport|0</t>
  </si>
  <si>
    <t>EBDListReport|0</t>
  </si>
  <si>
    <t>Params|0</t>
  </si>
  <si>
    <t>Users|2</t>
  </si>
  <si>
    <t>Abd El Rahman</t>
  </si>
  <si>
    <t>Reservations</t>
  </si>
  <si>
    <t>Adham</t>
  </si>
  <si>
    <t>be7d5b41a52d2be986fb3de4a9b58dc938e70823b97bc7b5575584f43ec3a7cd</t>
  </si>
  <si>
    <t>Mekky</t>
  </si>
  <si>
    <t>650d0d13b36fbfcced05fd3e73b06d668e7994c414a703e65bab677846541e59</t>
  </si>
  <si>
    <t>Soliman</t>
  </si>
  <si>
    <t>292e5e46ecdce61a64eb0d00da5fc1fd7c39d02a1bbbccd75c1402b70ffe481c</t>
  </si>
  <si>
    <t>Accounting</t>
  </si>
  <si>
    <t>Tarek</t>
  </si>
  <si>
    <t>3adfc07f4d4d13ea41e729c4b6023a1a703c393cf9ab96475908f04e01ec1b79</t>
  </si>
  <si>
    <t>Marwa</t>
  </si>
  <si>
    <t>8139d60a3f326d0fe1077ec922985c47907a5eb5696ac21c7df084fbbd9db6b5</t>
  </si>
  <si>
    <t>Viewer</t>
  </si>
  <si>
    <t>Timestamp</t>
  </si>
  <si>
    <t>User</t>
  </si>
  <si>
    <t>Action</t>
  </si>
  <si>
    <t>Entity</t>
  </si>
  <si>
    <t>Reference</t>
  </si>
  <si>
    <t>Details</t>
  </si>
  <si>
    <t>Login</t>
  </si>
  <si>
    <t>Auth</t>
  </si>
  <si>
    <t>success</t>
  </si>
  <si>
    <t>Report</t>
  </si>
  <si>
    <t>HotelArrival</t>
  </si>
  <si>
    <t>2026-07-22..2026-07-22</t>
  </si>
  <si>
    <t>SPOCheck</t>
  </si>
  <si>
    <t>CellEdit</t>
  </si>
  <si>
    <t>SPOReport</t>
  </si>
  <si>
    <t>A1</t>
  </si>
  <si>
    <t xml:space="preserve"> -&gt; Market</t>
  </si>
  <si>
    <t>B1</t>
  </si>
  <si>
    <t xml:space="preserve"> -&gt; No RMS</t>
  </si>
  <si>
    <t>C1</t>
  </si>
  <si>
    <t xml:space="preserve"> -&gt; Hotel Name</t>
  </si>
  <si>
    <t>D1</t>
  </si>
  <si>
    <t xml:space="preserve"> -&gt; Room Type</t>
  </si>
  <si>
    <t>E1</t>
  </si>
  <si>
    <t xml:space="preserve"> -&gt; Guest Name</t>
  </si>
  <si>
    <t>F1</t>
  </si>
  <si>
    <t xml:space="preserve"> -&gt; Arr Date</t>
  </si>
  <si>
    <t>G1</t>
  </si>
  <si>
    <t xml:space="preserve"> -&gt; Dep Date</t>
  </si>
  <si>
    <t>H1</t>
  </si>
  <si>
    <t xml:space="preserve"> -&gt; NTS</t>
  </si>
  <si>
    <t>I1</t>
  </si>
  <si>
    <t xml:space="preserve"> -&gt; MB</t>
  </si>
  <si>
    <t>J1</t>
  </si>
  <si>
    <t xml:space="preserve"> -&gt; AD</t>
  </si>
  <si>
    <t>K1</t>
  </si>
  <si>
    <t xml:space="preserve"> -&gt; CH</t>
  </si>
  <si>
    <t>L1</t>
  </si>
  <si>
    <t xml:space="preserve"> -&gt; INF</t>
  </si>
  <si>
    <t>M1</t>
  </si>
  <si>
    <t xml:space="preserve"> -&gt; 01st CHD Age</t>
  </si>
  <si>
    <t>N1</t>
  </si>
  <si>
    <t xml:space="preserve"> -&gt; 02nd CHD Age</t>
  </si>
  <si>
    <t>O1</t>
  </si>
  <si>
    <t xml:space="preserve"> -&gt; Cost USD</t>
  </si>
  <si>
    <t>P1</t>
  </si>
  <si>
    <t xml:space="preserve"> -&gt; Selling USD</t>
  </si>
  <si>
    <t>Q1</t>
  </si>
  <si>
    <t xml:space="preserve"> -&gt; P/L USD</t>
  </si>
  <si>
    <t>R1</t>
  </si>
  <si>
    <t xml:space="preserve"> -&gt; Cost EUR</t>
  </si>
  <si>
    <t>S1</t>
  </si>
  <si>
    <t xml:space="preserve"> -&gt; Selling EUR</t>
  </si>
  <si>
    <t>T1</t>
  </si>
  <si>
    <t xml:space="preserve"> -&gt; P/L EUR</t>
  </si>
  <si>
    <t>A2</t>
  </si>
  <si>
    <t xml:space="preserve"> -&gt; UK</t>
  </si>
  <si>
    <t>B2</t>
  </si>
  <si>
    <t xml:space="preserve"> -&gt; 1</t>
  </si>
  <si>
    <t>C2</t>
  </si>
  <si>
    <t xml:space="preserve"> -&gt; XPERIENCE KIROSEIZ PREMIER</t>
  </si>
  <si>
    <t>D2</t>
  </si>
  <si>
    <t xml:space="preserve"> -&gt; STANDARD ROOM</t>
  </si>
  <si>
    <t>E2</t>
  </si>
  <si>
    <t xml:space="preserve"> -&gt; Jenan Ablahad Behnam , Samir Slewa Alias, Maryam Alias</t>
  </si>
  <si>
    <t>F2</t>
  </si>
  <si>
    <t xml:space="preserve"> -&gt; 22-Jul-26</t>
  </si>
  <si>
    <t>G2</t>
  </si>
  <si>
    <t xml:space="preserve"> -&gt; 05-Aug-26</t>
  </si>
  <si>
    <t>H2</t>
  </si>
  <si>
    <t xml:space="preserve"> -&gt; 14</t>
  </si>
  <si>
    <t>I2</t>
  </si>
  <si>
    <t xml:space="preserve"> -&gt; AI</t>
  </si>
  <si>
    <t>J2</t>
  </si>
  <si>
    <t xml:space="preserve"> -&gt; 3</t>
  </si>
  <si>
    <t>O2</t>
  </si>
  <si>
    <t xml:space="preserve"> -&gt; 2244</t>
  </si>
  <si>
    <t>P2</t>
  </si>
  <si>
    <t xml:space="preserve"> -&gt; 2328</t>
  </si>
  <si>
    <t>Q2</t>
  </si>
  <si>
    <t xml:space="preserve"> -&gt; 84</t>
  </si>
  <si>
    <t>T2</t>
  </si>
  <si>
    <t xml:space="preserve"> -&gt; 0</t>
  </si>
  <si>
    <t>2026-06-26..2026-07-10</t>
  </si>
  <si>
    <t xml:space="preserve"> -&gt; WE</t>
  </si>
  <si>
    <t xml:space="preserve"> -&gt; THE THREE CORNERS SUNNY BEACH RESORT HURGHADA</t>
  </si>
  <si>
    <t xml:space="preserve"> -&gt; FAMILY STANDARD (Comfort Family)</t>
  </si>
  <si>
    <t xml:space="preserve"> -&gt; MEHDI SAHRAOUI</t>
  </si>
  <si>
    <t xml:space="preserve"> -&gt; 08-Jul-26</t>
  </si>
  <si>
    <t xml:space="preserve"> -&gt; 2</t>
  </si>
  <si>
    <t>K2</t>
  </si>
  <si>
    <t>M2</t>
  </si>
  <si>
    <t>N2</t>
  </si>
  <si>
    <t xml:space="preserve"> -&gt; 7</t>
  </si>
  <si>
    <t>R2</t>
  </si>
  <si>
    <t xml:space="preserve"> -&gt; 1792.8</t>
  </si>
  <si>
    <t>S2</t>
  </si>
  <si>
    <t xml:space="preserve"> -&gt; 1843.2</t>
  </si>
  <si>
    <t xml:space="preserve"> -&gt; 50.4000000000001</t>
  </si>
  <si>
    <t>A3</t>
  </si>
  <si>
    <t>B3</t>
  </si>
  <si>
    <t>C3</t>
  </si>
  <si>
    <t>D3</t>
  </si>
  <si>
    <t>E3</t>
  </si>
  <si>
    <t xml:space="preserve"> -&gt; Christophe PERUFFO</t>
  </si>
  <si>
    <t>F3</t>
  </si>
  <si>
    <t>G3</t>
  </si>
  <si>
    <t>H3</t>
  </si>
  <si>
    <t>I3</t>
  </si>
  <si>
    <t>J3</t>
  </si>
  <si>
    <t>K3</t>
  </si>
  <si>
    <t>M3</t>
  </si>
  <si>
    <t xml:space="preserve"> -&gt; 15</t>
  </si>
  <si>
    <t>N3</t>
  </si>
  <si>
    <t xml:space="preserve"> -&gt; 13</t>
  </si>
  <si>
    <t>Q3</t>
  </si>
  <si>
    <t>R3</t>
  </si>
  <si>
    <t>S3</t>
  </si>
  <si>
    <t>T3</t>
  </si>
  <si>
    <t>A4</t>
  </si>
  <si>
    <t xml:space="preserve"> -&gt; IT</t>
  </si>
  <si>
    <t>B4</t>
  </si>
  <si>
    <t>C4</t>
  </si>
  <si>
    <t xml:space="preserve"> -&gt; AMPHORAS BEACH</t>
  </si>
  <si>
    <t>D4</t>
  </si>
  <si>
    <t xml:space="preserve"> -&gt; SUPERIOR ROOM</t>
  </si>
  <si>
    <t>E4</t>
  </si>
  <si>
    <t xml:space="preserve"> -&gt; andrea galli ,  francesca pagani ,  viola galli , Re booked on 11-04 with name  francesca pagani</t>
  </si>
  <si>
    <t>F4</t>
  </si>
  <si>
    <t>G4</t>
  </si>
  <si>
    <t xml:space="preserve"> -&gt; 15-Jul-26</t>
  </si>
  <si>
    <t>H4</t>
  </si>
  <si>
    <t>I4</t>
  </si>
  <si>
    <t>J4</t>
  </si>
  <si>
    <t>K4</t>
  </si>
  <si>
    <t>M4</t>
  </si>
  <si>
    <t xml:space="preserve"> -&gt; 10</t>
  </si>
  <si>
    <t>Q4</t>
  </si>
  <si>
    <t>T4</t>
  </si>
  <si>
    <t>A5</t>
  </si>
  <si>
    <t>B5</t>
  </si>
  <si>
    <t>C5</t>
  </si>
  <si>
    <t xml:space="preserve"> -&gt; THE THREE CORNERS FAYROUZ PLAZA BEACH RESORT (RMF)</t>
  </si>
  <si>
    <t>D5</t>
  </si>
  <si>
    <t xml:space="preserve"> -&gt; FAMILY ROOM (Premium Grand Room)</t>
  </si>
  <si>
    <t>E5</t>
  </si>
  <si>
    <t xml:space="preserve"> -&gt; Aleksandra Petreski,Yelinson Alvarez Vidal ,Neven Schaefer ,Nina Evangeline Schaefer</t>
  </si>
  <si>
    <t>F5</t>
  </si>
  <si>
    <t xml:space="preserve"> -&gt; 07-Jul-26</t>
  </si>
  <si>
    <t>G5</t>
  </si>
  <si>
    <t xml:space="preserve"> -&gt; 14-Jul-26</t>
  </si>
  <si>
    <t>H5</t>
  </si>
  <si>
    <t>I5</t>
  </si>
  <si>
    <t>J5</t>
  </si>
  <si>
    <t>K5</t>
  </si>
  <si>
    <t>M5</t>
  </si>
  <si>
    <t>Q5</t>
  </si>
  <si>
    <t>T5</t>
  </si>
  <si>
    <t>A6</t>
  </si>
  <si>
    <t>B6</t>
  </si>
  <si>
    <t>C6</t>
  </si>
  <si>
    <t>D6</t>
  </si>
  <si>
    <t xml:space="preserve"> -&gt; Comfort room</t>
  </si>
  <si>
    <t>E6</t>
  </si>
  <si>
    <t xml:space="preserve"> -&gt; AMANDINE BESNIER , MALORY SOUZA</t>
  </si>
  <si>
    <t>F6</t>
  </si>
  <si>
    <t xml:space="preserve"> -&gt; 30-Jun-26</t>
  </si>
  <si>
    <t>G6</t>
  </si>
  <si>
    <t>H6</t>
  </si>
  <si>
    <t>I6</t>
  </si>
  <si>
    <t>J6</t>
  </si>
  <si>
    <t>Q6</t>
  </si>
  <si>
    <t>R6</t>
  </si>
  <si>
    <t xml:space="preserve"> -&gt; 684.8</t>
  </si>
  <si>
    <t>S6</t>
  </si>
  <si>
    <t xml:space="preserve"> -&gt; 710.4</t>
  </si>
  <si>
    <t>T6</t>
  </si>
  <si>
    <t xml:space="preserve"> -&gt; 25.6</t>
  </si>
  <si>
    <t>A7</t>
  </si>
  <si>
    <t>B7</t>
  </si>
  <si>
    <t>C7</t>
  </si>
  <si>
    <t>D7</t>
  </si>
  <si>
    <t xml:space="preserve"> -&gt; Premium Room</t>
  </si>
  <si>
    <t>E7</t>
  </si>
  <si>
    <t xml:space="preserve"> -&gt; Michael Teppenkamp</t>
  </si>
  <si>
    <t>F7</t>
  </si>
  <si>
    <t xml:space="preserve"> -&gt; 01-Jul-26</t>
  </si>
  <si>
    <t>G7</t>
  </si>
  <si>
    <t xml:space="preserve"> -&gt; 10-Jul-26</t>
  </si>
  <si>
    <t>H7</t>
  </si>
  <si>
    <t xml:space="preserve"> -&gt; 9</t>
  </si>
  <si>
    <t>I7</t>
  </si>
  <si>
    <t>J7</t>
  </si>
  <si>
    <t>Q7</t>
  </si>
  <si>
    <t>R7</t>
  </si>
  <si>
    <t xml:space="preserve"> -&gt; 603</t>
  </si>
  <si>
    <t>S7</t>
  </si>
  <si>
    <t xml:space="preserve"> -&gt; 597.6</t>
  </si>
  <si>
    <t>T7</t>
  </si>
  <si>
    <t xml:space="preserve"> -&gt; -5.39999999999998</t>
  </si>
  <si>
    <t>R4</t>
  </si>
  <si>
    <t>S4</t>
  </si>
  <si>
    <t>R5</t>
  </si>
  <si>
    <t>S5</t>
  </si>
  <si>
    <t>BookingFinance</t>
  </si>
  <si>
    <t>Mat</t>
  </si>
  <si>
    <t xml:space="preserve"> -&gt; 01-Jun-26</t>
  </si>
  <si>
    <t>ExportPDF</t>
  </si>
  <si>
    <t>Materialization</t>
  </si>
  <si>
    <t>LoginFailed</t>
  </si>
  <si>
    <t>invalid credentials</t>
  </si>
  <si>
    <t>2026-06-01..2026-07-31</t>
  </si>
  <si>
    <t>UserDelete</t>
  </si>
  <si>
    <t>Abdo</t>
  </si>
  <si>
    <t>cb60fd81c4356a1a5a96340250246835b67021f685cc88cae3c6fb4584e14f55</t>
  </si>
  <si>
    <t>UserAdd</t>
  </si>
  <si>
    <t>role=Reservations</t>
  </si>
  <si>
    <t>BKG Bank</t>
  </si>
  <si>
    <t>M3:M645</t>
  </si>
  <si>
    <t>(643 cells changed)</t>
  </si>
  <si>
    <t>AA3:AA645</t>
  </si>
  <si>
    <t>AD3:AD645</t>
  </si>
  <si>
    <t>A645</t>
  </si>
  <si>
    <t xml:space="preserve"> -&gt; 23-Jun-26</t>
  </si>
  <si>
    <t>B645</t>
  </si>
  <si>
    <t xml:space="preserve"> -&gt; Sent</t>
  </si>
  <si>
    <t>C645</t>
  </si>
  <si>
    <t xml:space="preserve"> -&gt; Confirmed</t>
  </si>
  <si>
    <t>D645</t>
  </si>
  <si>
    <t xml:space="preserve"> -&gt; JMB</t>
  </si>
  <si>
    <t>E645</t>
  </si>
  <si>
    <t>F645</t>
  </si>
  <si>
    <t xml:space="preserve"> -&gt; 17747878</t>
  </si>
  <si>
    <t>H645</t>
  </si>
  <si>
    <t xml:space="preserve"> -&gt; RMF</t>
  </si>
  <si>
    <t>I645</t>
  </si>
  <si>
    <t xml:space="preserve"> -&gt; THE THREE CORNERS FAYROUZ PLAZA BEACH RESORT</t>
  </si>
  <si>
    <t>J645</t>
  </si>
  <si>
    <t xml:space="preserve"> -&gt; PREMIUM ROOM</t>
  </si>
  <si>
    <t>N645</t>
  </si>
  <si>
    <t xml:space="preserve"> -&gt; DBL</t>
  </si>
  <si>
    <t>K645</t>
  </si>
  <si>
    <t xml:space="preserve"> -&gt; 02-Aug-26</t>
  </si>
  <si>
    <t>L645</t>
  </si>
  <si>
    <t xml:space="preserve"> -&gt; 15-Aug-26</t>
  </si>
  <si>
    <t>O645</t>
  </si>
  <si>
    <t>P645</t>
  </si>
  <si>
    <t>S645</t>
  </si>
  <si>
    <t>T645</t>
  </si>
  <si>
    <t xml:space="preserve"> -&gt; Elvina Jayet</t>
  </si>
  <si>
    <t>Y645</t>
  </si>
  <si>
    <t>Z645</t>
  </si>
  <si>
    <t>AC645</t>
  </si>
  <si>
    <t xml:space="preserve"> -&gt; 1274</t>
  </si>
  <si>
    <t>AE645</t>
  </si>
  <si>
    <t xml:space="preserve"> -&gt; Cash</t>
  </si>
  <si>
    <t>AF645</t>
  </si>
  <si>
    <t xml:space="preserve"> -&gt; 26-Jul-26</t>
  </si>
  <si>
    <t>Update</t>
  </si>
  <si>
    <t>Booking</t>
  </si>
  <si>
    <t>Comment</t>
  </si>
  <si>
    <t>Cost EUR: Test Comment</t>
  </si>
  <si>
    <t>AB645</t>
  </si>
  <si>
    <t xml:space="preserve"> -&gt; 1222</t>
  </si>
  <si>
    <t xml:space="preserve"> -&gt; T/O BKG Ref</t>
  </si>
  <si>
    <t>U1</t>
  </si>
  <si>
    <t xml:space="preserve"> -&gt; 17524233</t>
  </si>
  <si>
    <t>U2</t>
  </si>
  <si>
    <t>A587</t>
  </si>
  <si>
    <t xml:space="preserve"> -&gt; 17-Apr-26</t>
  </si>
  <si>
    <t>B587</t>
  </si>
  <si>
    <t>C587</t>
  </si>
  <si>
    <t>D587</t>
  </si>
  <si>
    <t>E587</t>
  </si>
  <si>
    <t>F587</t>
  </si>
  <si>
    <t>H587</t>
  </si>
  <si>
    <t xml:space="preserve"> -&gt; SSH</t>
  </si>
  <si>
    <t>I587</t>
  </si>
  <si>
    <t>J587</t>
  </si>
  <si>
    <t>N587</t>
  </si>
  <si>
    <t>K587</t>
  </si>
  <si>
    <t>L587</t>
  </si>
  <si>
    <t>O587</t>
  </si>
  <si>
    <t>P587</t>
  </si>
  <si>
    <t>S587</t>
  </si>
  <si>
    <t>T587</t>
  </si>
  <si>
    <t>Z587</t>
  </si>
  <si>
    <t>AB587</t>
  </si>
  <si>
    <t>AC587</t>
  </si>
  <si>
    <t>AE587</t>
  </si>
  <si>
    <t>AF587</t>
  </si>
  <si>
    <t xml:space="preserve"> -&gt; 12-Jul-26</t>
  </si>
  <si>
    <t xml:space="preserve"> -&gt; Elvina Jayet, Simon    Bourcier</t>
  </si>
  <si>
    <t>M646</t>
  </si>
  <si>
    <t>AA646</t>
  </si>
  <si>
    <t>AD646</t>
  </si>
  <si>
    <t>A646</t>
  </si>
  <si>
    <t xml:space="preserve"> -&gt; 25-Jun-26</t>
  </si>
  <si>
    <t>B646</t>
  </si>
  <si>
    <t>C646</t>
  </si>
  <si>
    <t>D646</t>
  </si>
  <si>
    <t>E646</t>
  </si>
  <si>
    <t>F646</t>
  </si>
  <si>
    <t xml:space="preserve"> -&gt; 17753919</t>
  </si>
  <si>
    <t>I646</t>
  </si>
  <si>
    <t>J646</t>
  </si>
  <si>
    <t xml:space="preserve"> -&gt; Superior Room</t>
  </si>
  <si>
    <t>N646</t>
  </si>
  <si>
    <t>K646</t>
  </si>
  <si>
    <t xml:space="preserve"> -&gt; 10-Aug-26</t>
  </si>
  <si>
    <t>L646</t>
  </si>
  <si>
    <t xml:space="preserve"> -&gt; 17-Aug-26</t>
  </si>
  <si>
    <t>O646</t>
  </si>
  <si>
    <t>P646</t>
  </si>
  <si>
    <t>Q646</t>
  </si>
  <si>
    <t>S646</t>
  </si>
  <si>
    <t>ciro baratto ,concetta martucci ,suhayala mia baratto</t>
  </si>
  <si>
    <t>T646</t>
  </si>
  <si>
    <t xml:space="preserve"> -&gt; ciro baratto ,concetta martucci ,suhayala mia baratto</t>
  </si>
  <si>
    <t>U646</t>
  </si>
  <si>
    <t>Y646</t>
  </si>
  <si>
    <t>Z646</t>
  </si>
  <si>
    <t>AB646</t>
  </si>
  <si>
    <t xml:space="preserve"> -&gt; 892</t>
  </si>
  <si>
    <t>AC646</t>
  </si>
  <si>
    <t xml:space="preserve"> -&gt; 934</t>
  </si>
  <si>
    <t>AE646</t>
  </si>
  <si>
    <t>AF646</t>
  </si>
  <si>
    <t xml:space="preserve"> -&gt; 30-Jul-26</t>
  </si>
  <si>
    <t xml:space="preserve"> -&gt; 42</t>
  </si>
  <si>
    <t>Add</t>
  </si>
  <si>
    <t>hotel=AMPHORAS BEACH</t>
  </si>
  <si>
    <t>Cost EUR: spo 15/06</t>
  </si>
  <si>
    <t>M647</t>
  </si>
  <si>
    <t>AA647</t>
  </si>
  <si>
    <t>AD647</t>
  </si>
  <si>
    <t>A647</t>
  </si>
  <si>
    <t xml:space="preserve"> -&gt; 26-Jun-26</t>
  </si>
  <si>
    <t>B647</t>
  </si>
  <si>
    <t>C647</t>
  </si>
  <si>
    <t>D647</t>
  </si>
  <si>
    <t>E647</t>
  </si>
  <si>
    <t>F647</t>
  </si>
  <si>
    <t xml:space="preserve"> -&gt; 17756401</t>
  </si>
  <si>
    <t>H647</t>
  </si>
  <si>
    <t>I647</t>
  </si>
  <si>
    <t xml:space="preserve"> -&gt; AMPHORAS BLU RESORT - ADULTS ONLY</t>
  </si>
  <si>
    <t>J647</t>
  </si>
  <si>
    <t xml:space="preserve"> -&gt; Standard Room</t>
  </si>
  <si>
    <t>N647</t>
  </si>
  <si>
    <t xml:space="preserve"> -&gt; TPL</t>
  </si>
  <si>
    <t>K647</t>
  </si>
  <si>
    <t xml:space="preserve"> -&gt; 03-Sep-26</t>
  </si>
  <si>
    <t>L647</t>
  </si>
  <si>
    <t xml:space="preserve"> -&gt; 13-Sep-26</t>
  </si>
  <si>
    <t>O647</t>
  </si>
  <si>
    <t>P647</t>
  </si>
  <si>
    <t>S647</t>
  </si>
  <si>
    <t xml:space="preserve">Salvatore Astorino,Loredana Macchione ,Carol vivien Astorino    </t>
  </si>
  <si>
    <t>T647</t>
  </si>
  <si>
    <t xml:space="preserve"> -&gt; Salvatore Astorino,Loredana Macchione ,Carol vivien Astorino</t>
  </si>
  <si>
    <t>Y647</t>
  </si>
  <si>
    <t>Z647</t>
  </si>
  <si>
    <t>AB647</t>
  </si>
  <si>
    <t xml:space="preserve"> -&gt; 1230</t>
  </si>
  <si>
    <t>AC647</t>
  </si>
  <si>
    <t xml:space="preserve"> -&gt; 1290</t>
  </si>
  <si>
    <t>AE647</t>
  </si>
  <si>
    <t>AF647</t>
  </si>
  <si>
    <t xml:space="preserve"> -&gt; 26-Aug-26</t>
  </si>
  <si>
    <t xml:space="preserve"> -&gt; 60</t>
  </si>
  <si>
    <t>hotel=AMPHORAS BLU RESORT - ADULTS ONLY</t>
  </si>
  <si>
    <t>M648</t>
  </si>
  <si>
    <t>AA648</t>
  </si>
  <si>
    <t>AD648</t>
  </si>
  <si>
    <t>A648</t>
  </si>
  <si>
    <t>B648</t>
  </si>
  <si>
    <t>C648</t>
  </si>
  <si>
    <t>D648</t>
  </si>
  <si>
    <t>E648</t>
  </si>
  <si>
    <t>F648</t>
  </si>
  <si>
    <t xml:space="preserve"> -&gt; 17757691</t>
  </si>
  <si>
    <t>H648</t>
  </si>
  <si>
    <t>I648</t>
  </si>
  <si>
    <t>J648</t>
  </si>
  <si>
    <t>N648</t>
  </si>
  <si>
    <t xml:space="preserve"> -&gt; SGL</t>
  </si>
  <si>
    <t>K648</t>
  </si>
  <si>
    <t xml:space="preserve"> -&gt; 14-Aug-26</t>
  </si>
  <si>
    <t>L648</t>
  </si>
  <si>
    <t xml:space="preserve"> -&gt; 27-Aug-26</t>
  </si>
  <si>
    <t>O648</t>
  </si>
  <si>
    <t>P648</t>
  </si>
  <si>
    <t>S648</t>
  </si>
  <si>
    <t>Nicoletta Pisoni</t>
  </si>
  <si>
    <t>T648</t>
  </si>
  <si>
    <t xml:space="preserve"> -&gt; Nicoletta Pisoni</t>
  </si>
  <si>
    <t>Y648</t>
  </si>
  <si>
    <t>Z648</t>
  </si>
  <si>
    <t>AB648</t>
  </si>
  <si>
    <t xml:space="preserve"> -&gt; 58*1.5*13+40</t>
  </si>
  <si>
    <t>AC648</t>
  </si>
  <si>
    <t xml:space="preserve"> -&gt; 1197</t>
  </si>
  <si>
    <t>AE648</t>
  </si>
  <si>
    <t>AF648</t>
  </si>
  <si>
    <t xml:space="preserve"> -&gt; 03-Aug-26</t>
  </si>
  <si>
    <t xml:space="preserve"> -&gt; Error 2015</t>
  </si>
  <si>
    <t xml:space="preserve"> -&gt; 1171</t>
  </si>
  <si>
    <t>M649</t>
  </si>
  <si>
    <t>AA649</t>
  </si>
  <si>
    <t>AD649</t>
  </si>
  <si>
    <t>A649</t>
  </si>
  <si>
    <t>B649</t>
  </si>
  <si>
    <t>C649</t>
  </si>
  <si>
    <t>D649</t>
  </si>
  <si>
    <t>E649</t>
  </si>
  <si>
    <t>F649</t>
  </si>
  <si>
    <t xml:space="preserve"> -&gt; 17758397</t>
  </si>
  <si>
    <t>H649</t>
  </si>
  <si>
    <t>I649</t>
  </si>
  <si>
    <t>J649</t>
  </si>
  <si>
    <t xml:space="preserve"> -&gt; Standard Pool View Room</t>
  </si>
  <si>
    <t>N649</t>
  </si>
  <si>
    <t>K649</t>
  </si>
  <si>
    <t xml:space="preserve"> -&gt; 12-Sep-26</t>
  </si>
  <si>
    <t>L649</t>
  </si>
  <si>
    <t xml:space="preserve"> -&gt; 19-Sep-26</t>
  </si>
  <si>
    <t>O649</t>
  </si>
  <si>
    <t>P649</t>
  </si>
  <si>
    <t>S649</t>
  </si>
  <si>
    <t>Stefano Pederzolli</t>
  </si>
  <si>
    <t>T649</t>
  </si>
  <si>
    <t xml:space="preserve"> -&gt; Stefano Pederzolli</t>
  </si>
  <si>
    <t>Y649</t>
  </si>
  <si>
    <t>Z649</t>
  </si>
  <si>
    <t>AB649</t>
  </si>
  <si>
    <t xml:space="preserve"> -&gt; 966</t>
  </si>
  <si>
    <t>AC649</t>
  </si>
  <si>
    <t xml:space="preserve"> -&gt; 1008</t>
  </si>
  <si>
    <t>AE649</t>
  </si>
  <si>
    <t>AF649</t>
  </si>
  <si>
    <t xml:space="preserve"> -&gt; 01-Sep-26</t>
  </si>
  <si>
    <t>H646</t>
  </si>
  <si>
    <t>DOUBLE - PROMO ROOM </t>
  </si>
  <si>
    <t>Natalia TBA  , Nagy</t>
  </si>
  <si>
    <t>Elvina Jayet</t>
  </si>
  <si>
    <t>A11</t>
  </si>
  <si>
    <t xml:space="preserve"> -&gt; 18-Feb-25</t>
  </si>
  <si>
    <t>B11</t>
  </si>
  <si>
    <t>C11</t>
  </si>
  <si>
    <t>D11</t>
  </si>
  <si>
    <t>E11</t>
  </si>
  <si>
    <t>G11</t>
  </si>
  <si>
    <t xml:space="preserve"> -&gt; 20242936</t>
  </si>
  <si>
    <t>H11</t>
  </si>
  <si>
    <t xml:space="preserve"> -&gt; HRG</t>
  </si>
  <si>
    <t>I11</t>
  </si>
  <si>
    <t xml:space="preserve"> -&gt; TITANIC PALACE RESORT &amp; AQUA PARK</t>
  </si>
  <si>
    <t>J11</t>
  </si>
  <si>
    <t xml:space="preserve"> -&gt; SWIM UP ROOM</t>
  </si>
  <si>
    <t>N11</t>
  </si>
  <si>
    <t>K11</t>
  </si>
  <si>
    <t xml:space="preserve"> -&gt; 27-Nov-25</t>
  </si>
  <si>
    <t>L11</t>
  </si>
  <si>
    <t xml:space="preserve"> -&gt; 04-Dec-25</t>
  </si>
  <si>
    <t>O11</t>
  </si>
  <si>
    <t>P11</t>
  </si>
  <si>
    <t>S11</t>
  </si>
  <si>
    <t>T11</t>
  </si>
  <si>
    <t xml:space="preserve"> -&gt; MRS June Akrigg , Robert Akrigg</t>
  </si>
  <si>
    <t>W11</t>
  </si>
  <si>
    <t>Z11</t>
  </si>
  <si>
    <t xml:space="preserve"> -&gt; 1066.6</t>
  </si>
  <si>
    <t>AB11</t>
  </si>
  <si>
    <t>AC11</t>
  </si>
  <si>
    <t>AE11</t>
  </si>
  <si>
    <t>AF11</t>
  </si>
  <si>
    <t xml:space="preserve"> -&gt; 20-Nov-25</t>
  </si>
  <si>
    <t>AG11</t>
  </si>
  <si>
    <t xml:space="preserve"> -&gt; 75% E.B on 10/10/2025</t>
  </si>
  <si>
    <t>AN11</t>
  </si>
  <si>
    <t xml:space="preserve"> -&gt; sent name MRS June</t>
  </si>
  <si>
    <t xml:space="preserve"> -&gt; Swim Up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</si>
</sst>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9">
    <numFmt numFmtId="7" formatCode="&quot;$&quot;#,##0.00_);\(&quot;$&quot;#,##0.00\)"/>
    <numFmt numFmtId="8" formatCode="&quot;$&quot;#,##0.00_);[Red]\(&quot;$&quot;#,##0.00\)"/>
    <numFmt numFmtId="164" formatCode="[$-409]dd/mmm/yy;@"/>
    <numFmt numFmtId="165" formatCode="[$€-2]\ #,##0.00_);[Red]\([$€-2]\ #,##0.00\)"/>
    <numFmt numFmtId="166" formatCode="h:mm;@"/>
    <numFmt numFmtId="167" formatCode="[$-409]dd\-mmm\-yy;@"/>
    <numFmt numFmtId="168" formatCode="[$-F400]h:mm:ss\ AM/PM"/>
    <numFmt numFmtId="169" formatCode="_(* #,##0.000_);_(* \(#,##0.000\);_(* &quot;-&quot;???_);_(@_)"/>
    <numFmt numFmtId="170" formatCode="dd/mmm/yyyy"/>
    <numFmt numFmtId="171" formatCode="0.0"/>
    <numFmt numFmtId="172" formatCode="&quot;$&quot;#,##0;\(&quot;$&quot;#,##0\);\-"/>
    <numFmt numFmtId="173" formatCode="0.0%;\(0.0%\);\-"/>
    <numFmt numFmtId="174" formatCode="\€#,##0;\(\€#,##0\);\-"/>
    <numFmt numFmtId="175" formatCode="\€#,##0.0;\(\€#,##0.0\);\-"/>
    <numFmt numFmtId="176" formatCode="\€#,##0;[Red]\(\€#,##0\);\-"/>
    <numFmt numFmtId="177" formatCode="0.0%;[Red]\(0.0%\);\-"/>
    <numFmt numFmtId="178" formatCode="0&quot; d&quot;"/>
    <numFmt numFmtId="179" formatCode="mmm\ yyyy"/>
    <numFmt numFmtId="180" formatCode="dd/mm/yyyy"/>
    <numFmt numFmtId="181" formatCode="&quot;$&quot;#,##0.00"/>
    <numFmt numFmtId="182" formatCode="[$€-2]\ #,##0.00"/>
    <numFmt numFmtId="183" formatCode="\€#,##0.00"/>
    <numFmt numFmtId="184" formatCode="dd\-mmm\-yy"/>
    <numFmt numFmtId="185" formatCode="0.0%"/>
    <numFmt numFmtId="186" formatCode="_([$$-409]* #,##0.00_);_([$$-409]* \(#,##0.00\);_([$$-409]* &quot;-&quot;??_);_(@_)"/>
    <numFmt numFmtId="187" formatCode="yyyy\-mm\-dd\ hh:mm:ss"/>
    <numFmt numFmtId="188" formatCode="[$-409]dd/mmm/yy"/>
    <numFmt numFmtId="189" formatCode="_-[$$-409]* #,##0.00_ ;_-[$$-409]* \-#,##0.00\ ;_-[$$-409]* &quot;-&quot;??_ ;_-@_ "/>
    <numFmt numFmtId="190" formatCode="_([$€-2]\ * #,##0.00_);_([$€-2]\ * \(#,##0.00\);_([$€-2]\ * &quot;-&quot;??_);_(@_)"/>
  </numFmts>
  <fonts count="55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20"/>
      <color rgb="FFFFFF00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rgb="FFFFFFFF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rgb="FF1F497D"/>
      <name val="Calibri"/>
      <family val="2"/>
    </font>
    <font>
      <sz val="11"/>
      <color rgb="FF2F5496"/>
      <name val="Calibri"/>
      <family val="2"/>
    </font>
    <font>
      <sz val="11"/>
      <color rgb="FF1F497D"/>
      <name val="Calibri"/>
    </font>
    <font>
      <sz val="11"/>
      <color rgb="FF000000"/>
      <name val="Calibri"/>
    </font>
    <font>
      <sz val="12"/>
      <color theme="1"/>
      <name val="Helvetica"/>
      <family val="2"/>
      <charset val="1"/>
    </font>
    <font>
      <sz val="11"/>
      <color rgb="FF000000"/>
      <name val="Calibri"/>
      <family val="2"/>
      <charset val="1"/>
    </font>
    <font>
      <b/>
      <sz val="11"/>
      <color rgb="FFFFFFFF"/>
      <name val="Calibri"/>
    </font>
    <font>
      <b/>
      <sz val="20"/>
      <color rgb="FFFFFF00"/>
      <name val="Calibri"/>
    </font>
    <font>
      <b/>
      <sz val="18"/>
      <color rgb="FFFFFFFF"/>
      <name val="Calibri"/>
      <family val="2"/>
      <scheme val="minor"/>
    </font>
    <font>
      <i/>
      <sz val="10"/>
      <color rgb="FFFFFFFF"/>
      <name val="Calibri"/>
      <family val="2"/>
      <scheme val="minor"/>
    </font>
    <font>
      <b/>
      <sz val="11"/>
      <color rgb="FFFFFFFF"/>
      <name val="Calibri"/>
      <family val="2"/>
      <scheme val="minor"/>
    </font>
    <font>
      <i/>
      <sz val="9"/>
      <color rgb="FF595959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b/>
      <sz val="20"/>
      <color rgb="FFFFFFFF"/>
      <name val="Segoe UI"/>
    </font>
    <font>
      <b/>
      <sz val="11"/>
      <color rgb="FFFFFFFF"/>
      <name val="Segoe UI"/>
    </font>
    <font>
      <b/>
      <i/>
      <sz val="9"/>
      <color rgb="FFFFFFFF"/>
      <name val="Segoe UI"/>
    </font>
    <font>
      <b/>
      <sz val="11"/>
      <color rgb="FF92400E"/>
      <name val="Segoe UI"/>
    </font>
    <font>
      <b/>
      <sz val="12"/>
      <color rgb="FFFFFFFF"/>
      <name val="Segoe UI"/>
    </font>
    <font>
      <b/>
      <sz val="10"/>
      <color rgb="FFFFFFFF"/>
      <name val="Segoe UI"/>
    </font>
    <font>
      <i/>
      <sz val="10"/>
      <color rgb="FFBFDBFE"/>
      <name val="Segoe UI"/>
    </font>
    <font>
      <b/>
      <sz val="11"/>
      <color rgb="FF475569"/>
      <name val="Segoe UI"/>
    </font>
    <font>
      <b/>
      <sz val="9"/>
      <color rgb="FF475569"/>
      <name val="Segoe UI"/>
    </font>
    <font>
      <b/>
      <sz val="14"/>
      <color rgb="FF0F172A"/>
      <name val="Segoe UI"/>
    </font>
    <font>
      <b/>
      <sz val="9"/>
      <color rgb="FF0F172A"/>
      <name val="Segoe UI"/>
    </font>
    <font>
      <b/>
      <sz val="14"/>
      <color rgb="FF047857"/>
      <name val="Segoe UI"/>
    </font>
    <font>
      <b/>
      <sz val="14"/>
      <color rgb="FFB91C1C"/>
      <name val="Segoe UI"/>
    </font>
    <font>
      <b/>
      <sz val="14"/>
      <color rgb="FFB45309"/>
      <name val="Segoe UI"/>
    </font>
    <font>
      <b/>
      <sz val="13"/>
      <color rgb="FF0F172A"/>
      <name val="Segoe UI"/>
    </font>
    <font>
      <b/>
      <sz val="13"/>
      <color rgb="FF047857"/>
      <name val="Segoe UI"/>
    </font>
    <font>
      <b/>
      <sz val="13"/>
      <color rgb="FFB91C1C"/>
      <name val="Segoe UI"/>
    </font>
    <font>
      <sz val="10"/>
      <color rgb="FF0F172A"/>
      <name val="Segoe UI"/>
    </font>
    <font>
      <sz val="9"/>
      <color rgb="FF0F172A"/>
      <name val="Segoe UI"/>
    </font>
    <font>
      <b/>
      <sz val="10"/>
      <color rgb="FF0F172A"/>
      <name val="Segoe UI"/>
    </font>
    <font>
      <b/>
      <sz val="10"/>
      <color rgb="FFFFFFFF"/>
      <name val="Calibri"/>
      <family val="2"/>
      <scheme val="minor"/>
    </font>
    <font>
      <b/>
      <sz val="11"/>
      <color rgb="FFFFFFFF"/>
      <name val="Calibri"/>
      <family val="2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9"/>
      <color rgb="FFFFFFFF"/>
      <name val="Calibri"/>
      <family val="2"/>
      <scheme val="minor"/>
    </font>
    <font>
      <b/>
      <sz val="30"/>
      <color rgb="FFFFFFFF"/>
      <name val="Calibri"/>
      <family val="2"/>
      <scheme val="minor"/>
    </font>
    <font>
      <sz val="14"/>
      <color rgb="FFCBD5E1"/>
      <name val="Calibri"/>
      <family val="2"/>
      <scheme val="minor"/>
    </font>
  </fonts>
  <fills count="2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theme="4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0D0D0D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theme="9" tint="-0.249977111117893"/>
        <bgColor auto="1"/>
      </patternFill>
    </fill>
    <fill>
      <patternFill patternType="solid">
        <fgColor rgb="FF0070C0"/>
        <bgColor rgb="FF000000"/>
      </patternFill>
    </fill>
    <fill>
      <patternFill patternType="solid">
        <fgColor rgb="FFFF0000"/>
        <bgColor rgb="FF000000"/>
      </patternFill>
    </fill>
    <fill>
      <patternFill patternType="solid">
        <fgColor rgb="FF065F46"/>
        <bgColor indexed="64"/>
      </patternFill>
    </fill>
    <fill>
      <patternFill patternType="solid">
        <fgColor rgb="FF0B1B33"/>
        <bgColor indexed="64"/>
      </patternFill>
    </fill>
    <fill>
      <patternFill patternType="solid">
        <fgColor rgb="FF1E3A8A"/>
        <bgColor indexed="64"/>
      </patternFill>
    </fill>
    <fill>
      <patternFill patternType="solid">
        <fgColor rgb="FF1E40AF"/>
        <bgColor indexed="64"/>
      </patternFill>
    </fill>
    <fill>
      <patternFill patternType="solid">
        <fgColor rgb="FFF8FAFC"/>
        <bgColor indexed="64"/>
      </patternFill>
    </fill>
    <fill>
      <patternFill patternType="solid">
        <fgColor rgb="FFFEF3C7"/>
        <bgColor indexed="64"/>
      </patternFill>
    </fill>
    <fill>
      <patternFill patternType="solid">
        <fgColor rgb="FFE2E8F0"/>
        <bgColor indexed="64"/>
      </patternFill>
    </fill>
    <fill>
      <patternFill patternType="solid">
        <fgColor rgb="FF0F172A"/>
        <bgColor indexed="64"/>
      </patternFill>
    </fill>
    <fill>
      <patternFill patternType="solid">
        <fgColor rgb="FF9F1239"/>
        <bgColor indexed="64"/>
      </patternFill>
    </fill>
    <fill>
      <patternFill patternType="solid">
        <fgColor rgb="FFFECACA"/>
        <bgColor indexed="64"/>
      </patternFill>
    </fill>
    <fill>
      <patternFill patternType="solid">
        <fgColor rgb="FF191919"/>
        <bgColor indexed="64"/>
      </patternFill>
    </fill>
    <fill>
      <patternFill patternType="solid">
        <fgColor theme="0" tint="-0.14999847407452621"/>
        <bgColor indexed="64"/>
      </patternFill>
    </fill>
  </fills>
  <borders count="45">
    <border>
      <left/>
      <right/>
      <top/>
      <bottom/>
      <diagonal/>
    </border>
    <border>
      <left style="dotted">
        <color theme="9" tint="0.39991454817346722"/>
      </left>
      <right style="dotted">
        <color theme="9" tint="0.39991454817346722"/>
      </right>
      <top style="dotted">
        <color theme="9" tint="0.39991454817346722"/>
      </top>
      <bottom/>
      <diagonal/>
    </border>
    <border>
      <left style="dotted">
        <color theme="9" tint="0.39991454817346722"/>
      </left>
      <right style="dotted">
        <color theme="9" tint="0.39991454817346722"/>
      </right>
      <top/>
      <bottom/>
      <diagonal/>
    </border>
    <border>
      <left style="dotted">
        <color theme="9" tint="0.39991454817346722"/>
      </left>
      <right style="dotted">
        <color theme="9" tint="0.39991454817346722"/>
      </right>
      <top style="dotted">
        <color theme="9" tint="0.39991454817346722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dotted">
        <color theme="9" tint="0.39991454817346722"/>
      </left>
      <right style="dotted">
        <color theme="9" tint="0.39991454817346722"/>
      </right>
      <top/>
      <bottom style="thin">
        <color theme="4" tint="0.39997558519241921"/>
      </bottom>
      <diagonal/>
    </border>
    <border>
      <left style="dotted">
        <color rgb="FFA9D08E"/>
      </left>
      <right style="dotted">
        <color rgb="FFA9D08E"/>
      </right>
      <top style="dotted">
        <color rgb="FFA9D08E"/>
      </top>
      <bottom style="thin">
        <color rgb="FF9BC2E6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9BC2E6"/>
      </left>
      <right/>
      <top style="dotted">
        <color rgb="FFA9D08E"/>
      </top>
      <bottom/>
      <diagonal/>
    </border>
    <border>
      <left/>
      <right/>
      <top style="dotted">
        <color rgb="FFA9D08E"/>
      </top>
      <bottom/>
      <diagonal/>
    </border>
    <border>
      <left/>
      <right style="dotted">
        <color rgb="FFA9D08E"/>
      </right>
      <top style="dotted">
        <color rgb="FFA9D08E"/>
      </top>
      <bottom/>
      <diagonal/>
    </border>
    <border>
      <left/>
      <right/>
      <top style="thin">
        <color rgb="FF9BC2E6"/>
      </top>
      <bottom/>
      <diagonal/>
    </border>
    <border>
      <left/>
      <right/>
      <top style="dotted">
        <color theme="9" tint="0.39991454817346722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334155"/>
      </top>
      <bottom/>
      <diagonal/>
    </border>
    <border>
      <left/>
      <right/>
      <top/>
      <bottom style="thin">
        <color rgb="FF334155"/>
      </bottom>
      <diagonal/>
    </border>
    <border>
      <left style="thin">
        <color rgb="FF334155"/>
      </left>
      <right/>
      <top style="thin">
        <color rgb="FF334155"/>
      </top>
      <bottom/>
      <diagonal/>
    </border>
    <border>
      <left style="thin">
        <color rgb="FF334155"/>
      </left>
      <right/>
      <top/>
      <bottom/>
      <diagonal/>
    </border>
    <border>
      <left style="thin">
        <color rgb="FF334155"/>
      </left>
      <right/>
      <top/>
      <bottom style="thin">
        <color rgb="FF334155"/>
      </bottom>
      <diagonal/>
    </border>
    <border>
      <left/>
      <right style="thin">
        <color rgb="FF334155"/>
      </right>
      <top style="thin">
        <color rgb="FF334155"/>
      </top>
      <bottom/>
      <diagonal/>
    </border>
    <border>
      <left/>
      <right style="thin">
        <color rgb="FF334155"/>
      </right>
      <top/>
      <bottom/>
      <diagonal/>
    </border>
    <border>
      <left/>
      <right style="thin">
        <color rgb="FF334155"/>
      </right>
      <top/>
      <bottom style="thin">
        <color rgb="FF334155"/>
      </bottom>
      <diagonal/>
    </border>
    <border>
      <left style="thin">
        <color rgb="FFB4B4B4"/>
      </left>
      <right style="thin">
        <color rgb="FFB4B4B4"/>
      </right>
      <top style="thin">
        <color rgb="FFB4B4B4"/>
      </top>
      <bottom style="thin">
        <color rgb="FFB4B4B4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</borders>
  <cellStyleXfs count="1">
    <xf numFmtId="0" fontId="0" fillId="0" borderId="0"/>
  </cellStyleXfs>
  <cellXfs count="369">
    <xf numFmtId="0" fontId="0" fillId="0" borderId="0" xfId="0"/>
    <xf numFmtId="0" fontId="0" fillId="2" borderId="0" xfId="0" applyFill="1"/>
    <xf numFmtId="164" fontId="0" fillId="2" borderId="0" xfId="0" applyNumberFormat="1" applyFill="1"/>
    <xf numFmtId="0" fontId="2" fillId="2" borderId="0" xfId="0" applyFont="1" applyFill="1"/>
    <xf numFmtId="0" fontId="2" fillId="3" borderId="0" xfId="0" applyFont="1" applyFill="1"/>
    <xf numFmtId="0" fontId="0" fillId="2" borderId="1" xfId="0" applyFill="1" applyBorder="1"/>
    <xf numFmtId="0" fontId="0" fillId="2" borderId="2" xfId="0" applyFill="1" applyBorder="1"/>
    <xf numFmtId="0" fontId="0" fillId="2" borderId="0" xfId="0" applyFill="1" applyAlignment="1">
      <alignment horizontal="center"/>
    </xf>
    <xf numFmtId="0" fontId="0" fillId="2" borderId="3" xfId="0" applyFill="1" applyBorder="1"/>
    <xf numFmtId="0" fontId="0" fillId="6" borderId="2" xfId="0" applyFill="1" applyBorder="1"/>
    <xf numFmtId="0" fontId="2" fillId="2" borderId="0" xfId="0" applyFont="1" applyFill="1" applyAlignment="1">
      <alignment horizontal="center" vertical="center"/>
    </xf>
    <xf numFmtId="0" fontId="2" fillId="2" borderId="4" xfId="0" applyFont="1" applyFill="1" applyBorder="1"/>
    <xf numFmtId="0" fontId="0" fillId="2" borderId="4" xfId="0" applyFill="1" applyBorder="1" applyAlignment="1">
      <alignment horizontal="center" vertical="center"/>
    </xf>
    <xf numFmtId="0" fontId="2" fillId="5" borderId="4" xfId="0" applyFont="1" applyFill="1" applyBorder="1"/>
    <xf numFmtId="0" fontId="2" fillId="0" borderId="4" xfId="0" applyFont="1" applyBorder="1"/>
    <xf numFmtId="0" fontId="2" fillId="2" borderId="4" xfId="0" applyFont="1" applyFill="1" applyBorder="1" applyAlignment="1">
      <alignment horizontal="left"/>
    </xf>
    <xf numFmtId="0" fontId="2" fillId="2" borderId="5" xfId="0" applyFont="1" applyFill="1" applyBorder="1" applyAlignment="1">
      <alignment horizontal="center"/>
    </xf>
    <xf numFmtId="0" fontId="2" fillId="2" borderId="6" xfId="0" applyFont="1" applyFill="1" applyBorder="1" applyAlignment="1">
      <alignment horizontal="center"/>
    </xf>
    <xf numFmtId="0" fontId="2" fillId="3" borderId="6" xfId="0" applyFont="1" applyFill="1" applyBorder="1"/>
    <xf numFmtId="10" fontId="2" fillId="2" borderId="6" xfId="0" applyNumberFormat="1" applyFont="1" applyFill="1" applyBorder="1" applyAlignment="1">
      <alignment horizontal="center"/>
    </xf>
    <xf numFmtId="0" fontId="2" fillId="7" borderId="7" xfId="0" applyFont="1" applyFill="1" applyBorder="1"/>
    <xf numFmtId="0" fontId="2" fillId="2" borderId="5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2" fillId="2" borderId="7" xfId="0" applyFont="1" applyFill="1" applyBorder="1" applyAlignment="1">
      <alignment horizontal="left" vertical="center"/>
    </xf>
    <xf numFmtId="0" fontId="2" fillId="2" borderId="8" xfId="0" applyFont="1" applyFill="1" applyBorder="1"/>
    <xf numFmtId="0" fontId="2" fillId="2" borderId="0" xfId="0" applyFont="1" applyFill="1" applyAlignment="1">
      <alignment horizontal="center"/>
    </xf>
    <xf numFmtId="0" fontId="2" fillId="7" borderId="9" xfId="0" applyFont="1" applyFill="1" applyBorder="1"/>
    <xf numFmtId="0" fontId="2" fillId="2" borderId="8" xfId="0" applyFont="1" applyFill="1" applyBorder="1" applyAlignment="1">
      <alignment horizontal="center" vertical="center"/>
    </xf>
    <xf numFmtId="0" fontId="2" fillId="2" borderId="9" xfId="0" applyFont="1" applyFill="1" applyBorder="1" applyAlignment="1">
      <alignment horizontal="left" vertical="center"/>
    </xf>
    <xf numFmtId="0" fontId="2" fillId="2" borderId="8" xfId="0" applyFont="1" applyFill="1" applyBorder="1" applyAlignment="1">
      <alignment horizontal="center" vertical="center" wrapText="1"/>
    </xf>
    <xf numFmtId="0" fontId="2" fillId="2" borderId="0" xfId="0" applyFont="1" applyFill="1" applyAlignment="1">
      <alignment horizontal="center" vertical="center" wrapText="1"/>
    </xf>
    <xf numFmtId="0" fontId="2" fillId="2" borderId="9" xfId="0" applyFont="1" applyFill="1" applyBorder="1" applyAlignment="1">
      <alignment horizontal="left" vertical="center" wrapText="1"/>
    </xf>
    <xf numFmtId="0" fontId="2" fillId="3" borderId="10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2" fillId="3" borderId="11" xfId="0" applyFont="1" applyFill="1" applyBorder="1"/>
    <xf numFmtId="0" fontId="2" fillId="3" borderId="12" xfId="0" applyFont="1" applyFill="1" applyBorder="1" applyAlignment="1">
      <alignment horizontal="left"/>
    </xf>
    <xf numFmtId="0" fontId="2" fillId="2" borderId="10" xfId="0" applyFont="1" applyFill="1" applyBorder="1" applyAlignment="1">
      <alignment horizontal="center" vertical="center" wrapText="1"/>
    </xf>
    <xf numFmtId="0" fontId="2" fillId="2" borderId="11" xfId="0" applyFont="1" applyFill="1" applyBorder="1" applyAlignment="1">
      <alignment horizontal="center" vertical="center" wrapText="1"/>
    </xf>
    <xf numFmtId="0" fontId="2" fillId="2" borderId="12" xfId="0" applyFont="1" applyFill="1" applyBorder="1" applyAlignment="1">
      <alignment horizontal="left" vertical="center"/>
    </xf>
    <xf numFmtId="0" fontId="2" fillId="2" borderId="13" xfId="0" applyFont="1" applyFill="1" applyBorder="1" applyAlignment="1">
      <alignment horizontal="center"/>
    </xf>
    <xf numFmtId="10" fontId="2" fillId="2" borderId="0" xfId="0" applyNumberFormat="1" applyFont="1" applyFill="1" applyAlignment="1">
      <alignment horizontal="center"/>
    </xf>
    <xf numFmtId="0" fontId="2" fillId="7" borderId="14" xfId="0" applyFont="1" applyFill="1" applyBorder="1"/>
    <xf numFmtId="0" fontId="2" fillId="2" borderId="15" xfId="0" applyFont="1" applyFill="1" applyBorder="1"/>
    <xf numFmtId="0" fontId="2" fillId="2" borderId="14" xfId="0" applyFont="1" applyFill="1" applyBorder="1"/>
    <xf numFmtId="0" fontId="2" fillId="2" borderId="15" xfId="0" applyFont="1" applyFill="1" applyBorder="1" applyAlignment="1">
      <alignment horizontal="center"/>
    </xf>
    <xf numFmtId="0" fontId="6" fillId="4" borderId="0" xfId="0" applyFont="1" applyFill="1"/>
    <xf numFmtId="0" fontId="6" fillId="4" borderId="14" xfId="0" applyFont="1" applyFill="1" applyBorder="1"/>
    <xf numFmtId="0" fontId="2" fillId="3" borderId="16" xfId="0" applyFont="1" applyFill="1" applyBorder="1" applyAlignment="1">
      <alignment horizontal="center"/>
    </xf>
    <xf numFmtId="0" fontId="2" fillId="3" borderId="17" xfId="0" applyFont="1" applyFill="1" applyBorder="1" applyAlignment="1">
      <alignment horizontal="center"/>
    </xf>
    <xf numFmtId="0" fontId="2" fillId="3" borderId="17" xfId="0" applyFont="1" applyFill="1" applyBorder="1"/>
    <xf numFmtId="0" fontId="2" fillId="3" borderId="18" xfId="0" applyFont="1" applyFill="1" applyBorder="1" applyAlignment="1">
      <alignment horizontal="center"/>
    </xf>
    <xf numFmtId="0" fontId="2" fillId="2" borderId="16" xfId="0" applyFont="1" applyFill="1" applyBorder="1"/>
    <xf numFmtId="0" fontId="2" fillId="2" borderId="17" xfId="0" applyFont="1" applyFill="1" applyBorder="1"/>
    <xf numFmtId="0" fontId="2" fillId="2" borderId="18" xfId="0" applyFont="1" applyFill="1" applyBorder="1"/>
    <xf numFmtId="0" fontId="2" fillId="2" borderId="19" xfId="0" applyFont="1" applyFill="1" applyBorder="1" applyAlignment="1">
      <alignment horizontal="center"/>
    </xf>
    <xf numFmtId="0" fontId="2" fillId="2" borderId="20" xfId="0" applyFont="1" applyFill="1" applyBorder="1" applyAlignment="1">
      <alignment horizontal="center"/>
    </xf>
    <xf numFmtId="0" fontId="2" fillId="3" borderId="20" xfId="0" applyFont="1" applyFill="1" applyBorder="1"/>
    <xf numFmtId="10" fontId="2" fillId="2" borderId="20" xfId="0" applyNumberFormat="1" applyFont="1" applyFill="1" applyBorder="1" applyAlignment="1">
      <alignment horizontal="center"/>
    </xf>
    <xf numFmtId="0" fontId="2" fillId="7" borderId="21" xfId="0" applyFont="1" applyFill="1" applyBorder="1"/>
    <xf numFmtId="0" fontId="0" fillId="0" borderId="4" xfId="0" applyBorder="1" applyAlignment="1">
      <alignment horizontal="left" vertical="center"/>
    </xf>
    <xf numFmtId="0" fontId="0" fillId="2" borderId="4" xfId="0" applyFill="1" applyBorder="1"/>
    <xf numFmtId="0" fontId="0" fillId="0" borderId="4" xfId="0" applyBorder="1"/>
    <xf numFmtId="0" fontId="2" fillId="2" borderId="19" xfId="0" applyFont="1" applyFill="1" applyBorder="1"/>
    <xf numFmtId="0" fontId="2" fillId="2" borderId="20" xfId="0" applyFont="1" applyFill="1" applyBorder="1"/>
    <xf numFmtId="0" fontId="2" fillId="2" borderId="21" xfId="0" applyFont="1" applyFill="1" applyBorder="1"/>
    <xf numFmtId="0" fontId="7" fillId="2" borderId="0" xfId="0" applyFont="1" applyFill="1"/>
    <xf numFmtId="14" fontId="7" fillId="2" borderId="0" xfId="0" applyNumberFormat="1" applyFont="1" applyFill="1" applyAlignment="1">
      <alignment textRotation="45"/>
    </xf>
    <xf numFmtId="0" fontId="8" fillId="2" borderId="0" xfId="0" applyFont="1" applyFill="1"/>
    <xf numFmtId="164" fontId="2" fillId="2" borderId="0" xfId="0" applyNumberFormat="1" applyFont="1" applyFill="1"/>
    <xf numFmtId="164" fontId="2" fillId="2" borderId="0" xfId="0" applyNumberFormat="1" applyFont="1" applyFill="1" applyAlignment="1">
      <alignment horizontal="center" vertical="center"/>
    </xf>
    <xf numFmtId="0" fontId="7" fillId="8" borderId="0" xfId="0" applyFont="1" applyFill="1" applyAlignment="1">
      <alignment horizontal="center" vertical="center"/>
    </xf>
    <xf numFmtId="0" fontId="6" fillId="9" borderId="4" xfId="0" applyFont="1" applyFill="1" applyBorder="1" applyAlignment="1">
      <alignment horizontal="left"/>
    </xf>
    <xf numFmtId="0" fontId="6" fillId="9" borderId="4" xfId="0" applyFont="1" applyFill="1" applyBorder="1" applyAlignment="1">
      <alignment horizontal="center" vertical="center"/>
    </xf>
    <xf numFmtId="0" fontId="2" fillId="10" borderId="0" xfId="0" applyFont="1" applyFill="1" applyAlignment="1">
      <alignment horizontal="center"/>
    </xf>
    <xf numFmtId="0" fontId="2" fillId="3" borderId="17" xfId="0" applyFont="1" applyFill="1" applyBorder="1" applyAlignment="1">
      <alignment horizontal="left"/>
    </xf>
    <xf numFmtId="0" fontId="9" fillId="2" borderId="0" xfId="0" applyFont="1" applyFill="1"/>
    <xf numFmtId="0" fontId="9" fillId="2" borderId="0" xfId="0" applyFont="1" applyFill="1" applyAlignment="1">
      <alignment horizontal="center"/>
    </xf>
    <xf numFmtId="0" fontId="9" fillId="2" borderId="0" xfId="0" applyFont="1" applyFill="1" applyAlignment="1">
      <alignment horizontal="left"/>
    </xf>
    <xf numFmtId="0" fontId="9" fillId="2" borderId="0" xfId="0" applyFont="1" applyFill="1" applyAlignment="1">
      <alignment horizontal="center" vertical="center"/>
    </xf>
    <xf numFmtId="0" fontId="9" fillId="2" borderId="0" xfId="0" applyFont="1" applyFill="1" applyAlignment="1">
      <alignment horizontal="left" vertical="center"/>
    </xf>
    <xf numFmtId="1" fontId="9" fillId="2" borderId="0" xfId="0" applyNumberFormat="1" applyFont="1" applyFill="1" applyAlignment="1">
      <alignment horizontal="center"/>
    </xf>
    <xf numFmtId="1" fontId="9" fillId="2" borderId="0" xfId="0" applyNumberFormat="1" applyFont="1" applyFill="1" applyAlignment="1">
      <alignment horizontal="left"/>
    </xf>
    <xf numFmtId="164" fontId="9" fillId="2" borderId="0" xfId="0" applyNumberFormat="1" applyFont="1" applyFill="1" applyAlignment="1">
      <alignment horizontal="center" vertical="center"/>
    </xf>
    <xf numFmtId="0" fontId="10" fillId="11" borderId="20" xfId="0" applyFont="1" applyFill="1" applyBorder="1" applyAlignment="1">
      <alignment horizontal="center" vertical="center"/>
    </xf>
    <xf numFmtId="0" fontId="10" fillId="11" borderId="20" xfId="0" applyFont="1" applyFill="1" applyBorder="1" applyAlignment="1">
      <alignment horizontal="left" vertical="center"/>
    </xf>
    <xf numFmtId="0" fontId="11" fillId="12" borderId="0" xfId="0" applyFont="1" applyFill="1" applyAlignment="1">
      <alignment horizontal="center"/>
    </xf>
    <xf numFmtId="0" fontId="11" fillId="12" borderId="0" xfId="0" applyFont="1" applyFill="1" applyAlignment="1">
      <alignment horizontal="left"/>
    </xf>
    <xf numFmtId="0" fontId="11" fillId="12" borderId="0" xfId="0" applyFont="1" applyFill="1" applyAlignment="1">
      <alignment horizontal="center" vertical="center"/>
    </xf>
    <xf numFmtId="0" fontId="11" fillId="12" borderId="0" xfId="0" applyFont="1" applyFill="1"/>
    <xf numFmtId="0" fontId="11" fillId="12" borderId="0" xfId="0" applyFont="1" applyFill="1" applyAlignment="1">
      <alignment horizontal="left" vertical="center"/>
    </xf>
    <xf numFmtId="167" fontId="11" fillId="12" borderId="22" xfId="0" applyNumberFormat="1" applyFont="1" applyFill="1" applyBorder="1" applyAlignment="1">
      <alignment horizontal="center" vertical="center"/>
    </xf>
    <xf numFmtId="0" fontId="13" fillId="12" borderId="0" xfId="0" applyFont="1" applyFill="1" applyAlignment="1">
      <alignment horizontal="center"/>
    </xf>
    <xf numFmtId="0" fontId="13" fillId="12" borderId="0" xfId="0" applyFont="1" applyFill="1"/>
    <xf numFmtId="0" fontId="10" fillId="11" borderId="19" xfId="0" applyFont="1" applyFill="1" applyBorder="1" applyAlignment="1">
      <alignment horizontal="center" vertical="center"/>
    </xf>
    <xf numFmtId="0" fontId="10" fillId="11" borderId="22" xfId="0" applyFont="1" applyFill="1" applyBorder="1" applyAlignment="1">
      <alignment horizontal="center" vertical="center"/>
    </xf>
    <xf numFmtId="168" fontId="0" fillId="2" borderId="0" xfId="0" applyNumberFormat="1" applyFill="1" applyAlignment="1">
      <alignment horizontal="right"/>
    </xf>
    <xf numFmtId="0" fontId="14" fillId="2" borderId="0" xfId="0" applyFont="1" applyFill="1" applyAlignment="1">
      <alignment horizontal="left" vertical="top"/>
    </xf>
    <xf numFmtId="0" fontId="0" fillId="6" borderId="0" xfId="0" applyFill="1"/>
    <xf numFmtId="168" fontId="0" fillId="6" borderId="0" xfId="0" applyNumberFormat="1" applyFill="1" applyAlignment="1">
      <alignment horizontal="right"/>
    </xf>
    <xf numFmtId="0" fontId="0" fillId="2" borderId="23" xfId="0" applyFill="1" applyBorder="1"/>
    <xf numFmtId="0" fontId="14" fillId="6" borderId="0" xfId="0" applyFont="1" applyFill="1" applyAlignment="1">
      <alignment horizontal="left" vertical="top"/>
    </xf>
    <xf numFmtId="0" fontId="15" fillId="2" borderId="0" xfId="0" applyFont="1" applyFill="1" applyAlignment="1">
      <alignment horizontal="left" vertical="top"/>
    </xf>
    <xf numFmtId="0" fontId="1" fillId="4" borderId="0" xfId="0" applyFont="1" applyFill="1" applyAlignment="1">
      <alignment horizontal="center" vertical="center"/>
    </xf>
    <xf numFmtId="0" fontId="1" fillId="13" borderId="0" xfId="0" applyFont="1" applyFill="1" applyAlignment="1">
      <alignment horizontal="center" vertical="center"/>
    </xf>
    <xf numFmtId="0" fontId="16" fillId="2" borderId="0" xfId="0" applyFont="1" applyFill="1" applyAlignment="1">
      <alignment horizontal="left" vertical="top"/>
    </xf>
    <xf numFmtId="167" fontId="0" fillId="2" borderId="0" xfId="0" applyNumberFormat="1" applyFill="1"/>
    <xf numFmtId="167" fontId="0" fillId="6" borderId="0" xfId="0" applyNumberFormat="1" applyFill="1"/>
    <xf numFmtId="0" fontId="17" fillId="12" borderId="24" xfId="0" applyFont="1" applyFill="1" applyBorder="1"/>
    <xf numFmtId="166" fontId="9" fillId="2" borderId="0" xfId="0" applyNumberFormat="1" applyFont="1" applyFill="1" applyAlignment="1">
      <alignment horizontal="center" vertical="center"/>
    </xf>
    <xf numFmtId="1" fontId="9" fillId="2" borderId="0" xfId="0" applyNumberFormat="1" applyFont="1" applyFill="1" applyAlignment="1">
      <alignment horizontal="left" vertical="center"/>
    </xf>
    <xf numFmtId="1" fontId="12" fillId="2" borderId="0" xfId="0" applyNumberFormat="1" applyFont="1" applyFill="1" applyAlignment="1">
      <alignment horizontal="center" vertical="center"/>
    </xf>
    <xf numFmtId="1" fontId="12" fillId="2" borderId="0" xfId="0" applyNumberFormat="1" applyFont="1" applyFill="1" applyAlignment="1">
      <alignment horizontal="center"/>
    </xf>
    <xf numFmtId="0" fontId="18" fillId="0" borderId="0" xfId="0" applyFont="1"/>
    <xf numFmtId="164" fontId="0" fillId="2" borderId="0" xfId="0" applyNumberFormat="1" applyFill="1" applyAlignment="1">
      <alignment horizontal="center"/>
    </xf>
    <xf numFmtId="1" fontId="0" fillId="2" borderId="0" xfId="0" applyNumberFormat="1" applyFill="1"/>
    <xf numFmtId="8" fontId="0" fillId="2" borderId="0" xfId="0" applyNumberFormat="1" applyFill="1" applyAlignment="1">
      <alignment horizontal="center"/>
    </xf>
    <xf numFmtId="165" fontId="0" fillId="2" borderId="0" xfId="0" applyNumberFormat="1" applyFill="1" applyAlignment="1">
      <alignment horizontal="center"/>
    </xf>
    <xf numFmtId="1" fontId="5" fillId="2" borderId="0" xfId="0" applyNumberFormat="1" applyFont="1" applyFill="1"/>
    <xf numFmtId="14" fontId="19" fillId="0" borderId="0" xfId="0" applyNumberFormat="1" applyFont="1"/>
    <xf numFmtId="167" fontId="0" fillId="2" borderId="25" xfId="0" applyNumberFormat="1" applyFill="1" applyBorder="1" applyAlignment="1">
      <alignment horizontal="center"/>
    </xf>
    <xf numFmtId="0" fontId="0" fillId="0" borderId="25" xfId="0" applyBorder="1"/>
    <xf numFmtId="0" fontId="20" fillId="14" borderId="26" xfId="0" applyFont="1" applyFill="1" applyBorder="1" applyAlignment="1">
      <alignment horizontal="center" vertical="center" wrapText="1"/>
    </xf>
    <xf numFmtId="0" fontId="20" fillId="14" borderId="27" xfId="0" applyFont="1" applyFill="1" applyBorder="1" applyAlignment="1">
      <alignment horizontal="center" vertical="center" wrapText="1"/>
    </xf>
    <xf numFmtId="0" fontId="20" fillId="14" borderId="27" xfId="0" applyFont="1" applyFill="1" applyBorder="1" applyAlignment="1">
      <alignment horizontal="center" vertical="center"/>
    </xf>
    <xf numFmtId="0" fontId="20" fillId="14" borderId="28" xfId="0" applyFont="1" applyFill="1" applyBorder="1" applyAlignment="1">
      <alignment horizontal="center" vertical="center"/>
    </xf>
    <xf numFmtId="0" fontId="20" fillId="14" borderId="29" xfId="0" applyFont="1" applyFill="1" applyBorder="1" applyAlignment="1">
      <alignment horizontal="center" vertical="center"/>
    </xf>
    <xf numFmtId="0" fontId="21" fillId="15" borderId="27" xfId="0" applyFont="1" applyFill="1" applyBorder="1" applyAlignment="1">
      <alignment horizontal="center" vertical="center"/>
    </xf>
    <xf numFmtId="0" fontId="21" fillId="15" borderId="28" xfId="0" applyFont="1" applyFill="1" applyBorder="1" applyAlignment="1">
      <alignment horizontal="center" vertical="center"/>
    </xf>
    <xf numFmtId="0" fontId="3" fillId="4" borderId="30" xfId="0" applyFont="1" applyFill="1" applyBorder="1" applyAlignment="1">
      <alignment horizontal="center" vertical="center"/>
    </xf>
    <xf numFmtId="167" fontId="0" fillId="2" borderId="32" xfId="0" applyNumberFormat="1" applyFill="1" applyBorder="1" applyAlignment="1">
      <alignment horizontal="center"/>
    </xf>
    <xf numFmtId="0" fontId="20" fillId="14" borderId="27" xfId="0" applyFont="1" applyFill="1" applyBorder="1" applyAlignment="1">
      <alignment vertical="center"/>
    </xf>
    <xf numFmtId="8" fontId="0" fillId="2" borderId="0" xfId="0" applyNumberFormat="1" applyFill="1"/>
    <xf numFmtId="0" fontId="0" fillId="0" borderId="2" xfId="0" applyBorder="1"/>
    <xf numFmtId="10" fontId="0" fillId="2" borderId="0" xfId="0" applyNumberFormat="1" applyFill="1" applyAlignment="1">
      <alignment horizontal="center"/>
    </xf>
    <xf numFmtId="0" fontId="0" fillId="6" borderId="0" xfId="0" applyFill="1" applyAlignment="1">
      <alignment horizontal="center"/>
    </xf>
    <xf numFmtId="8" fontId="0" fillId="6" borderId="0" xfId="0" applyNumberFormat="1" applyFill="1" applyAlignment="1">
      <alignment horizontal="center"/>
    </xf>
    <xf numFmtId="0" fontId="0" fillId="0" borderId="25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31" xfId="0" applyBorder="1" applyAlignment="1">
      <alignment horizontal="center"/>
    </xf>
    <xf numFmtId="14" fontId="0" fillId="0" borderId="25" xfId="0" applyNumberFormat="1" applyBorder="1" applyAlignment="1">
      <alignment horizontal="center"/>
    </xf>
    <xf numFmtId="14" fontId="0" fillId="0" borderId="32" xfId="0" applyNumberFormat="1" applyBorder="1" applyAlignment="1">
      <alignment horizontal="center"/>
    </xf>
    <xf numFmtId="14" fontId="0" fillId="0" borderId="31" xfId="0" applyNumberFormat="1" applyBorder="1" applyAlignment="1">
      <alignment horizontal="center"/>
    </xf>
    <xf numFmtId="0" fontId="0" fillId="0" borderId="33" xfId="0" applyBorder="1" applyAlignment="1">
      <alignment horizontal="center"/>
    </xf>
    <xf numFmtId="169" fontId="0" fillId="0" borderId="25" xfId="0" applyNumberFormat="1" applyBorder="1"/>
    <xf numFmtId="0" fontId="0" fillId="0" borderId="32" xfId="0" applyBorder="1"/>
    <xf numFmtId="169" fontId="0" fillId="0" borderId="32" xfId="0" applyNumberFormat="1" applyBorder="1"/>
    <xf numFmtId="14" fontId="0" fillId="0" borderId="25" xfId="0" applyNumberFormat="1" applyBorder="1"/>
    <xf numFmtId="14" fontId="0" fillId="0" borderId="32" xfId="0" applyNumberFormat="1" applyBorder="1"/>
    <xf numFmtId="0" fontId="0" fillId="17" borderId="0" xfId="0" applyFill="1"/>
    <xf numFmtId="0" fontId="24" fillId="17" borderId="0" xfId="0" applyFont="1" applyFill="1"/>
    <xf numFmtId="0" fontId="5" fillId="17" borderId="0" xfId="0" applyFont="1" applyFill="1"/>
    <xf numFmtId="0" fontId="5" fillId="17" borderId="0" xfId="0" applyFont="1" applyFill="1" applyAlignment="1">
      <alignment horizontal="center"/>
    </xf>
    <xf numFmtId="179" fontId="0" fillId="17" borderId="0" xfId="0" applyNumberFormat="1" applyFill="1" applyAlignment="1">
      <alignment horizontal="center"/>
    </xf>
    <xf numFmtId="176" fontId="0" fillId="17" borderId="0" xfId="0" applyNumberFormat="1" applyFill="1" applyAlignment="1">
      <alignment horizontal="right"/>
    </xf>
    <xf numFmtId="179" fontId="0" fillId="17" borderId="0" xfId="0" applyNumberFormat="1" applyFill="1"/>
    <xf numFmtId="176" fontId="0" fillId="17" borderId="0" xfId="0" applyNumberFormat="1" applyFill="1"/>
    <xf numFmtId="170" fontId="31" fillId="21" borderId="0" xfId="0" applyNumberFormat="1" applyFont="1" applyFill="1" applyAlignment="1">
      <alignment horizontal="center"/>
    </xf>
    <xf numFmtId="0" fontId="31" fillId="21" borderId="0" xfId="0" applyFont="1" applyFill="1" applyAlignment="1">
      <alignment horizontal="center"/>
    </xf>
    <xf numFmtId="0" fontId="0" fillId="20" borderId="0" xfId="0" applyFill="1"/>
    <xf numFmtId="0" fontId="36" fillId="22" borderId="0" xfId="0" applyFont="1" applyFill="1" applyAlignment="1">
      <alignment horizontal="center"/>
    </xf>
    <xf numFmtId="3" fontId="45" fillId="20" borderId="0" xfId="0" applyNumberFormat="1" applyFont="1" applyFill="1" applyAlignment="1">
      <alignment horizontal="center"/>
    </xf>
    <xf numFmtId="174" fontId="45" fillId="20" borderId="0" xfId="0" applyNumberFormat="1" applyFont="1" applyFill="1" applyAlignment="1">
      <alignment horizontal="right"/>
    </xf>
    <xf numFmtId="176" fontId="45" fillId="20" borderId="0" xfId="0" applyNumberFormat="1" applyFont="1" applyFill="1" applyAlignment="1">
      <alignment horizontal="right"/>
    </xf>
    <xf numFmtId="0" fontId="46" fillId="20" borderId="0" xfId="0" applyFont="1" applyFill="1"/>
    <xf numFmtId="3" fontId="46" fillId="20" borderId="0" xfId="0" applyNumberFormat="1" applyFont="1" applyFill="1" applyAlignment="1">
      <alignment horizontal="center"/>
    </xf>
    <xf numFmtId="174" fontId="46" fillId="20" borderId="0" xfId="0" applyNumberFormat="1" applyFont="1" applyFill="1" applyAlignment="1">
      <alignment horizontal="right"/>
    </xf>
    <xf numFmtId="176" fontId="46" fillId="20" borderId="0" xfId="0" applyNumberFormat="1" applyFont="1" applyFill="1" applyAlignment="1">
      <alignment horizontal="right"/>
    </xf>
    <xf numFmtId="0" fontId="46" fillId="22" borderId="0" xfId="0" applyFont="1" applyFill="1"/>
    <xf numFmtId="3" fontId="46" fillId="22" borderId="0" xfId="0" applyNumberFormat="1" applyFont="1" applyFill="1" applyAlignment="1">
      <alignment horizontal="center"/>
    </xf>
    <xf numFmtId="174" fontId="46" fillId="22" borderId="0" xfId="0" applyNumberFormat="1" applyFont="1" applyFill="1" applyAlignment="1">
      <alignment horizontal="right"/>
    </xf>
    <xf numFmtId="176" fontId="46" fillId="22" borderId="0" xfId="0" applyNumberFormat="1" applyFont="1" applyFill="1" applyAlignment="1">
      <alignment horizontal="right"/>
    </xf>
    <xf numFmtId="170" fontId="46" fillId="20" borderId="0" xfId="0" applyNumberFormat="1" applyFont="1" applyFill="1" applyAlignment="1">
      <alignment horizontal="center"/>
    </xf>
    <xf numFmtId="0" fontId="46" fillId="20" borderId="0" xfId="0" applyFont="1" applyFill="1" applyAlignment="1">
      <alignment horizontal="center"/>
    </xf>
    <xf numFmtId="170" fontId="46" fillId="25" borderId="0" xfId="0" applyNumberFormat="1" applyFont="1" applyFill="1" applyAlignment="1">
      <alignment horizontal="center"/>
    </xf>
    <xf numFmtId="0" fontId="46" fillId="25" borderId="0" xfId="0" applyFont="1" applyFill="1" applyAlignment="1">
      <alignment horizontal="center"/>
    </xf>
    <xf numFmtId="0" fontId="46" fillId="25" borderId="0" xfId="0" applyFont="1" applyFill="1"/>
    <xf numFmtId="177" fontId="45" fillId="20" borderId="0" xfId="0" applyNumberFormat="1" applyFont="1" applyFill="1" applyAlignment="1">
      <alignment horizontal="center"/>
    </xf>
    <xf numFmtId="0" fontId="45" fillId="20" borderId="0" xfId="0" applyFont="1" applyFill="1"/>
    <xf numFmtId="3" fontId="45" fillId="22" borderId="0" xfId="0" applyNumberFormat="1" applyFont="1" applyFill="1" applyAlignment="1">
      <alignment horizontal="center"/>
    </xf>
    <xf numFmtId="174" fontId="45" fillId="22" borderId="0" xfId="0" applyNumberFormat="1" applyFont="1" applyFill="1" applyAlignment="1">
      <alignment horizontal="right"/>
    </xf>
    <xf numFmtId="176" fontId="45" fillId="22" borderId="0" xfId="0" applyNumberFormat="1" applyFont="1" applyFill="1" applyAlignment="1">
      <alignment horizontal="right"/>
    </xf>
    <xf numFmtId="177" fontId="45" fillId="22" borderId="0" xfId="0" applyNumberFormat="1" applyFont="1" applyFill="1" applyAlignment="1">
      <alignment horizontal="center"/>
    </xf>
    <xf numFmtId="0" fontId="45" fillId="22" borderId="0" xfId="0" applyFont="1" applyFill="1"/>
    <xf numFmtId="0" fontId="31" fillId="21" borderId="35" xfId="0" applyFont="1" applyFill="1" applyBorder="1" applyAlignment="1">
      <alignment horizontal="center"/>
    </xf>
    <xf numFmtId="0" fontId="35" fillId="20" borderId="37" xfId="0" applyFont="1" applyFill="1" applyBorder="1"/>
    <xf numFmtId="0" fontId="35" fillId="20" borderId="38" xfId="0" applyFont="1" applyFill="1" applyBorder="1"/>
    <xf numFmtId="0" fontId="0" fillId="20" borderId="40" xfId="0" applyFill="1" applyBorder="1"/>
    <xf numFmtId="0" fontId="36" fillId="22" borderId="37" xfId="0" applyFont="1" applyFill="1" applyBorder="1" applyAlignment="1">
      <alignment horizontal="center"/>
    </xf>
    <xf numFmtId="3" fontId="37" fillId="20" borderId="38" xfId="0" applyNumberFormat="1" applyFont="1" applyFill="1" applyBorder="1" applyAlignment="1">
      <alignment horizontal="center" vertical="center"/>
    </xf>
    <xf numFmtId="3" fontId="39" fillId="20" borderId="35" xfId="0" applyNumberFormat="1" applyFont="1" applyFill="1" applyBorder="1" applyAlignment="1">
      <alignment horizontal="center" vertical="center"/>
    </xf>
    <xf numFmtId="3" fontId="40" fillId="20" borderId="35" xfId="0" applyNumberFormat="1" applyFont="1" applyFill="1" applyBorder="1" applyAlignment="1">
      <alignment horizontal="center" vertical="center"/>
    </xf>
    <xf numFmtId="3" fontId="41" fillId="20" borderId="35" xfId="0" applyNumberFormat="1" applyFont="1" applyFill="1" applyBorder="1" applyAlignment="1">
      <alignment horizontal="center" vertical="center"/>
    </xf>
    <xf numFmtId="3" fontId="37" fillId="20" borderId="35" xfId="0" applyNumberFormat="1" applyFont="1" applyFill="1" applyBorder="1" applyAlignment="1">
      <alignment horizontal="center" vertical="center"/>
    </xf>
    <xf numFmtId="171" fontId="37" fillId="20" borderId="35" xfId="0" applyNumberFormat="1" applyFont="1" applyFill="1" applyBorder="1" applyAlignment="1">
      <alignment horizontal="center" vertical="center"/>
    </xf>
    <xf numFmtId="0" fontId="36" fillId="22" borderId="40" xfId="0" applyFont="1" applyFill="1" applyBorder="1" applyAlignment="1">
      <alignment horizontal="center"/>
    </xf>
    <xf numFmtId="0" fontId="38" fillId="20" borderId="41" xfId="0" applyFont="1" applyFill="1" applyBorder="1" applyAlignment="1">
      <alignment horizontal="center" vertical="center"/>
    </xf>
    <xf numFmtId="0" fontId="0" fillId="20" borderId="35" xfId="0" applyFill="1" applyBorder="1"/>
    <xf numFmtId="172" fontId="42" fillId="20" borderId="35" xfId="0" applyNumberFormat="1" applyFont="1" applyFill="1" applyBorder="1" applyAlignment="1">
      <alignment horizontal="center" vertical="center"/>
    </xf>
    <xf numFmtId="172" fontId="43" fillId="20" borderId="35" xfId="0" applyNumberFormat="1" applyFont="1" applyFill="1" applyBorder="1" applyAlignment="1">
      <alignment horizontal="center" vertical="center"/>
    </xf>
    <xf numFmtId="173" fontId="42" fillId="20" borderId="35" xfId="0" applyNumberFormat="1" applyFont="1" applyFill="1" applyBorder="1" applyAlignment="1">
      <alignment horizontal="center" vertical="center"/>
    </xf>
    <xf numFmtId="174" fontId="42" fillId="20" borderId="35" xfId="0" applyNumberFormat="1" applyFont="1" applyFill="1" applyBorder="1" applyAlignment="1">
      <alignment horizontal="center" vertical="center"/>
    </xf>
    <xf numFmtId="174" fontId="43" fillId="20" borderId="35" xfId="0" applyNumberFormat="1" applyFont="1" applyFill="1" applyBorder="1" applyAlignment="1">
      <alignment horizontal="center" vertical="center"/>
    </xf>
    <xf numFmtId="175" fontId="42" fillId="20" borderId="35" xfId="0" applyNumberFormat="1" applyFont="1" applyFill="1" applyBorder="1" applyAlignment="1">
      <alignment horizontal="center" vertical="center"/>
    </xf>
    <xf numFmtId="3" fontId="43" fillId="20" borderId="35" xfId="0" applyNumberFormat="1" applyFont="1" applyFill="1" applyBorder="1" applyAlignment="1">
      <alignment horizontal="center" vertical="center"/>
    </xf>
    <xf numFmtId="3" fontId="44" fillId="20" borderId="35" xfId="0" applyNumberFormat="1" applyFont="1" applyFill="1" applyBorder="1" applyAlignment="1">
      <alignment horizontal="center" vertical="center"/>
    </xf>
    <xf numFmtId="172" fontId="42" fillId="20" borderId="38" xfId="0" applyNumberFormat="1" applyFont="1" applyFill="1" applyBorder="1" applyAlignment="1">
      <alignment horizontal="center" vertical="center"/>
    </xf>
    <xf numFmtId="173" fontId="44" fillId="20" borderId="41" xfId="0" applyNumberFormat="1" applyFont="1" applyFill="1" applyBorder="1" applyAlignment="1">
      <alignment horizontal="center" vertical="center"/>
    </xf>
    <xf numFmtId="3" fontId="33" fillId="23" borderId="35" xfId="0" applyNumberFormat="1" applyFont="1" applyFill="1" applyBorder="1" applyAlignment="1">
      <alignment horizontal="center"/>
    </xf>
    <xf numFmtId="174" fontId="33" fillId="23" borderId="35" xfId="0" applyNumberFormat="1" applyFont="1" applyFill="1" applyBorder="1" applyAlignment="1">
      <alignment horizontal="right"/>
    </xf>
    <xf numFmtId="176" fontId="33" fillId="23" borderId="35" xfId="0" applyNumberFormat="1" applyFont="1" applyFill="1" applyBorder="1" applyAlignment="1">
      <alignment horizontal="right"/>
    </xf>
    <xf numFmtId="0" fontId="45" fillId="20" borderId="37" xfId="0" applyFont="1" applyFill="1" applyBorder="1"/>
    <xf numFmtId="0" fontId="33" fillId="23" borderId="38" xfId="0" applyFont="1" applyFill="1" applyBorder="1"/>
    <xf numFmtId="177" fontId="45" fillId="20" borderId="40" xfId="0" applyNumberFormat="1" applyFont="1" applyFill="1" applyBorder="1" applyAlignment="1">
      <alignment horizontal="center"/>
    </xf>
    <xf numFmtId="177" fontId="33" fillId="23" borderId="41" xfId="0" applyNumberFormat="1" applyFont="1" applyFill="1" applyBorder="1" applyAlignment="1">
      <alignment horizontal="center"/>
    </xf>
    <xf numFmtId="176" fontId="45" fillId="20" borderId="40" xfId="0" applyNumberFormat="1" applyFont="1" applyFill="1" applyBorder="1" applyAlignment="1">
      <alignment horizontal="right"/>
    </xf>
    <xf numFmtId="176" fontId="33" fillId="23" borderId="41" xfId="0" applyNumberFormat="1" applyFont="1" applyFill="1" applyBorder="1" applyAlignment="1">
      <alignment horizontal="right"/>
    </xf>
    <xf numFmtId="0" fontId="46" fillId="22" borderId="35" xfId="0" applyFont="1" applyFill="1" applyBorder="1"/>
    <xf numFmtId="3" fontId="46" fillId="22" borderId="35" xfId="0" applyNumberFormat="1" applyFont="1" applyFill="1" applyBorder="1" applyAlignment="1">
      <alignment horizontal="center"/>
    </xf>
    <xf numFmtId="174" fontId="46" fillId="22" borderId="35" xfId="0" applyNumberFormat="1" applyFont="1" applyFill="1" applyBorder="1" applyAlignment="1">
      <alignment horizontal="right"/>
    </xf>
    <xf numFmtId="176" fontId="46" fillId="22" borderId="35" xfId="0" applyNumberFormat="1" applyFont="1" applyFill="1" applyBorder="1" applyAlignment="1">
      <alignment horizontal="right"/>
    </xf>
    <xf numFmtId="1" fontId="46" fillId="22" borderId="37" xfId="0" applyNumberFormat="1" applyFont="1" applyFill="1" applyBorder="1" applyAlignment="1">
      <alignment horizontal="center"/>
    </xf>
    <xf numFmtId="1" fontId="46" fillId="20" borderId="37" xfId="0" applyNumberFormat="1" applyFont="1" applyFill="1" applyBorder="1" applyAlignment="1">
      <alignment horizontal="center"/>
    </xf>
    <xf numFmtId="1" fontId="46" fillId="22" borderId="38" xfId="0" applyNumberFormat="1" applyFont="1" applyFill="1" applyBorder="1" applyAlignment="1">
      <alignment horizontal="center"/>
    </xf>
    <xf numFmtId="177" fontId="46" fillId="22" borderId="40" xfId="0" applyNumberFormat="1" applyFont="1" applyFill="1" applyBorder="1" applyAlignment="1">
      <alignment horizontal="center"/>
    </xf>
    <xf numFmtId="177" fontId="46" fillId="20" borderId="40" xfId="0" applyNumberFormat="1" applyFont="1" applyFill="1" applyBorder="1" applyAlignment="1">
      <alignment horizontal="center"/>
    </xf>
    <xf numFmtId="177" fontId="46" fillId="22" borderId="41" xfId="0" applyNumberFormat="1" applyFont="1" applyFill="1" applyBorder="1" applyAlignment="1">
      <alignment horizontal="center"/>
    </xf>
    <xf numFmtId="170" fontId="46" fillId="25" borderId="35" xfId="0" applyNumberFormat="1" applyFont="1" applyFill="1" applyBorder="1" applyAlignment="1">
      <alignment horizontal="center"/>
    </xf>
    <xf numFmtId="0" fontId="46" fillId="25" borderId="35" xfId="0" applyFont="1" applyFill="1" applyBorder="1" applyAlignment="1">
      <alignment horizontal="center"/>
    </xf>
    <xf numFmtId="0" fontId="46" fillId="25" borderId="35" xfId="0" applyFont="1" applyFill="1" applyBorder="1"/>
    <xf numFmtId="178" fontId="38" fillId="25" borderId="37" xfId="0" applyNumberFormat="1" applyFont="1" applyFill="1" applyBorder="1" applyAlignment="1">
      <alignment horizontal="center"/>
    </xf>
    <xf numFmtId="178" fontId="38" fillId="20" borderId="37" xfId="0" applyNumberFormat="1" applyFont="1" applyFill="1" applyBorder="1" applyAlignment="1">
      <alignment horizontal="center"/>
    </xf>
    <xf numFmtId="178" fontId="38" fillId="25" borderId="38" xfId="0" applyNumberFormat="1" applyFont="1" applyFill="1" applyBorder="1" applyAlignment="1">
      <alignment horizontal="center"/>
    </xf>
    <xf numFmtId="174" fontId="46" fillId="25" borderId="40" xfId="0" applyNumberFormat="1" applyFont="1" applyFill="1" applyBorder="1" applyAlignment="1">
      <alignment horizontal="right"/>
    </xf>
    <xf numFmtId="174" fontId="46" fillId="20" borderId="40" xfId="0" applyNumberFormat="1" applyFont="1" applyFill="1" applyBorder="1" applyAlignment="1">
      <alignment horizontal="right"/>
    </xf>
    <xf numFmtId="174" fontId="46" fillId="25" borderId="41" xfId="0" applyNumberFormat="1" applyFont="1" applyFill="1" applyBorder="1" applyAlignment="1">
      <alignment horizontal="right"/>
    </xf>
    <xf numFmtId="0" fontId="45" fillId="20" borderId="35" xfId="0" applyFont="1" applyFill="1" applyBorder="1"/>
    <xf numFmtId="179" fontId="47" fillId="22" borderId="37" xfId="0" applyNumberFormat="1" applyFont="1" applyFill="1" applyBorder="1" applyAlignment="1">
      <alignment horizontal="center"/>
    </xf>
    <xf numFmtId="179" fontId="47" fillId="20" borderId="37" xfId="0" applyNumberFormat="1" applyFont="1" applyFill="1" applyBorder="1" applyAlignment="1">
      <alignment horizontal="center"/>
    </xf>
    <xf numFmtId="0" fontId="45" fillId="22" borderId="37" xfId="0" applyFont="1" applyFill="1" applyBorder="1"/>
    <xf numFmtId="0" fontId="45" fillId="20" borderId="38" xfId="0" applyFont="1" applyFill="1" applyBorder="1"/>
    <xf numFmtId="171" fontId="45" fillId="22" borderId="40" xfId="0" applyNumberFormat="1" applyFont="1" applyFill="1" applyBorder="1" applyAlignment="1">
      <alignment horizontal="center"/>
    </xf>
    <xf numFmtId="171" fontId="45" fillId="20" borderId="40" xfId="0" applyNumberFormat="1" applyFont="1" applyFill="1" applyBorder="1" applyAlignment="1">
      <alignment horizontal="center"/>
    </xf>
    <xf numFmtId="0" fontId="45" fillId="22" borderId="40" xfId="0" applyFont="1" applyFill="1" applyBorder="1"/>
    <xf numFmtId="0" fontId="45" fillId="20" borderId="40" xfId="0" applyFont="1" applyFill="1" applyBorder="1"/>
    <xf numFmtId="0" fontId="45" fillId="20" borderId="41" xfId="0" applyFont="1" applyFill="1" applyBorder="1"/>
    <xf numFmtId="0" fontId="2" fillId="0" borderId="42" xfId="0" applyFont="1" applyBorder="1" applyAlignment="1">
      <alignment vertical="center"/>
    </xf>
    <xf numFmtId="0" fontId="2" fillId="0" borderId="42" xfId="0" applyFont="1" applyBorder="1" applyAlignment="1">
      <alignment vertical="center" wrapText="1"/>
    </xf>
    <xf numFmtId="0" fontId="12" fillId="0" borderId="42" xfId="0" applyFont="1" applyBorder="1" applyAlignment="1">
      <alignment vertical="center"/>
    </xf>
    <xf numFmtId="164" fontId="0" fillId="0" borderId="0" xfId="0" applyNumberFormat="1"/>
    <xf numFmtId="164" fontId="2" fillId="0" borderId="42" xfId="0" applyNumberFormat="1" applyFont="1" applyBorder="1" applyAlignment="1">
      <alignment horizontal="center" vertical="center"/>
    </xf>
    <xf numFmtId="164" fontId="0" fillId="0" borderId="0" xfId="0" applyNumberFormat="1" applyAlignment="1">
      <alignment horizontal="center"/>
    </xf>
    <xf numFmtId="0" fontId="2" fillId="0" borderId="42" xfId="0" applyFont="1" applyBorder="1" applyAlignment="1">
      <alignment horizontal="center" vertical="center"/>
    </xf>
    <xf numFmtId="4" fontId="0" fillId="0" borderId="0" xfId="0" applyNumberFormat="1"/>
    <xf numFmtId="180" fontId="0" fillId="0" borderId="0" xfId="0" applyNumberFormat="1"/>
    <xf numFmtId="181" fontId="0" fillId="0" borderId="0" xfId="0" applyNumberFormat="1"/>
    <xf numFmtId="182" fontId="0" fillId="0" borderId="0" xfId="0" applyNumberFormat="1"/>
    <xf numFmtId="180" fontId="12" fillId="0" borderId="42" xfId="0" applyNumberFormat="1" applyFont="1" applyBorder="1" applyAlignment="1">
      <alignment vertical="center"/>
    </xf>
    <xf numFmtId="164" fontId="12" fillId="0" borderId="42" xfId="0" applyNumberFormat="1" applyFont="1" applyBorder="1" applyAlignment="1">
      <alignment vertical="center"/>
    </xf>
    <xf numFmtId="181" fontId="2" fillId="0" borderId="42" xfId="0" applyNumberFormat="1" applyFont="1" applyBorder="1" applyAlignment="1">
      <alignment vertical="center"/>
    </xf>
    <xf numFmtId="183" fontId="2" fillId="0" borderId="42" xfId="0" applyNumberFormat="1" applyFont="1" applyBorder="1" applyAlignment="1">
      <alignment vertical="center"/>
    </xf>
    <xf numFmtId="184" fontId="2" fillId="0" borderId="42" xfId="0" applyNumberFormat="1" applyFont="1" applyBorder="1" applyAlignment="1">
      <alignment vertical="center"/>
    </xf>
    <xf numFmtId="0" fontId="48" fillId="23" borderId="42" xfId="0" applyFont="1" applyFill="1" applyBorder="1" applyAlignment="1">
      <alignment horizontal="center" vertical="center"/>
    </xf>
    <xf numFmtId="181" fontId="12" fillId="0" borderId="42" xfId="0" applyNumberFormat="1" applyFont="1" applyBorder="1" applyAlignment="1">
      <alignment vertical="center"/>
    </xf>
    <xf numFmtId="183" fontId="12" fillId="0" borderId="42" xfId="0" applyNumberFormat="1" applyFont="1" applyBorder="1" applyAlignment="1">
      <alignment vertical="center"/>
    </xf>
    <xf numFmtId="184" fontId="12" fillId="0" borderId="42" xfId="0" applyNumberFormat="1" applyFont="1" applyBorder="1" applyAlignment="1">
      <alignment vertical="center"/>
    </xf>
    <xf numFmtId="0" fontId="49" fillId="14" borderId="0" xfId="0" applyFont="1" applyFill="1" applyAlignment="1">
      <alignment horizontal="center" vertical="center"/>
    </xf>
    <xf numFmtId="184" fontId="0" fillId="0" borderId="0" xfId="0" applyNumberFormat="1"/>
    <xf numFmtId="183" fontId="0" fillId="0" borderId="0" xfId="0" applyNumberFormat="1"/>
    <xf numFmtId="185" fontId="0" fillId="0" borderId="0" xfId="0" applyNumberFormat="1"/>
    <xf numFmtId="0" fontId="50" fillId="0" borderId="42" xfId="0" applyFont="1" applyBorder="1" applyAlignment="1">
      <alignment vertical="center"/>
    </xf>
    <xf numFmtId="184" fontId="50" fillId="0" borderId="42" xfId="0" applyNumberFormat="1" applyFont="1" applyBorder="1" applyAlignment="1">
      <alignment vertical="center"/>
    </xf>
    <xf numFmtId="181" fontId="50" fillId="0" borderId="42" xfId="0" applyNumberFormat="1" applyFont="1" applyBorder="1" applyAlignment="1">
      <alignment vertical="center"/>
    </xf>
    <xf numFmtId="183" fontId="50" fillId="0" borderId="42" xfId="0" applyNumberFormat="1" applyFont="1" applyBorder="1" applyAlignment="1">
      <alignment vertical="center"/>
    </xf>
    <xf numFmtId="185" fontId="50" fillId="0" borderId="42" xfId="0" applyNumberFormat="1" applyFont="1" applyBorder="1" applyAlignment="1">
      <alignment vertical="center"/>
    </xf>
    <xf numFmtId="0" fontId="51" fillId="0" borderId="42" xfId="0" applyFont="1" applyBorder="1" applyAlignment="1">
      <alignment vertical="center"/>
    </xf>
    <xf numFmtId="0" fontId="52" fillId="26" borderId="42" xfId="0" applyFont="1" applyFill="1" applyBorder="1" applyAlignment="1">
      <alignment horizontal="center" vertical="center"/>
    </xf>
    <xf numFmtId="184" fontId="51" fillId="0" borderId="42" xfId="0" applyNumberFormat="1" applyFont="1" applyBorder="1" applyAlignment="1">
      <alignment vertical="center"/>
    </xf>
    <xf numFmtId="181" fontId="51" fillId="0" borderId="42" xfId="0" applyNumberFormat="1" applyFont="1" applyBorder="1" applyAlignment="1">
      <alignment vertical="center"/>
    </xf>
    <xf numFmtId="183" fontId="51" fillId="0" borderId="42" xfId="0" applyNumberFormat="1" applyFont="1" applyBorder="1" applyAlignment="1">
      <alignment vertical="center"/>
    </xf>
    <xf numFmtId="185" fontId="51" fillId="0" borderId="42" xfId="0" applyNumberFormat="1" applyFont="1" applyBorder="1" applyAlignment="1">
      <alignment vertical="center"/>
    </xf>
    <xf numFmtId="0" fontId="0" fillId="2" borderId="25" xfId="0" applyFill="1" applyBorder="1" applyAlignment="1">
      <alignment horizontal="center"/>
    </xf>
    <xf numFmtId="164" fontId="0" fillId="2" borderId="25" xfId="0" applyNumberFormat="1" applyFill="1" applyBorder="1"/>
    <xf numFmtId="164" fontId="0" fillId="2" borderId="25" xfId="0" applyNumberFormat="1" applyFill="1" applyBorder="1" applyAlignment="1">
      <alignment wrapText="1"/>
    </xf>
    <xf numFmtId="164" fontId="0" fillId="2" borderId="43" xfId="0" applyNumberFormat="1" applyFill="1" applyBorder="1" applyAlignment="1">
      <alignment horizontal="center"/>
    </xf>
    <xf numFmtId="1" fontId="0" fillId="2" borderId="43" xfId="0" applyNumberFormat="1" applyFill="1" applyBorder="1" applyAlignment="1">
      <alignment horizontal="center"/>
    </xf>
    <xf numFmtId="1" fontId="5" fillId="2" borderId="43" xfId="0" applyNumberFormat="1" applyFont="1" applyFill="1" applyBorder="1" applyAlignment="1">
      <alignment horizontal="center"/>
    </xf>
    <xf numFmtId="2" fontId="0" fillId="27" borderId="43" xfId="0" applyNumberFormat="1" applyFill="1" applyBorder="1"/>
    <xf numFmtId="165" fontId="0" fillId="2" borderId="43" xfId="0" applyNumberFormat="1" applyFill="1" applyBorder="1" applyAlignment="1">
      <alignment horizontal="center"/>
    </xf>
    <xf numFmtId="165" fontId="0" fillId="27" borderId="43" xfId="0" applyNumberFormat="1" applyFill="1" applyBorder="1" applyAlignment="1">
      <alignment horizontal="center"/>
    </xf>
    <xf numFmtId="164" fontId="0" fillId="2" borderId="43" xfId="0" applyNumberFormat="1" applyFill="1" applyBorder="1"/>
    <xf numFmtId="164" fontId="0" fillId="2" borderId="43" xfId="0" applyNumberFormat="1" applyFill="1" applyBorder="1" applyAlignment="1">
      <alignment wrapText="1"/>
    </xf>
    <xf numFmtId="0" fontId="0" fillId="2" borderId="32" xfId="0" applyFill="1" applyBorder="1" applyAlignment="1">
      <alignment horizontal="center"/>
    </xf>
    <xf numFmtId="164" fontId="0" fillId="2" borderId="32" xfId="0" applyNumberFormat="1" applyFill="1" applyBorder="1"/>
    <xf numFmtId="164" fontId="0" fillId="2" borderId="32" xfId="0" applyNumberFormat="1" applyFill="1" applyBorder="1" applyAlignment="1">
      <alignment wrapText="1"/>
    </xf>
    <xf numFmtId="164" fontId="0" fillId="2" borderId="44" xfId="0" applyNumberFormat="1" applyFill="1" applyBorder="1" applyAlignment="1">
      <alignment horizontal="center"/>
    </xf>
    <xf numFmtId="1" fontId="0" fillId="2" borderId="44" xfId="0" applyNumberFormat="1" applyFill="1" applyBorder="1" applyAlignment="1">
      <alignment horizontal="center"/>
    </xf>
    <xf numFmtId="1" fontId="5" fillId="2" borderId="44" xfId="0" applyNumberFormat="1" applyFont="1" applyFill="1" applyBorder="1" applyAlignment="1">
      <alignment horizontal="center"/>
    </xf>
    <xf numFmtId="2" fontId="0" fillId="27" borderId="44" xfId="0" applyNumberFormat="1" applyFill="1" applyBorder="1"/>
    <xf numFmtId="165" fontId="0" fillId="2" borderId="44" xfId="0" applyNumberFormat="1" applyFill="1" applyBorder="1" applyAlignment="1">
      <alignment horizontal="center"/>
    </xf>
    <xf numFmtId="165" fontId="0" fillId="27" borderId="44" xfId="0" applyNumberFormat="1" applyFill="1" applyBorder="1" applyAlignment="1">
      <alignment horizontal="center"/>
    </xf>
    <xf numFmtId="0" fontId="0" fillId="23" borderId="0" xfId="0" applyFill="1"/>
    <xf numFmtId="0" fontId="5" fillId="0" borderId="0" xfId="0" applyFont="1"/>
    <xf numFmtId="187" fontId="0" fillId="0" borderId="0" xfId="0" applyNumberFormat="1"/>
    <xf numFmtId="15" fontId="0" fillId="0" borderId="0" xfId="0" applyNumberFormat="1"/>
    <xf numFmtId="7" fontId="0" fillId="0" borderId="0" xfId="0" applyNumberFormat="1"/>
    <xf numFmtId="188" fontId="0" fillId="2" borderId="43" xfId="0" applyNumberFormat="1" applyFill="1" applyBorder="1" applyAlignment="1">
      <alignment wrapText="1"/>
    </xf>
    <xf numFmtId="188" fontId="0" fillId="2" borderId="25" xfId="0" applyNumberFormat="1" applyFill="1" applyBorder="1" applyAlignment="1">
      <alignment wrapText="1"/>
    </xf>
    <xf numFmtId="188" fontId="0" fillId="2" borderId="32" xfId="0" applyNumberFormat="1" applyFill="1" applyBorder="1" applyAlignment="1">
      <alignment wrapText="1"/>
    </xf>
    <xf numFmtId="188" fontId="0" fillId="2" borderId="32" xfId="0" applyNumberFormat="1" applyFill="1" applyBorder="1" applyAlignment="1">
      <alignment horizontal="center"/>
    </xf>
    <xf numFmtId="164" fontId="0" fillId="2" borderId="32" xfId="0" applyNumberFormat="1" applyFill="1" applyBorder="1" applyAlignment="1">
      <alignment horizontal="center"/>
    </xf>
    <xf numFmtId="1" fontId="0" fillId="2" borderId="32" xfId="0" applyNumberFormat="1" applyFill="1" applyBorder="1" applyAlignment="1">
      <alignment horizontal="center"/>
    </xf>
    <xf numFmtId="1" fontId="5" fillId="2" borderId="32" xfId="0" applyNumberFormat="1" applyFont="1" applyFill="1" applyBorder="1" applyAlignment="1">
      <alignment horizontal="center"/>
    </xf>
    <xf numFmtId="0" fontId="0" fillId="2" borderId="32" xfId="0" applyFill="1" applyBorder="1"/>
    <xf numFmtId="1" fontId="0" fillId="2" borderId="32" xfId="0" applyNumberFormat="1" applyFill="1" applyBorder="1"/>
    <xf numFmtId="0" fontId="0" fillId="2" borderId="32" xfId="0" applyFill="1" applyBorder="1" applyAlignment="1">
      <alignment horizontal="left"/>
    </xf>
    <xf numFmtId="2" fontId="0" fillId="27" borderId="32" xfId="0" applyNumberFormat="1" applyFill="1" applyBorder="1"/>
    <xf numFmtId="8" fontId="0" fillId="2" borderId="32" xfId="0" applyNumberFormat="1" applyFill="1" applyBorder="1" applyAlignment="1">
      <alignment horizontal="center"/>
    </xf>
    <xf numFmtId="186" fontId="0" fillId="27" borderId="32" xfId="0" applyNumberFormat="1" applyFill="1" applyBorder="1"/>
    <xf numFmtId="165" fontId="0" fillId="2" borderId="32" xfId="0" applyNumberFormat="1" applyFill="1" applyBorder="1" applyAlignment="1">
      <alignment horizontal="center"/>
    </xf>
    <xf numFmtId="165" fontId="0" fillId="27" borderId="32" xfId="0" applyNumberFormat="1" applyFill="1" applyBorder="1" applyAlignment="1">
      <alignment horizontal="center"/>
    </xf>
    <xf numFmtId="0" fontId="0" fillId="2" borderId="43" xfId="0" applyFill="1" applyBorder="1" applyAlignment="1">
      <alignment horizontal="center"/>
    </xf>
    <xf numFmtId="0" fontId="0" fillId="2" borderId="44" xfId="0" applyFill="1" applyBorder="1" applyAlignment="1">
      <alignment horizontal="center"/>
    </xf>
    <xf numFmtId="0" fontId="0" fillId="2" borderId="43" xfId="0" applyFill="1" applyBorder="1"/>
    <xf numFmtId="0" fontId="0" fillId="2" borderId="44" xfId="0" applyFill="1" applyBorder="1"/>
    <xf numFmtId="0" fontId="0" fillId="2" borderId="44" xfId="0" applyFill="1" applyBorder="1" applyAlignment="1">
      <alignment wrapText="1"/>
    </xf>
    <xf numFmtId="0" fontId="0" fillId="2" borderId="43" xfId="0" applyFill="1" applyBorder="1" applyAlignment="1">
      <alignment horizontal="left"/>
    </xf>
    <xf numFmtId="0" fontId="0" fillId="2" borderId="44" xfId="0" applyFill="1" applyBorder="1" applyAlignment="1">
      <alignment horizontal="left"/>
    </xf>
    <xf numFmtId="0" fontId="0" fillId="2" borderId="44" xfId="0" applyFill="1" applyBorder="1" applyAlignment="1">
      <alignment horizontal="left" wrapText="1"/>
    </xf>
    <xf numFmtId="189" fontId="0" fillId="2" borderId="43" xfId="0" applyNumberFormat="1" applyFill="1" applyBorder="1" applyAlignment="1">
      <alignment horizontal="center"/>
    </xf>
    <xf numFmtId="189" fontId="0" fillId="2" borderId="44" xfId="0" applyNumberFormat="1" applyFill="1" applyBorder="1" applyAlignment="1">
      <alignment horizontal="center"/>
    </xf>
    <xf numFmtId="189" fontId="0" fillId="2" borderId="32" xfId="0" applyNumberFormat="1" applyFill="1" applyBorder="1" applyAlignment="1">
      <alignment horizontal="center"/>
    </xf>
    <xf numFmtId="8" fontId="0" fillId="27" borderId="43" xfId="0" applyNumberFormat="1" applyFill="1" applyBorder="1"/>
    <xf numFmtId="8" fontId="0" fillId="27" borderId="44" xfId="0" applyNumberFormat="1" applyFill="1" applyBorder="1"/>
    <xf numFmtId="8" fontId="0" fillId="27" borderId="32" xfId="0" applyNumberFormat="1" applyFill="1" applyBorder="1"/>
    <xf numFmtId="190" fontId="0" fillId="2" borderId="43" xfId="0" applyNumberFormat="1" applyFill="1" applyBorder="1" applyAlignment="1">
      <alignment horizontal="center"/>
    </xf>
    <xf numFmtId="190" fontId="0" fillId="2" borderId="44" xfId="0" applyNumberFormat="1" applyFill="1" applyBorder="1" applyAlignment="1">
      <alignment horizontal="center"/>
    </xf>
    <xf numFmtId="190" fontId="0" fillId="2" borderId="32" xfId="0" applyNumberFormat="1" applyFill="1" applyBorder="1" applyAlignment="1">
      <alignment horizontal="center"/>
    </xf>
    <xf numFmtId="166" fontId="0" fillId="2" borderId="43" xfId="0" applyNumberFormat="1" applyFill="1" applyBorder="1"/>
    <xf numFmtId="166" fontId="0" fillId="2" borderId="44" xfId="0" applyNumberFormat="1" applyFill="1" applyBorder="1"/>
    <xf numFmtId="166" fontId="0" fillId="2" borderId="32" xfId="0" applyNumberFormat="1" applyFill="1" applyBorder="1"/>
    <xf numFmtId="0" fontId="53" fillId="23" borderId="0" xfId="0" applyFont="1" applyFill="1" applyAlignment="1">
      <alignment horizontal="center"/>
    </xf>
    <xf numFmtId="0" fontId="54" fillId="23" borderId="0" xfId="0" applyFont="1" applyFill="1" applyAlignment="1">
      <alignment horizontal="center" vertical="center" wrapText="1"/>
    </xf>
    <xf numFmtId="0" fontId="29" fillId="19" borderId="36" xfId="0" applyFont="1" applyFill="1" applyBorder="1" applyAlignment="1">
      <alignment horizontal="center"/>
    </xf>
    <xf numFmtId="0" fontId="29" fillId="19" borderId="34" xfId="0" applyFont="1" applyFill="1" applyBorder="1"/>
    <xf numFmtId="0" fontId="29" fillId="19" borderId="39" xfId="0" applyFont="1" applyFill="1" applyBorder="1"/>
    <xf numFmtId="0" fontId="29" fillId="19" borderId="34" xfId="0" applyFont="1" applyFill="1" applyBorder="1" applyAlignment="1">
      <alignment horizontal="center"/>
    </xf>
    <xf numFmtId="0" fontId="29" fillId="19" borderId="39" xfId="0" applyFont="1" applyFill="1" applyBorder="1" applyAlignment="1">
      <alignment horizontal="center"/>
    </xf>
    <xf numFmtId="0" fontId="24" fillId="17" borderId="0" xfId="0" applyFont="1" applyFill="1" applyAlignment="1">
      <alignment horizontal="center"/>
    </xf>
    <xf numFmtId="0" fontId="0" fillId="17" borderId="0" xfId="0" applyFill="1"/>
    <xf numFmtId="0" fontId="29" fillId="24" borderId="36" xfId="0" applyFont="1" applyFill="1" applyBorder="1" applyAlignment="1">
      <alignment horizontal="center"/>
    </xf>
    <xf numFmtId="0" fontId="29" fillId="24" borderId="34" xfId="0" applyFont="1" applyFill="1" applyBorder="1" applyAlignment="1">
      <alignment horizontal="center"/>
    </xf>
    <xf numFmtId="0" fontId="29" fillId="24" borderId="39" xfId="0" applyFont="1" applyFill="1" applyBorder="1" applyAlignment="1">
      <alignment horizontal="center"/>
    </xf>
    <xf numFmtId="0" fontId="28" fillId="18" borderId="0" xfId="0" applyFont="1" applyFill="1" applyAlignment="1">
      <alignment horizontal="center"/>
    </xf>
    <xf numFmtId="0" fontId="22" fillId="18" borderId="0" xfId="0" applyFont="1" applyFill="1" applyAlignment="1">
      <alignment horizontal="center"/>
    </xf>
    <xf numFmtId="0" fontId="34" fillId="18" borderId="0" xfId="0" applyFont="1" applyFill="1" applyAlignment="1">
      <alignment horizontal="center"/>
    </xf>
    <xf numFmtId="0" fontId="23" fillId="18" borderId="0" xfId="0" applyFont="1" applyFill="1" applyAlignment="1">
      <alignment horizontal="center"/>
    </xf>
    <xf numFmtId="0" fontId="30" fillId="19" borderId="39" xfId="0" applyFont="1" applyFill="1" applyBorder="1"/>
    <xf numFmtId="0" fontId="25" fillId="17" borderId="0" xfId="0" applyFont="1" applyFill="1"/>
    <xf numFmtId="0" fontId="32" fillId="19" borderId="36" xfId="0" applyFont="1" applyFill="1" applyBorder="1" applyAlignment="1">
      <alignment horizontal="center"/>
    </xf>
    <xf numFmtId="0" fontId="32" fillId="19" borderId="34" xfId="0" applyFont="1" applyFill="1" applyBorder="1"/>
    <xf numFmtId="0" fontId="32" fillId="19" borderId="39" xfId="0" applyFont="1" applyFill="1" applyBorder="1"/>
    <xf numFmtId="0" fontId="32" fillId="16" borderId="36" xfId="0" applyFont="1" applyFill="1" applyBorder="1" applyAlignment="1">
      <alignment horizontal="center"/>
    </xf>
    <xf numFmtId="0" fontId="32" fillId="16" borderId="34" xfId="0" applyFont="1" applyFill="1" applyBorder="1"/>
    <xf numFmtId="0" fontId="32" fillId="16" borderId="39" xfId="0" applyFont="1" applyFill="1" applyBorder="1"/>
    <xf numFmtId="0" fontId="2" fillId="10" borderId="0" xfId="0" applyFont="1" applyFill="1" applyAlignment="1">
      <alignment horizontal="left"/>
    </xf>
    <xf numFmtId="0" fontId="2" fillId="3" borderId="18" xfId="0" applyFont="1" applyFill="1" applyBorder="1" applyAlignment="1">
      <alignment horizontal="center"/>
    </xf>
    <xf numFmtId="0" fontId="2" fillId="3" borderId="17" xfId="0" applyFont="1" applyFill="1" applyBorder="1" applyAlignment="1">
      <alignment horizontal="center"/>
    </xf>
    <xf numFmtId="0" fontId="7" fillId="8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left"/>
    </xf>
  </cellXfs>
  <cellStyles count="1">
    <cellStyle name="Normal" xfId="0" builtinId="0"/>
  </cellStyles>
  <dxfs count="114">
    <dxf>
      <numFmt numFmtId="168" formatCode="[$-F400]h:mm:ss\ AM/PM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</dxf>
    <dxf>
      <numFmt numFmtId="164" formatCode="[$-409]dd/mmm/yy;@"/>
      <fill>
        <patternFill patternType="solid">
          <fgColor indexed="64"/>
          <bgColor theme="0"/>
        </patternFill>
      </fill>
    </dxf>
    <dxf>
      <numFmt numFmtId="164" formatCode="[$-409]dd/mmm/yy;@"/>
      <fill>
        <patternFill patternType="solid">
          <fgColor indexed="64"/>
          <bgColor theme="0"/>
        </patternFill>
      </fill>
    </dxf>
    <dxf>
      <numFmt numFmtId="164" formatCode="[$-409]dd/mmm/yy;@"/>
      <fill>
        <patternFill patternType="solid">
          <fgColor indexed="64"/>
          <bgColor theme="0"/>
        </patternFill>
      </fill>
    </dxf>
    <dxf>
      <numFmt numFmtId="164" formatCode="[$-409]dd/mmm/yy;@"/>
      <fill>
        <patternFill patternType="solid">
          <fgColor indexed="64"/>
          <bgColor theme="0"/>
        </patternFill>
      </fill>
    </dxf>
    <dxf>
      <numFmt numFmtId="164" formatCode="[$-409]dd/mmm/yy;@"/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>
        <left style="dotted">
          <color theme="9" tint="0.39991454817346722"/>
        </left>
        <right style="dotted">
          <color theme="9" tint="0.39991454817346722"/>
        </right>
        <top style="dotted">
          <color theme="9" tint="0.39991454817346722"/>
        </top>
        <bottom style="thin">
          <color theme="4" tint="0.39997558519241921"/>
        </bottom>
        <vertical/>
        <horizontal/>
      </border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FF0000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scheme val="minor"/>
      </font>
      <numFmt numFmtId="1" formatCode="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scheme val="minor"/>
      </font>
      <numFmt numFmtId="1" formatCode="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scheme val="minor"/>
      </font>
      <numFmt numFmtId="1" formatCode="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scheme val="minor"/>
      </font>
      <numFmt numFmtId="166" formatCode="h:mm;@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scheme val="minor"/>
      </font>
      <numFmt numFmtId="164" formatCode="[$-409]dd/mmm/yy;@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border outline="0">
        <top style="thin">
          <color rgb="FF000000"/>
        </top>
      </border>
    </dxf>
    <dxf>
      <font>
        <strike val="0"/>
        <outline val="0"/>
        <shadow val="0"/>
        <u val="none"/>
        <vertAlign val="baseline"/>
        <sz val="12"/>
        <name val="Calibri"/>
        <family val="2"/>
        <scheme val="none"/>
      </font>
      <fill>
        <patternFill patternType="solid">
          <fgColor rgb="FF000000"/>
          <bgColor rgb="FFFFFFFF"/>
        </patternFill>
      </fill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FFFF"/>
        <name val="Calibri"/>
        <family val="2"/>
        <scheme val="minor"/>
      </font>
      <fill>
        <patternFill patternType="solid">
          <fgColor rgb="FF000000"/>
          <bgColor rgb="FF0D0D0D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scheme val="minor"/>
      </font>
      <numFmt numFmtId="1" formatCode="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scheme val="minor"/>
      </font>
      <numFmt numFmtId="1" formatCode="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scheme val="minor"/>
      </font>
      <numFmt numFmtId="1" formatCode="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scheme val="minor"/>
      </font>
      <numFmt numFmtId="164" formatCode="[$-409]dd/mmm/yy;@"/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scheme val="minor"/>
      </font>
      <numFmt numFmtId="166" formatCode="h:mm;@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scheme val="minor"/>
      </font>
      <numFmt numFmtId="164" formatCode="[$-409]dd/mmm/yy;@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border outline="0">
        <top style="thin">
          <color rgb="FF000000"/>
        </top>
      </border>
    </dxf>
    <dxf>
      <font>
        <strike val="0"/>
        <outline val="0"/>
        <shadow val="0"/>
        <u val="none"/>
        <vertAlign val="baseline"/>
        <sz val="12"/>
        <name val="Calibri"/>
        <family val="2"/>
        <scheme val="none"/>
      </font>
      <fill>
        <patternFill patternType="solid">
          <fgColor rgb="FF000000"/>
          <bgColor rgb="FFFFFFFF"/>
        </patternFill>
      </fill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FFFF"/>
        <name val="Calibri"/>
        <family val="2"/>
        <scheme val="minor"/>
      </font>
      <fill>
        <patternFill patternType="solid">
          <fgColor rgb="FF000000"/>
          <bgColor rgb="FF0D0D0D"/>
        </patternFill>
      </fill>
      <alignment horizontal="center" vertical="center" textRotation="0" wrapText="0" indent="0" justifyLastLine="0" shrinkToFit="0" readingOrder="0"/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 patternType="lightGrid"/>
      </fill>
    </dxf>
    <dxf>
      <font>
        <b/>
        <i/>
        <strike/>
        <color theme="0"/>
      </font>
      <fill>
        <patternFill>
          <bgColor rgb="FFFF0000"/>
        </patternFill>
      </fill>
    </dxf>
    <dxf>
      <font>
        <strike val="0"/>
        <color theme="0"/>
      </font>
      <fill>
        <patternFill>
          <bgColor theme="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 patternType="lightGrid"/>
      </fill>
    </dxf>
    <dxf>
      <font>
        <b/>
        <i/>
        <strike/>
        <color theme="0"/>
      </font>
      <fill>
        <patternFill>
          <bgColor rgb="FFFF0000"/>
        </patternFill>
      </fill>
    </dxf>
    <dxf>
      <font>
        <strike val="0"/>
        <color theme="0"/>
      </font>
      <fill>
        <patternFill>
          <bgColor theme="0"/>
        </patternFill>
      </fill>
    </dxf>
    <dxf>
      <font>
        <b/>
        <i/>
        <strike/>
        <color theme="0"/>
      </font>
      <fill>
        <patternFill>
          <bgColor rgb="FFFF0000"/>
        </patternFill>
      </fill>
    </dxf>
    <dxf>
      <font>
        <strike val="0"/>
        <color theme="0"/>
      </font>
      <fill>
        <patternFill>
          <bgColor theme="0"/>
        </patternFill>
      </fill>
    </dxf>
    <dxf>
      <font>
        <b/>
        <i/>
        <strike/>
        <color theme="0"/>
      </font>
      <fill>
        <patternFill>
          <bgColor rgb="FFFF0000"/>
        </patternFill>
      </fill>
    </dxf>
    <dxf>
      <font>
        <strike val="0"/>
        <color theme="0"/>
      </font>
      <fill>
        <patternFill>
          <bgColor theme="0"/>
        </patternFill>
      </fill>
    </dxf>
    <dxf>
      <font>
        <b/>
        <i/>
        <strike/>
        <color theme="0"/>
      </font>
      <fill>
        <patternFill>
          <bgColor rgb="FFFF0000"/>
        </patternFill>
      </fill>
    </dxf>
    <dxf>
      <font>
        <strike val="0"/>
        <color theme="0"/>
      </font>
      <fill>
        <patternFill>
          <bgColor theme="0"/>
        </patternFill>
      </fill>
    </dxf>
    <dxf>
      <font>
        <b/>
        <i/>
        <strike/>
        <color theme="0"/>
      </font>
      <fill>
        <patternFill>
          <bgColor rgb="FFFF0000"/>
        </patternFill>
      </fill>
    </dxf>
    <dxf>
      <font>
        <strike val="0"/>
        <color theme="0"/>
      </font>
      <fill>
        <patternFill>
          <bgColor theme="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 patternType="lightGrid"/>
      </fill>
    </dxf>
    <dxf>
      <font>
        <b/>
        <i/>
        <strike/>
        <color theme="0"/>
      </font>
      <fill>
        <patternFill>
          <bgColor rgb="FFFF0000"/>
        </patternFill>
      </fill>
    </dxf>
    <dxf>
      <font>
        <strike val="0"/>
        <color theme="0"/>
      </font>
      <fill>
        <patternFill>
          <bgColor theme="0"/>
        </patternFill>
      </fill>
    </dxf>
    <dxf>
      <numFmt numFmtId="164" formatCode="[$-409]dd/mmm/yy;@"/>
      <fill>
        <patternFill patternType="solid">
          <fgColor indexed="64"/>
          <bgColor theme="0"/>
        </patternFill>
      </fill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numFmt numFmtId="164" formatCode="[$-409]dd/mmm/yy;@"/>
      <fill>
        <patternFill patternType="solid">
          <fgColor indexed="64"/>
          <bgColor theme="0"/>
        </patternFill>
      </fill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numFmt numFmtId="164" formatCode="[$-409]dd/mmm/yy;@"/>
      <fill>
        <patternFill patternType="solid">
          <fgColor indexed="64"/>
          <bgColor theme="0"/>
        </patternFill>
      </fill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numFmt numFmtId="164" formatCode="[$-409]dd/mmm/yy;@"/>
      <fill>
        <patternFill patternType="solid">
          <fgColor indexed="64"/>
          <bgColor theme="0"/>
        </patternFill>
      </fill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numFmt numFmtId="164" formatCode="[$-409]dd/mmm/yy;@"/>
      <fill>
        <patternFill patternType="solid">
          <fgColor indexed="64"/>
          <bgColor theme="0"/>
        </patternFill>
      </fill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numFmt numFmtId="164" formatCode="[$-409]dd/mmm/yy;@"/>
      <fill>
        <patternFill patternType="solid">
          <fgColor indexed="64"/>
          <bgColor theme="0"/>
        </patternFill>
      </fill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numFmt numFmtId="164" formatCode="[$-409]dd/mmm/yy;@"/>
      <fill>
        <patternFill patternType="solid">
          <fgColor indexed="64"/>
          <bgColor theme="0"/>
        </patternFill>
      </fill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numFmt numFmtId="164" formatCode="[$-409]dd/mmm/yy;@"/>
      <fill>
        <patternFill patternType="solid">
          <fgColor indexed="64"/>
          <bgColor theme="0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numFmt numFmtId="164" formatCode="[$-409]dd/mmm/yy;@"/>
      <fill>
        <patternFill patternType="solid">
          <fgColor indexed="64"/>
          <bgColor theme="0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numFmt numFmtId="164" formatCode="[$-409]dd/mmm/yy;@"/>
      <fill>
        <patternFill patternType="solid">
          <fgColor indexed="64"/>
          <bgColor theme="0"/>
        </patternFill>
      </fill>
      <alignment horizontal="general" vertical="bottom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numFmt numFmtId="188" formatCode="[$-409]dd/mmm/yy"/>
      <fill>
        <patternFill patternType="solid">
          <fgColor indexed="64"/>
          <bgColor theme="0"/>
        </patternFill>
      </fill>
      <alignment horizontal="general" vertical="bottom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numFmt numFmtId="164" formatCode="[$-409]dd/mmm/yy;@"/>
      <fill>
        <patternFill patternType="solid">
          <fgColor indexed="64"/>
          <bgColor theme="0"/>
        </patternFill>
      </fill>
      <alignment horizontal="general" vertical="bottom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numFmt numFmtId="164" formatCode="[$-409]dd/mmm/yy;@"/>
      <fill>
        <patternFill patternType="solid">
          <fgColor indexed="64"/>
          <bgColor theme="0"/>
        </patternFill>
      </fill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/>
        <vertical/>
        <horizontal/>
      </border>
    </dxf>
    <dxf>
      <numFmt numFmtId="164" formatCode="[$-409]dd/mmm/yy;@"/>
      <fill>
        <patternFill patternType="solid">
          <fgColor indexed="64"/>
          <bgColor theme="0"/>
        </patternFill>
      </fill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/>
        <vertical/>
        <horizontal/>
      </border>
    </dxf>
    <dxf>
      <numFmt numFmtId="164" formatCode="[$-409]dd/mmm/yy;@"/>
      <fill>
        <patternFill patternType="solid">
          <fgColor indexed="64"/>
          <bgColor theme="0"/>
        </patternFill>
      </fill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/>
        <vertical/>
        <horizontal/>
      </border>
    </dxf>
    <dxf>
      <numFmt numFmtId="164" formatCode="[$-409]dd/mmm/yy;@"/>
      <fill>
        <patternFill patternType="solid">
          <fgColor indexed="64"/>
          <bgColor theme="0"/>
        </patternFill>
      </fill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/>
        <vertical/>
        <horizontal/>
      </border>
    </dxf>
    <dxf>
      <numFmt numFmtId="164" formatCode="[$-409]dd/mmm/yy;@"/>
      <fill>
        <patternFill patternType="solid">
          <fgColor indexed="64"/>
          <bgColor theme="0"/>
        </patternFill>
      </fill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/>
        <vertical/>
        <horizontal/>
      </border>
    </dxf>
    <dxf>
      <numFmt numFmtId="164" formatCode="[$-409]dd/mmm/yy;@"/>
      <fill>
        <patternFill patternType="solid">
          <fgColor indexed="64"/>
          <bgColor theme="0"/>
        </patternFill>
      </fill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/>
        <vertical/>
        <horizontal/>
      </border>
    </dxf>
    <dxf>
      <numFmt numFmtId="164" formatCode="[$-409]dd/mmm/yy;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/>
        <vertical/>
        <horizontal/>
      </border>
    </dxf>
    <dxf>
      <numFmt numFmtId="164" formatCode="[$-409]dd/mmm/yy;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/>
      </border>
    </dxf>
    <dxf>
      <numFmt numFmtId="188" formatCode="[$-409]dd/mmm/yy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/>
      </border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/>
      </border>
    </dxf>
    <dxf>
      <numFmt numFmtId="165" formatCode="[$€-2]\ #,##0.00_);[Red]\([$€-2]\ #,##0.00\)"/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/>
        <vertical/>
        <horizontal/>
      </border>
    </dxf>
    <dxf>
      <numFmt numFmtId="165" formatCode="[$€-2]\ #,##0.00_);[Red]\([$€-2]\ #,##0.00\)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/>
        <vertical/>
        <horizontal/>
      </border>
    </dxf>
    <dxf>
      <numFmt numFmtId="165" formatCode="[$€-2]\ #,##0.00_);[Red]\([$€-2]\ #,##0.00\)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/>
        <vertical/>
        <horizontal/>
      </border>
    </dxf>
    <dxf>
      <numFmt numFmtId="186" formatCode="_([$$-409]* #,##0.00_);_([$$-409]* \(#,##0.00\);_([$$-409]* &quot;-&quot;??_);_(@_)"/>
      <fill>
        <patternFill patternType="solid">
          <fgColor indexed="64"/>
          <bgColor theme="0" tint="-0.14999847407452621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/>
        <vertical/>
        <horizontal/>
      </border>
    </dxf>
    <dxf>
      <numFmt numFmtId="12" formatCode="&quot;$&quot;#,##0.00_);[Red]\(&quot;$&quot;#,##0.00\)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/>
        <vertical/>
        <horizontal/>
      </border>
    </dxf>
    <dxf>
      <numFmt numFmtId="12" formatCode="&quot;$&quot;#,##0.00_);[Red]\(&quot;$&quot;#,##0.00\)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/>
      </border>
    </dxf>
    <dxf>
      <numFmt numFmtId="188" formatCode="[$-409]dd/mmm/yy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/>
      </border>
    </dxf>
    <dxf>
      <numFmt numFmtId="2" formatCode="0.00"/>
      <fill>
        <patternFill patternType="solid">
          <fgColor indexed="64"/>
          <bgColor theme="0" tint="-0.14999847407452621"/>
        </patternFill>
      </fill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/>
      </border>
    </dxf>
    <dxf>
      <numFmt numFmtId="188" formatCode="[$-409]dd/mmm/yy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/>
      </border>
    </dxf>
    <dxf>
      <numFmt numFmtId="2" formatCode="0.00"/>
      <fill>
        <patternFill patternType="solid">
          <fgColor indexed="64"/>
          <bgColor theme="0" tint="-0.14999847407452621"/>
        </patternFill>
      </fill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/>
      </border>
    </dxf>
    <dxf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/>
        <vertical/>
        <horizontal/>
      </border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/>
        <vertical/>
        <horizontal/>
      </border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/>
        <vertical/>
        <horizontal/>
      </border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/>
        <vertical/>
        <horizontal/>
      </border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/>
        <vertical/>
        <horizontal/>
      </border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/>
        <vertical/>
        <horizontal/>
      </border>
    </dxf>
    <dxf>
      <fill>
        <patternFill patternType="solid">
          <fgColor indexed="64"/>
          <bgColor theme="0"/>
        </patternFill>
      </fill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/>
        <vertical/>
        <horizontal/>
      </border>
    </dxf>
    <dxf>
      <numFmt numFmtId="1" formatCode="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/>
      </border>
    </dxf>
    <dxf>
      <numFmt numFmtId="188" formatCode="[$-409]dd/mmm/yy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/>
      </border>
    </dxf>
    <dxf>
      <numFmt numFmtId="188" formatCode="[$-409]dd/mmm/yy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/>
      </border>
    </dxf>
    <dxf>
      <numFmt numFmtId="1" formatCode="0"/>
      <fill>
        <patternFill patternType="solid">
          <fgColor indexed="64"/>
          <bgColor theme="0"/>
        </patternFill>
      </fill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/>
      </border>
    </dxf>
    <dxf>
      <fill>
        <patternFill patternType="solid">
          <fgColor indexed="64"/>
          <bgColor theme="0"/>
        </patternFill>
      </fill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/>
        <vertical/>
        <horizontal/>
      </border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/>
        <vertical/>
        <horizontal/>
      </border>
    </dxf>
    <dxf>
      <numFmt numFmtId="1" formatCode="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/>
        <vertical/>
        <horizontal/>
      </border>
    </dxf>
    <dxf>
      <numFmt numFmtId="164" formatCode="[$-409]dd/mmm/yy;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/>
        <vertical/>
        <horizontal/>
      </border>
    </dxf>
    <dxf>
      <numFmt numFmtId="164" formatCode="[$-409]dd/mmm/yy;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/>
        <vertical/>
        <horizontal/>
      </border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/>
        <vertical/>
        <horizontal/>
      </border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/>
      </border>
    </dxf>
    <dxf>
      <numFmt numFmtId="188" formatCode="[$-409]dd/mmm/yy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/>
      </border>
    </dxf>
    <dxf>
      <fill>
        <patternFill patternType="solid">
          <fgColor indexed="64"/>
          <bgColor theme="0"/>
        </patternFill>
      </fill>
    </dxf>
    <dxf>
      <border diagonalUp="0" diagonalDown="0" outline="0">
        <left style="dotted">
          <color theme="9" tint="0.39991454817346722"/>
        </left>
        <right style="dotted">
          <color theme="9" tint="0.39991454817346722"/>
        </right>
        <top/>
        <bottom/>
      </border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</dxfs>
  <tableStyles count="0" defaultTableStyle="TableStyleMedium2" defaultPivotStyle="PivotStyleLight16"/>
  <colors>
    <mruColors>
      <color rgb="FF001746"/>
      <color rgb="FFCBB513"/>
      <color rgb="FF7567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0F172A"/>
                </a:solidFill>
                <a:latin typeface="Segoe UI"/>
                <a:ea typeface="Segoe UI"/>
                <a:cs typeface="Segoe UI"/>
              </a:defRPr>
            </a:pPr>
            <a:r>
              <a:rPr lang="en-US"/>
              <a:t>Bookings by Tour Operator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0F172A"/>
              </a:solidFill>
              <a:latin typeface="Segoe UI"/>
              <a:ea typeface="Segoe UI"/>
              <a:cs typeface="Segoe UI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Dashboard!$B$14</c:f>
              <c:strCache>
                <c:ptCount val="1"/>
                <c:pt idx="0">
                  <c:v>Bookings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Dashboard!$A$15:$A$17</c:f>
              <c:strCache>
                <c:ptCount val="3"/>
                <c:pt idx="0">
                  <c:v>JMB</c:v>
                </c:pt>
                <c:pt idx="1">
                  <c:v>PAX</c:v>
                </c:pt>
                <c:pt idx="2">
                  <c:v>MYW</c:v>
                </c:pt>
              </c:strCache>
            </c:strRef>
          </c:cat>
          <c:val>
            <c:numRef>
              <c:f>Dashboard!$B$15:$B$17</c:f>
              <c:numCache>
                <c:formatCode>#,##0</c:formatCode>
                <c:ptCount val="3"/>
                <c:pt idx="0">
                  <c:v>17</c:v>
                </c:pt>
                <c:pt idx="1">
                  <c:v>6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9DA-4578-976B-403345D6F4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678892112"/>
        <c:axId val="678892592"/>
      </c:barChart>
      <c:catAx>
        <c:axId val="67889211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2937"/>
                </a:solidFill>
                <a:latin typeface="Segoe UI"/>
                <a:ea typeface="Segoe UI"/>
                <a:cs typeface="Segoe UI"/>
              </a:defRPr>
            </a:pPr>
            <a:endParaRPr lang="en-US"/>
          </a:p>
        </c:txPr>
        <c:crossAx val="678892592"/>
        <c:crosses val="autoZero"/>
        <c:auto val="1"/>
        <c:lblAlgn val="ctr"/>
        <c:lblOffset val="100"/>
        <c:noMultiLvlLbl val="0"/>
      </c:catAx>
      <c:valAx>
        <c:axId val="678892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2937"/>
                </a:solidFill>
                <a:latin typeface="Segoe UI"/>
                <a:ea typeface="Segoe UI"/>
                <a:cs typeface="Segoe UI"/>
              </a:defRPr>
            </a:pPr>
            <a:endParaRPr lang="en-US"/>
          </a:p>
        </c:txPr>
        <c:crossAx val="678892112"/>
        <c:crosses val="autoZero"/>
        <c:crossBetween val="between"/>
      </c:valAx>
      <c:spPr>
        <a:solidFill>
          <a:srgbClr val="F8FAFC"/>
        </a:solid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rgbClr val="0F172A"/>
              </a:solidFill>
              <a:latin typeface="Segoe UI"/>
              <a:ea typeface="Segoe UI"/>
              <a:cs typeface="Segoe UI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8FAFC"/>
    </a:solidFill>
    <a:ln w="9525" cap="flat" cmpd="sng" algn="ctr">
      <a:solidFill>
        <a:srgbClr val="334155"/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0F172A"/>
                </a:solidFill>
                <a:latin typeface="Segoe UI"/>
                <a:ea typeface="Segoe UI"/>
                <a:cs typeface="Segoe UI"/>
              </a:defRPr>
            </a:pPr>
            <a:r>
              <a:rPr lang="en-US"/>
              <a:t>Bookings by Market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0F172A"/>
              </a:solidFill>
              <a:latin typeface="Segoe UI"/>
              <a:ea typeface="Segoe UI"/>
              <a:cs typeface="Segoe UI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Dashboard!$H$14</c:f>
              <c:strCache>
                <c:ptCount val="1"/>
                <c:pt idx="0">
                  <c:v>Bookings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0F6-4212-A64D-DE63499F52C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0F6-4212-A64D-DE63499F52C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0F6-4212-A64D-DE63499F52C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0F6-4212-A64D-DE63499F52C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30F6-4212-A64D-DE63499F52C4}"/>
              </c:ext>
            </c:extLst>
          </c:dPt>
          <c:cat>
            <c:strRef>
              <c:f>Dashboard!$G$15:$G$19</c:f>
              <c:strCache>
                <c:ptCount val="5"/>
                <c:pt idx="0">
                  <c:v>WE</c:v>
                </c:pt>
                <c:pt idx="1">
                  <c:v>UK</c:v>
                </c:pt>
                <c:pt idx="2">
                  <c:v>TUR</c:v>
                </c:pt>
                <c:pt idx="3">
                  <c:v>IT</c:v>
                </c:pt>
                <c:pt idx="4">
                  <c:v>EE</c:v>
                </c:pt>
              </c:strCache>
            </c:strRef>
          </c:cat>
          <c:val>
            <c:numRef>
              <c:f>Dashboard!$H$15:$H$19</c:f>
              <c:numCache>
                <c:formatCode>#,##0</c:formatCode>
                <c:ptCount val="5"/>
                <c:pt idx="0">
                  <c:v>16</c:v>
                </c:pt>
                <c:pt idx="1">
                  <c:v>3</c:v>
                </c:pt>
                <c:pt idx="2">
                  <c:v>0</c:v>
                </c:pt>
                <c:pt idx="3">
                  <c:v>3</c:v>
                </c:pt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E2-4093-A547-ADB83331CC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solidFill>
          <a:srgbClr val="F8FAFC"/>
        </a:solid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rgbClr val="0F172A"/>
              </a:solidFill>
              <a:latin typeface="Segoe UI"/>
              <a:ea typeface="Segoe UI"/>
              <a:cs typeface="Segoe UI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8FAFC"/>
    </a:solidFill>
    <a:ln w="9525" cap="flat" cmpd="sng" algn="ctr">
      <a:solidFill>
        <a:srgbClr val="334155"/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0F172A"/>
                </a:solidFill>
                <a:latin typeface="Segoe UI"/>
                <a:ea typeface="Segoe UI"/>
                <a:cs typeface="Segoe UI"/>
              </a:defRPr>
            </a:pPr>
            <a:r>
              <a:rPr lang="en-US"/>
              <a:t>Bookings by Resort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0F172A"/>
              </a:solidFill>
              <a:latin typeface="Segoe UI"/>
              <a:ea typeface="Segoe UI"/>
              <a:cs typeface="Segoe UI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Dashboard!$M$14</c:f>
              <c:strCache>
                <c:ptCount val="1"/>
                <c:pt idx="0">
                  <c:v>Bookings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Dashboard!$L$15:$L$18</c:f>
              <c:strCache>
                <c:ptCount val="4"/>
                <c:pt idx="0">
                  <c:v>HRG</c:v>
                </c:pt>
                <c:pt idx="1">
                  <c:v>SSH</c:v>
                </c:pt>
                <c:pt idx="2">
                  <c:v>RMF</c:v>
                </c:pt>
                <c:pt idx="3">
                  <c:v>Other</c:v>
                </c:pt>
              </c:strCache>
            </c:strRef>
          </c:cat>
          <c:val>
            <c:numRef>
              <c:f>Dashboard!$M$15:$M$18</c:f>
              <c:numCache>
                <c:formatCode>#,##0</c:formatCode>
                <c:ptCount val="4"/>
                <c:pt idx="0">
                  <c:v>11</c:v>
                </c:pt>
                <c:pt idx="1">
                  <c:v>4</c:v>
                </c:pt>
                <c:pt idx="2">
                  <c:v>8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3C-43C2-AE62-76C4C97967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77085504"/>
        <c:axId val="677081184"/>
      </c:barChart>
      <c:catAx>
        <c:axId val="6770855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7081184"/>
        <c:crosses val="autoZero"/>
        <c:auto val="1"/>
        <c:lblAlgn val="ctr"/>
        <c:lblOffset val="100"/>
        <c:noMultiLvlLbl val="0"/>
      </c:catAx>
      <c:valAx>
        <c:axId val="677081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7085504"/>
        <c:crosses val="autoZero"/>
        <c:crossBetween val="between"/>
      </c:valAx>
      <c:spPr>
        <a:solidFill>
          <a:srgbClr val="F8FAFC"/>
        </a:solid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rgbClr val="0F172A"/>
              </a:solidFill>
              <a:latin typeface="Segoe UI"/>
              <a:ea typeface="Segoe UI"/>
              <a:cs typeface="Segoe UI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8FAFC"/>
    </a:solidFill>
    <a:ln w="9525" cap="flat" cmpd="sng" algn="ctr">
      <a:solidFill>
        <a:srgbClr val="334155"/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0F172A"/>
                </a:solidFill>
                <a:latin typeface="Segoe UI"/>
                <a:ea typeface="Segoe UI"/>
                <a:cs typeface="Segoe UI"/>
              </a:defRPr>
            </a:pPr>
            <a:r>
              <a:rPr lang="en-US"/>
              <a:t>Monthly Bookings Trend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0F172A"/>
              </a:solidFill>
              <a:latin typeface="Segoe UI"/>
              <a:ea typeface="Segoe UI"/>
              <a:cs typeface="Segoe UI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Dashboard!$A$41</c:f>
              <c:strCache>
                <c:ptCount val="1"/>
                <c:pt idx="0">
                  <c:v>Month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Dashboard!$A$42:$A$53</c:f>
              <c:numCache>
                <c:formatCode>mmm\ yyyy</c:formatCode>
                <c:ptCount val="12"/>
                <c:pt idx="0">
                  <c:v>46204</c:v>
                </c:pt>
                <c:pt idx="1">
                  <c:v>46235</c:v>
                </c:pt>
                <c:pt idx="2">
                  <c:v>46266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D8-4BD5-9292-829908A69541}"/>
            </c:ext>
          </c:extLst>
        </c:ser>
        <c:ser>
          <c:idx val="1"/>
          <c:order val="1"/>
          <c:tx>
            <c:strRef>
              <c:f>Dashboard!$B$41</c:f>
              <c:strCache>
                <c:ptCount val="1"/>
                <c:pt idx="0">
                  <c:v>Bookings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Dashboard!$B$42:$B$53</c:f>
              <c:numCache>
                <c:formatCode>#,##0</c:formatCode>
                <c:ptCount val="12"/>
                <c:pt idx="0">
                  <c:v>23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0D8-4BD5-9292-829908A695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7087904"/>
        <c:axId val="677082144"/>
      </c:lineChart>
      <c:catAx>
        <c:axId val="67708790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7082144"/>
        <c:crosses val="autoZero"/>
        <c:auto val="1"/>
        <c:lblAlgn val="ctr"/>
        <c:lblOffset val="100"/>
        <c:noMultiLvlLbl val="0"/>
      </c:catAx>
      <c:valAx>
        <c:axId val="677082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 yyyy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7087904"/>
        <c:crosses val="autoZero"/>
        <c:crossBetween val="between"/>
      </c:valAx>
      <c:spPr>
        <a:solidFill>
          <a:srgbClr val="F8FAFC"/>
        </a:solid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rgbClr val="0F172A"/>
              </a:solidFill>
              <a:latin typeface="Segoe UI"/>
              <a:ea typeface="Segoe UI"/>
              <a:cs typeface="Segoe UI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8FAFC"/>
    </a:solidFill>
    <a:ln w="9525" cap="flat" cmpd="sng" algn="ctr">
      <a:solidFill>
        <a:srgbClr val="334155"/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0F172A"/>
                </a:solidFill>
                <a:latin typeface="Segoe UI"/>
                <a:ea typeface="Segoe UI"/>
                <a:cs typeface="Segoe UI"/>
              </a:defRPr>
            </a:pPr>
            <a:r>
              <a:rPr lang="en-US"/>
              <a:t>Monthly P/L (€)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0F172A"/>
              </a:solidFill>
              <a:latin typeface="Segoe UI"/>
              <a:ea typeface="Segoe UI"/>
              <a:cs typeface="Segoe UI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Dashboard!$J$41</c:f>
              <c:strCache>
                <c:ptCount val="1"/>
                <c:pt idx="0">
                  <c:v>Month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Dashboard!$J$42:$J$53</c:f>
              <c:numCache>
                <c:formatCode>mmm\ yyyy</c:formatCode>
                <c:ptCount val="12"/>
                <c:pt idx="0">
                  <c:v>46204</c:v>
                </c:pt>
                <c:pt idx="1">
                  <c:v>46235</c:v>
                </c:pt>
                <c:pt idx="2">
                  <c:v>46266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7A0-4C28-85F8-228B74BAFE03}"/>
            </c:ext>
          </c:extLst>
        </c:ser>
        <c:ser>
          <c:idx val="1"/>
          <c:order val="1"/>
          <c:tx>
            <c:strRef>
              <c:f>Dashboard!$K$41</c:f>
              <c:strCache>
                <c:ptCount val="1"/>
                <c:pt idx="0">
                  <c:v>P/L EUR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Dashboard!$K$42:$K$53</c:f>
              <c:numCache>
                <c:formatCode>\€#,##0;[Red]\(\€#,##0\);\-</c:formatCode>
                <c:ptCount val="12"/>
                <c:pt idx="0">
                  <c:v>1950.4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7A0-4C28-85F8-228B74BAFE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77563760"/>
        <c:axId val="677568560"/>
      </c:barChart>
      <c:catAx>
        <c:axId val="67756376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7568560"/>
        <c:crosses val="autoZero"/>
        <c:auto val="1"/>
        <c:lblAlgn val="ctr"/>
        <c:lblOffset val="100"/>
        <c:noMultiLvlLbl val="0"/>
      </c:catAx>
      <c:valAx>
        <c:axId val="677568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 yyyy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7563760"/>
        <c:crosses val="autoZero"/>
        <c:crossBetween val="between"/>
      </c:valAx>
      <c:spPr>
        <a:solidFill>
          <a:srgbClr val="F8FAFC"/>
        </a:solidFill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rgbClr val="0F172A"/>
              </a:solidFill>
              <a:latin typeface="Segoe UI"/>
              <a:ea typeface="Segoe UI"/>
              <a:cs typeface="Segoe UI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8FAFC"/>
    </a:solidFill>
    <a:ln w="9525" cap="flat" cmpd="sng" algn="ctr">
      <a:solidFill>
        <a:srgbClr val="334155"/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73</xdr:row>
      <xdr:rowOff>91440</xdr:rowOff>
    </xdr:from>
    <xdr:to>
      <xdr:col>10</xdr:col>
      <xdr:colOff>0</xdr:colOff>
      <xdr:row>88</xdr:row>
      <xdr:rowOff>142240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2E90B1E6-D042-DB27-1D5E-E8EBEBFA56A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127000</xdr:colOff>
      <xdr:row>73</xdr:row>
      <xdr:rowOff>91440</xdr:rowOff>
    </xdr:from>
    <xdr:to>
      <xdr:col>18</xdr:col>
      <xdr:colOff>76200</xdr:colOff>
      <xdr:row>88</xdr:row>
      <xdr:rowOff>142240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A23CCB78-23BE-B331-290A-113250FEA81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203200</xdr:colOff>
      <xdr:row>73</xdr:row>
      <xdr:rowOff>91440</xdr:rowOff>
    </xdr:from>
    <xdr:to>
      <xdr:col>26</xdr:col>
      <xdr:colOff>152400</xdr:colOff>
      <xdr:row>88</xdr:row>
      <xdr:rowOff>142240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7F4069E5-97EB-64A6-20F4-340373652AD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89</xdr:row>
      <xdr:rowOff>86360</xdr:rowOff>
    </xdr:from>
    <xdr:to>
      <xdr:col>18</xdr:col>
      <xdr:colOff>76200</xdr:colOff>
      <xdr:row>107</xdr:row>
      <xdr:rowOff>96520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AA220CB0-D9A4-6A2A-832A-71CE0C720B9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18</xdr:col>
      <xdr:colOff>203200</xdr:colOff>
      <xdr:row>89</xdr:row>
      <xdr:rowOff>86360</xdr:rowOff>
    </xdr:from>
    <xdr:to>
      <xdr:col>26</xdr:col>
      <xdr:colOff>152400</xdr:colOff>
      <xdr:row>107</xdr:row>
      <xdr:rowOff>96520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3D59FDC7-AC8A-BA98-D985-13DBFF15DF0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View1" id="{627989FF-0029-4822-8356-D2E67CD29CDA}"/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C3BF1-E801-4F9C-A6AE-5BA6A40A7E90}" name="Table1" displayName="Table1" ref="A1:AZ649" totalsRowShown="0" headerRowDxfId="110" dataDxfId="109">
  <autoFilter ref="A1:AZ649" xr:uid="{000C3BF1-E801-4F9C-A6AE-5BA6A40A7E90}"/>
  <tableColumns count="52">
    <tableColumn id="1" xr3:uid="{5CEEE163-DF6D-4DEA-8446-6A7A26298F99}" name="BKG Date" dataDxfId="108"/>
    <tableColumn id="2" xr3:uid="{661B6454-99B7-4B23-BF40-7E96FD600980}" name="HTL BKG Status" dataDxfId="107"/>
    <tableColumn id="3" xr3:uid="{CAEEF74B-4A72-4182-9CB6-7E1E5041DDD0}" name="T/O BKG Status" dataDxfId="106"/>
    <tableColumn id="4" xr3:uid="{003C6E20-BD7D-4881-9AB1-D1AD85652F88}" name="T/O" dataDxfId="105"/>
    <tableColumn id="5" xr3:uid="{80FE6E61-E7FE-44A2-921B-7EC8C925DC77}" name="Market" dataDxfId="104"/>
    <tableColumn id="6" xr3:uid="{15833EBD-115C-4CD2-93DE-36D9AF0747B5}" name="T/O BKG Ref" dataDxfId="103"/>
    <tableColumn id="7" xr3:uid="{8EACE85A-F6A0-40D6-9CA2-C16631B0A1AC}" name="Sejour Ref" dataDxfId="102"/>
    <tableColumn id="8" xr3:uid="{57CE9E05-24D2-45A8-A736-33D8201D9CAA}" name="Resort" dataDxfId="101"/>
    <tableColumn id="9" xr3:uid="{955A74BC-8B17-463D-9B13-B81E90A342DE}" name="Hotel Name" dataDxfId="100"/>
    <tableColumn id="10" xr3:uid="{2A25D8F1-D967-41FD-993D-79F298C5A4D7}" name="Room Type" dataDxfId="99"/>
    <tableColumn id="11" xr3:uid="{F0F5E995-0763-4FD4-8FDA-0F81F72A30AE}" name="Arr Date" dataDxfId="98"/>
    <tableColumn id="12" xr3:uid="{5D0F48BE-81BC-43A6-8497-9CA6FC080CDE}" name="Dep Date" dataDxfId="97"/>
    <tableColumn id="13" xr3:uid="{6C957881-A60B-41AC-9C06-0050086A1680}" name="NTS" dataDxfId="96">
      <calculatedColumnFormula>Table1[[#This Row],[Dep Date]]-Table1[[#This Row],[Arr Date]]</calculatedColumnFormula>
    </tableColumn>
    <tableColumn id="14" xr3:uid="{6ECFC36A-74EC-4024-A780-14265E62FFC4}" name="Room" dataDxfId="95"/>
    <tableColumn id="15" xr3:uid="{762B9C96-3C41-4095-B165-9061E0829FAC}" name="No RMS" dataDxfId="94"/>
    <tableColumn id="16" xr3:uid="{FC9244D4-8C21-45B8-976F-F2EA187318E3}" name="AD" dataDxfId="93"/>
    <tableColumn id="17" xr3:uid="{89499A70-37BC-4C2A-9D32-024B2A17DCCD}" name="CH" dataDxfId="92"/>
    <tableColumn id="18" xr3:uid="{38F73B51-56AE-4F16-B0C3-22CA50F47FAF}" name="INF" dataDxfId="91"/>
    <tableColumn id="19" xr3:uid="{B8653237-AA5E-4E3A-8753-038D53160F35}" name="MB" dataDxfId="90"/>
    <tableColumn id="20" xr3:uid="{CA4DD3E9-7EF3-4BB3-8A46-A69FE7FB3E7D}" name="Guest Name" dataDxfId="89"/>
    <tableColumn id="21" xr3:uid="{A4B72CE6-6EEB-4F83-BA9F-49085626AF8C}" name="01st CHD Age" dataDxfId="88"/>
    <tableColumn id="22" xr3:uid="{D8CB7770-8BE1-4975-AE9D-A47702241E97}" name="01st CHD DOB" dataDxfId="87"/>
    <tableColumn id="23" xr3:uid="{E6861CB4-3638-4B35-AD33-6A0224E8079A}" name="02nd CHD Age" dataDxfId="86"/>
    <tableColumn id="24" xr3:uid="{10103E47-5F30-4E95-97A7-7AB818075E3E}" name="02nd CHD DOB" dataDxfId="85"/>
    <tableColumn id="25" xr3:uid="{5436AD09-B96D-4B6F-B17D-A270AF80CFFA}" name="Cost USD" dataDxfId="84"/>
    <tableColumn id="26" xr3:uid="{A9AB9749-8FEA-4FA3-BD5A-FE38964B4205}" name="Selling USD" dataDxfId="83"/>
    <tableColumn id="27" xr3:uid="{2AB9B2AA-6AFD-4381-99C0-83E530D892F9}" name="P/L USD" dataDxfId="82">
      <calculatedColumnFormula>Table1[[#This Row],[Selling USD]]-Table1[[#This Row],[Cost USD]]</calculatedColumnFormula>
    </tableColumn>
    <tableColumn id="28" xr3:uid="{FE05B582-0C3B-4E3A-A48A-F38287C39FA4}" name="Cost EUR" dataDxfId="81"/>
    <tableColumn id="29" xr3:uid="{945D4FF0-A4B2-4524-8256-16E76BA62B2E}" name="Selling EUR" dataDxfId="80"/>
    <tableColumn id="31" xr3:uid="{0B69531C-889F-4AA6-90D9-20287416FEF6}" name="P/L EUR" dataDxfId="79">
      <calculatedColumnFormula>Table1[[#This Row],[Selling EUR]]-Table1[[#This Row],[Cost EUR]]</calculatedColumnFormula>
    </tableColumn>
    <tableColumn id="32" xr3:uid="{2AF40D6D-EFA0-4335-BE1C-29DD0D797255}" name="Payment Method" dataDxfId="78"/>
    <tableColumn id="33" xr3:uid="{B0C592F1-8DE2-4A9B-8F72-A061552DEE89}" name="P. Option Date" dataDxfId="77"/>
    <tableColumn id="34" xr3:uid="{BD5CB8CD-CC44-402F-BD09-107B71CDE5F4}" name="Accounting Remarks" dataDxfId="76"/>
    <tableColumn id="35" xr3:uid="{BFAF522A-8E35-467F-AA25-43C03087C43F}" name="Visa&amp;Handling" dataDxfId="75"/>
    <tableColumn id="36" xr3:uid="{01901F3C-B5D6-4C32-A754-BE87AEA05250}" name="Arr FLT No" dataDxfId="74"/>
    <tableColumn id="37" xr3:uid="{8A37FEFC-140D-492F-88C2-406B3858F281}" name="Arr Time" dataDxfId="73"/>
    <tableColumn id="38" xr3:uid="{12D7ACF4-B3D5-4707-85DD-76D0871D11D8}" name="Dep FLT No" dataDxfId="72"/>
    <tableColumn id="39" xr3:uid="{ECB355A2-7060-4490-8249-859F6F7D74A3}" name="Dep FLT Time" dataDxfId="71"/>
    <tableColumn id="40" xr3:uid="{85617D75-6944-477F-B9AC-39E83809D0A3}" name="Meet, Assist &amp; Visa" dataDxfId="70"/>
    <tableColumn id="41" xr3:uid="{F600410D-EAC7-4164-8525-3E7ACD3711EF}" name="Remarks" dataDxfId="69"/>
    <tableColumn id="48" xr3:uid="{691480A4-26E1-4800-BC2E-FEE263F3C03D}" name="EBD %" dataDxfId="68"/>
    <tableColumn id="49" xr3:uid="{137464DE-877B-4245-BB62-4E7E30FC9E35}" name="EBD Payment Date" dataDxfId="67"/>
    <tableColumn id="50" xr3:uid="{CB42D980-A8BF-4105-963D-D207DEA87406}" name="EBD Payment Amount USD" dataDxfId="66"/>
    <tableColumn id="51" xr3:uid="{EA28C18C-0A12-47DF-854F-70DE0EE772D5}" name="EBD Payment Amount EUR" dataDxfId="65"/>
    <tableColumn id="52" xr3:uid="{93C8458E-280B-4338-A83C-1C01C3746356}" name="Guest Name Rebooked" dataDxfId="64"/>
    <tableColumn id="42" xr3:uid="{8CCACA5D-9A59-43C3-A046-C47CB6491E12}" name="RowIndex" dataDxfId="63"/>
    <tableColumn id="43" xr3:uid="{6F333FA5-8F4F-49B7-8635-663D95D409CB}" name="Don't Touch" dataDxfId="62"/>
    <tableColumn id="44" xr3:uid="{3F8AF1B8-9203-4E7A-85FF-8C53977FB12E}" name="Column1" dataDxfId="61"/>
    <tableColumn id="45" xr3:uid="{19F941A4-82FD-4C10-B00B-794BD10A9A07}" name="Column2" dataDxfId="60"/>
    <tableColumn id="46" xr3:uid="{ED4BF608-0209-46E7-B9A1-DF65A626AAE1}" name="Column3" dataDxfId="59"/>
    <tableColumn id="47" xr3:uid="{0038DE3B-23AC-4C43-B01E-AC87C29200F6}" name="Column5" dataDxfId="58"/>
    <tableColumn id="30" xr3:uid="{9744A64A-4E3C-4560-A117-9868FEC5CDBA}" name="PB" dataDxfId="57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DBE06B18-FE15-4864-A7CA-885778E41875}" name="HotelArrivalList_TBL7" displayName="HotelArrivalList_TBL7" ref="A4:I1053" totalsRowShown="0" headerRowDxfId="36" dataDxfId="34" headerRowBorderDxfId="35" tableBorderDxfId="33">
  <autoFilter ref="A4:I1053" xr:uid="{1BB0DC6E-5740-4A58-810F-E0CBBB10E73F}">
    <filterColumn colId="8">
      <filters>
        <filter val="MYW"/>
      </filters>
    </filterColumn>
  </autoFilter>
  <tableColumns count="9">
    <tableColumn id="5" xr3:uid="{84C75FB4-424A-4839-A70E-A7EC748019F8}" name="Arr Date" dataDxfId="32">
      <calculatedColumnFormula array="1">IFERROR(
    INDEX('BKG Bank'!#REF!,
          SMALL(
              IF(('BKG Bank'!#REF! &gt;= $A$2) * ('BKG Bank'!#REF! &lt;= $B$2),
                 ROW('BKG Bank'!#REF!) - ROW('BKG Bank'!#REF!) + 1, ""),
              ROW() - ROW($B$5) + 1)
          ),
    ""
)</calculatedColumnFormula>
    </tableColumn>
    <tableColumn id="1" xr3:uid="{323A9C32-563F-4E8A-9BEB-16F4997C91CF}" name="Arr FLT No" dataDxfId="31">
      <calculatedColumnFormula array="1">IFERROR(
    INDEX('BKG Bank'!#REF!,
          SMALL(
              IF(('BKG Bank'!#REF! &gt;= $A$2) * ('BKG Bank'!#REF! &lt;= $B$2),
                 ROW('BKG Bank'!#REF!) - ROW('BKG Bank'!#REF!) + 1, ""),
              ROW() - ROW($B$5) + 1)
          ),
    ""
)</calculatedColumnFormula>
    </tableColumn>
    <tableColumn id="6" xr3:uid="{25B3D50E-BA3C-49DB-BAA5-D0333DC5748E}" name="Arr Time" dataDxfId="30">
      <calculatedColumnFormula array="1">IFERROR(
    INDEX('BKG Bank'!#REF!,
          SMALL(
              IF(('BKG Bank'!#REF! &gt;= $A$2) * ('BKG Bank'!#REF! &lt;= $B$2),
                 ROW('BKG Bank'!#REF!) - ROW('BKG Bank'!#REF!) + 1, ""),
              ROW() - ROW($B$5) + 1)
          ),
    ""
)</calculatedColumnFormula>
    </tableColumn>
    <tableColumn id="4" xr3:uid="{EDD31CE7-2587-4424-A025-7FE222C812C4}" name="Hotel Name" dataDxfId="29">
      <calculatedColumnFormula array="1">IFERROR(
    INDEX('BKG Bank'!#REF!,
          SMALL(
              IF(('BKG Bank'!#REF! &gt;= $A$2) * ('BKG Bank'!#REF! &lt;= $B$2),
                 ROW('BKG Bank'!#REF!) - ROW('BKG Bank'!#REF!) + 1, ""),
              ROW() - ROW($B$5) + 1)
          ),
    ""
)</calculatedColumnFormula>
    </tableColumn>
    <tableColumn id="3" xr3:uid="{9E102726-F3E4-41C4-AB1E-C52C30BD140E}" name="Guest Name" dataDxfId="28">
      <calculatedColumnFormula array="1">IFERROR(
    INDEX('BKG Bank'!#REF!,
          SMALL(
              IF(('BKG Bank'!#REF! &gt;= $A$2) * ('BKG Bank'!#REF! &lt;= $B$2),
                 ROW('BKG Bank'!#REF!) - ROW('BKG Bank'!#REF!) + 1, ""),
              ROW() - ROW($B$5) + 1)
          ),
    ""
)</calculatedColumnFormula>
    </tableColumn>
    <tableColumn id="11" xr3:uid="{EFC5396D-C1E2-4032-A65C-20E7096918DA}" name="AD" dataDxfId="27">
      <calculatedColumnFormula array="1">IFERROR(
    INDEX('BKG Bank'!#REF!,
          SMALL(
              IF(('BKG Bank'!#REF! &gt;= $A$2) * ('BKG Bank'!#REF! &lt;= $B$2),
                 ROW('BKG Bank'!#REF!) - ROW('BKG Bank'!#REF!) + 1, ""),
              ROW() - ROW($B$5) + 1)
          ),
    ""
)</calculatedColumnFormula>
    </tableColumn>
    <tableColumn id="12" xr3:uid="{938330D4-972D-45EA-BC2C-9B504CCA9E78}" name="CH" dataDxfId="26">
      <calculatedColumnFormula array="1">IFERROR(
    INDEX('BKG Bank'!#REF!,
          SMALL(
              IF(('BKG Bank'!#REF! &gt;= $A$2) * ('BKG Bank'!#REF! &lt;= $B$2),
                 ROW('BKG Bank'!#REF!) - ROW('BKG Bank'!#REF!) + 1, ""),
              ROW() - ROW($B$5) + 1)
          ),
    ""
)</calculatedColumnFormula>
    </tableColumn>
    <tableColumn id="13" xr3:uid="{73B7939D-4FBE-4010-92F5-6CC39E2A998A}" name="INF" dataDxfId="25">
      <calculatedColumnFormula array="1">IFERROR(
    INDEX('BKG Bank'!#REF!,
          SMALL(
              IF(('BKG Bank'!#REF! &gt;= $A$2) * ('BKG Bank'!#REF! &lt;= $B$2),
                 ROW('BKG Bank'!#REF!) - ROW('BKG Bank'!#REF!) + 1, ""),
              ROW() - ROW($B$5) + 1)
          ),
    ""
)</calculatedColumnFormula>
    </tableColumn>
    <tableColumn id="2" xr3:uid="{D4D78B58-9542-40A5-B18B-A80462E1C0BA}" name="T/O" dataDxfId="24">
      <calculatedColumnFormula array="1">IFERROR(
    INDEX('BKG Bank'!#REF!,
          SMALL(
              IF(('BKG Bank'!#REF! &gt;= $A$2) * ('BKG Bank'!#REF! &lt;= $B$2),
                 ROW('BKG Bank'!#REF!) - ROW('BKG Bank'!#REF!) + 1, ""),
              ROW() - ROW($B$5) + 1)
          ),
    ""
)</calculatedColumnFormula>
    </tableColumn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7396628-0BB0-46E8-909A-20881D8A6690}" name="HotelArrivalList_TBL78" displayName="HotelArrivalList_TBL78" ref="A4:I1002" totalsRowShown="0" headerRowDxfId="23" dataDxfId="21" headerRowBorderDxfId="22" tableBorderDxfId="20">
  <autoFilter ref="A4:I1002" xr:uid="{1BB0DC6E-5740-4A58-810F-E0CBBB10E73F}">
    <filterColumn colId="8">
      <filters>
        <filter val="MYW"/>
      </filters>
    </filterColumn>
  </autoFilter>
  <tableColumns count="9">
    <tableColumn id="5" xr3:uid="{87F700C8-E3F7-4B14-8D77-18CAAB5AC0BF}" name="Dep Date" dataDxfId="19">
      <calculatedColumnFormula array="1">IFERROR(
    INDEX('BKG Bank'!#REF!,
          SMALL(
              IF(('BKG Bank'!#REF! &gt;= $A$2) * ('BKG Bank'!#REF! &lt;= $B$2),
                 ROW('BKG Bank'!#REF!) - ROW('BKG Bank'!#REF!) + 1, ""),
              ROW() - ROW($B$5) + 1)
          ),
    ""
)</calculatedColumnFormula>
    </tableColumn>
    <tableColumn id="1" xr3:uid="{11078FA8-8AAB-4DC4-995E-A743ECC8B883}" name="Dep FLT No" dataDxfId="18">
      <calculatedColumnFormula>'BKG Bank'!#REF!</calculatedColumnFormula>
    </tableColumn>
    <tableColumn id="6" xr3:uid="{2D2579D8-BFEA-4A73-B23E-6D1CA89FB4BB}" name="Dep FLT Time" dataDxfId="17">
      <calculatedColumnFormula>'BKG Bank'!#REF!</calculatedColumnFormula>
    </tableColumn>
    <tableColumn id="4" xr3:uid="{0D270055-81B9-485D-938D-33BC3227D6C0}" name="Hotel Name" dataDxfId="16">
      <calculatedColumnFormula array="1">IFERROR(
    INDEX('BKG Bank'!#REF!,
          SMALL(
              IF(('BKG Bank'!#REF! &gt;= $A$2) * ('BKG Bank'!#REF! &lt;= $B$2),
                 ROW('BKG Bank'!#REF!) - ROW('BKG Bank'!#REF!) + 1, ""),
              ROW() - ROW($B$5) + 1)
          ),
    ""
)</calculatedColumnFormula>
    </tableColumn>
    <tableColumn id="3" xr3:uid="{6235428E-88D4-4D33-93A0-CB8A655916F0}" name="Guest Name" dataDxfId="15">
      <calculatedColumnFormula array="1">IFERROR(
    INDEX('BKG Bank'!#REF!,
          SMALL(
              IF(('BKG Bank'!#REF! &gt;= $A$2) * ('BKG Bank'!#REF! &lt;= $B$2),
                 ROW('BKG Bank'!#REF!) - ROW('BKG Bank'!#REF!) + 1, ""),
              ROW() - ROW($B$5) + 1)
          ),
    ""
)</calculatedColumnFormula>
    </tableColumn>
    <tableColumn id="11" xr3:uid="{1F0FE2FE-599F-44F9-AF42-3BBED52FA7DB}" name="AD" dataDxfId="14">
      <calculatedColumnFormula array="1">IFERROR(
    INDEX('BKG Bank'!#REF!,
          SMALL(
              IF(('BKG Bank'!#REF! &gt;= $A$2) * ('BKG Bank'!#REF! &lt;= $B$2),
                 ROW('BKG Bank'!#REF!) - ROW('BKG Bank'!#REF!) + 1, ""),
              ROW() - ROW($B$5) + 1)
          ),
    ""
)</calculatedColumnFormula>
    </tableColumn>
    <tableColumn id="12" xr3:uid="{565A7ADF-EE6E-4EE1-A62E-36D3C021E4CA}" name="CH" dataDxfId="13">
      <calculatedColumnFormula array="1">IFERROR(
    INDEX('BKG Bank'!#REF!,
          SMALL(
              IF(('BKG Bank'!#REF! &gt;= $A$2) * ('BKG Bank'!#REF! &lt;= $B$2),
                 ROW('BKG Bank'!#REF!) - ROW('BKG Bank'!#REF!) + 1, ""),
              ROW() - ROW($B$5) + 1)
          ),
    ""
)</calculatedColumnFormula>
    </tableColumn>
    <tableColumn id="13" xr3:uid="{84F116F0-2441-4D38-86BF-E7F5D413049F}" name="INF" dataDxfId="12">
      <calculatedColumnFormula array="1">IFERROR(
    INDEX('BKG Bank'!#REF!,
          SMALL(
              IF(('BKG Bank'!#REF! &gt;= $A$2) * ('BKG Bank'!#REF! &lt;= $B$2),
                 ROW('BKG Bank'!#REF!) - ROW('BKG Bank'!#REF!) + 1, ""),
              ROW() - ROW($B$5) + 1)
          ),
    ""
)</calculatedColumnFormula>
    </tableColumn>
    <tableColumn id="2" xr3:uid="{1C857A6C-E5C7-4897-9ED0-5D842589D97A}" name="T/O" dataDxfId="11">
      <calculatedColumnFormula array="1">IFERROR(
    INDEX('BKG Bank'!#REF!,
          SMALL(
              IF(('BKG Bank'!#REF! &gt;= $A$2) * ('BKG Bank'!#REF! &lt;= $B$2),
                 ROW('BKG Bank'!#REF!) - ROW('BKG Bank'!#REF!) + 1, ""),
              ROW() - ROW($B$5) + 1)
          ),
    ""
)</calculatedColumnFormula>
    </tableColumn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9E7A8E5-8CB4-4A20-BE0C-9391ED047572}" name="Stop_Sale" displayName="Stop_Sale" ref="A1:I2000" totalsRowShown="0" headerRowDxfId="10" dataDxfId="9">
  <autoFilter ref="A1:I2000" xr:uid="{7E249715-B926-45B5-AFCB-D12A35894457}"/>
  <tableColumns count="9">
    <tableColumn id="1" xr3:uid="{E13F6734-A349-46C3-921C-AC14D9312BF4}" name="Hotel Name" dataDxfId="8"/>
    <tableColumn id="2" xr3:uid="{4FAE7C33-9F24-49D1-A75D-52CE7498983B}" name="Room Type" dataDxfId="7"/>
    <tableColumn id="3" xr3:uid="{21B310C7-A348-46A1-B0EA-4AB24AFD1AF2}" name="#Room" dataDxfId="6"/>
    <tableColumn id="4" xr3:uid="{E3206393-4532-49D8-9462-DA18494C4AF4}" name="Date From" dataDxfId="5"/>
    <tableColumn id="5" xr3:uid="{646469D4-FC64-43DE-BD45-99B9BF9D41CC}" name="Date To" dataDxfId="4">
      <calculatedColumnFormula>G2</calculatedColumnFormula>
    </tableColumn>
    <tableColumn id="6" xr3:uid="{B5F9F61A-E678-4994-955D-19B4EA2BB9E0}" name="Date To2" dataDxfId="3"/>
    <tableColumn id="7" xr3:uid="{9961D1AD-5369-4A66-A5FC-8E534C49CE0B}" name="Date To3" dataDxfId="2">
      <calculatedColumnFormula>F2+1</calculatedColumnFormula>
    </tableColumn>
    <tableColumn id="8" xr3:uid="{223D3909-3943-4320-99F3-721F667B035E}" name="Received Date" dataDxfId="1">
      <calculatedColumnFormula>DATE(YEAR(DATEVALUE(_xlfn.TEXTAFTER(Stop_Sale[[#This Row],[Received Time]], " ", 1))), MONTH(DATEVALUE(_xlfn.TEXTAFTER(Stop_Sale[[#This Row],[Received Time]], " ", 1))), DAY(DATEVALUE(_xlfn.TEXTAFTER(Stop_Sale[[#This Row],[Received Time]], " ", 1))))</calculatedColumnFormula>
    </tableColumn>
    <tableColumn id="9" xr3:uid="{C9406525-7515-4DCB-917D-7D21AD27CC40}" name="Received Time" dataDxfId="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462C356-DF78-45C4-B1FB-20FC829BC5CE}" name="tblMealBasis" displayName="tblMealBasis" ref="A1:A7" totalsRowShown="0">
  <autoFilter ref="A1:A7" xr:uid="{5462C356-DF78-45C4-B1FB-20FC829BC5CE}"/>
  <tableColumns count="1">
    <tableColumn id="1" xr3:uid="{E3336BCC-A830-4B87-A370-BB89A13B7F07}" name="Meal Basis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E41D2E0-8AE5-4B02-8CB4-406FCC85493E}" name="tblStatus" displayName="tblStatus" ref="C1:C8" totalsRowShown="0">
  <autoFilter ref="C1:C8" xr:uid="{6E41D2E0-8AE5-4B02-8CB4-406FCC85493E}"/>
  <tableColumns count="1">
    <tableColumn id="1" xr3:uid="{BB56674E-CE98-4B59-9869-821331B9EA93}" name="Booking Status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EB2876A6-87CB-4D1B-8BEC-8F6C436859BB}" name="tblMarket" displayName="tblMarket" ref="G1:G7" totalsRowShown="0">
  <autoFilter ref="G1:G7" xr:uid="{EB2876A6-87CB-4D1B-8BEC-8F6C436859BB}"/>
  <tableColumns count="1">
    <tableColumn id="1" xr3:uid="{C1A17D4B-F49E-474C-809F-94C5F6C0251A}" name="Market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659CB543-E280-403D-8DFC-E4472FF76410}" name="tblResort" displayName="tblResort" ref="I1:I13" totalsRowShown="0">
  <autoFilter ref="I1:I13" xr:uid="{659CB543-E280-403D-8DFC-E4472FF76410}"/>
  <tableColumns count="1">
    <tableColumn id="1" xr3:uid="{0B38FBFB-15EF-40DD-91F5-259642447C1E}" name="Resort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D1DE3995-6893-47FF-B9BB-2E36DA5B42FC}" name="tblRoomCat" displayName="tblRoomCat" ref="K1:K7" totalsRowShown="0">
  <autoFilter ref="K1:K7" xr:uid="{D1DE3995-6893-47FF-B9BB-2E36DA5B42FC}"/>
  <tableColumns count="1">
    <tableColumn id="1" xr3:uid="{347F5044-F721-4561-A76B-6E836E13B916}" name="Room Category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45D68E3-7F71-496C-BD0B-D15EE4107790}" name="tblPayMethod" displayName="tblPayMethod" ref="M1:M6" totalsRowShown="0">
  <autoFilter ref="M1:M6" xr:uid="{C45D68E3-7F71-496C-BD0B-D15EE4107790}"/>
  <tableColumns count="1">
    <tableColumn id="1" xr3:uid="{611799BF-AE4A-4DE7-BDF2-E59F549E2515}" name="Payment Method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3CA9D6A9-FDD5-486F-B470-5BB2809C7F97}" name="tblTourOp" displayName="tblTourOp" ref="E1:E5" totalsRowShown="0">
  <autoFilter ref="E1:E5" xr:uid="{3CA9D6A9-FDD5-486F-B470-5BB2809C7F97}"/>
  <tableColumns count="1">
    <tableColumn id="1" xr3:uid="{F2BFAD91-435E-44DD-82C8-87424CC0F261}" name="Tour Operator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99E4728-AB91-47AA-9C0E-2C820AC34FEB}" name="tblCurrency" displayName="tblCurrency" ref="O1:O5" totalsRowShown="0">
  <autoFilter ref="O1:O5" xr:uid="{699E4728-AB91-47AA-9C0E-2C820AC34FEB}"/>
  <tableColumns count="1">
    <tableColumn id="1" xr3:uid="{96BFC35A-3F8B-41A2-81D9-A3E9F29884B0}" name="Currency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D8D04AF4-C04D-47E0-8D8F-D38D563D6485}" name="tblSPO" displayName="tblSPO" ref="Q1:Q3" totalsRowShown="0">
  <autoFilter ref="Q1:Q3" xr:uid="{D8D04AF4-C04D-47E0-8D8F-D38D563D6485}"/>
  <tableColumns count="1">
    <tableColumn id="1" xr3:uid="{14344F94-6E17-45DC-9C61-A296FE4A7468}" name="SPO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EE3A2907-C63B-4829-B933-75250A26DF50}" name="tblUsers" displayName="tblUsers" ref="A1:C8" totalsRowShown="0">
  <autoFilter ref="A1:C8" xr:uid="{EE3A2907-C63B-4829-B933-75250A26DF50}"/>
  <tableColumns count="3">
    <tableColumn id="1" xr3:uid="{D5BE507E-F51B-45CF-9A09-6B550E53B02A}" name="Username"/>
    <tableColumn id="2" xr3:uid="{5F4FC0D6-073B-4C95-A167-3F0CDC2C052B}" name="Password"/>
    <tableColumn id="3" xr3:uid="{6AA55611-A7F4-46EC-85B2-C6D261298AAF}" name="Rol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8" row="1">
    <wetp:webextensionref xmlns:r="http://schemas.openxmlformats.org/officeDocument/2006/relationships" r:id="rId1"/>
  </wetp:taskpane>
  <wetp:taskpane dockstate="right" visibility="0" width="813" row="7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C9E70939-5039-4720-83BC-1083C4A31C71}">
  <we:reference id="wa200005502" version="1.0.0.12" store="en-US" storeType="OMEX"/>
  <we:alternateReferences>
    <we:reference id="WA200005502" version="1.0.0.12" store="WA200005502" storeType="OMEX"/>
  </we:alternateReferences>
  <we:properties>
    <we:property name="docId" value="&quot;ijosk1-mWUKNo9ENH3a93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_xldudf_GPT_CREATE_PROMPT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DE2294BB-711A-4DF5-B10F-8EC158A7FF74}">
  <we:reference id="wa200009404" version="1.0.0.8" store="en-US" storeType="OMEX"/>
  <we:alternateReferences>
    <we:reference id="WA200009404" version="1.0.0.8" store="" storeType="OMEX"/>
  </we:alternateReferences>
  <we:properties>
    <we:property name="claude.fileId" value="&quot;9213afaf-d6c8-4e28-896d-f924463ec49d&quot;"/>
  </we:properties>
  <we:bindings/>
  <we:snapshot xmlns:r="http://schemas.openxmlformats.org/officeDocument/2006/relationships"/>
</we:webextension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5" Type="http://schemas.microsoft.com/office/2019/04/relationships/namedSheetView" Target="../namedSheetViews/namedSheetView1.xml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2.xml"/><Relationship Id="rId3" Type="http://schemas.openxmlformats.org/officeDocument/2006/relationships/table" Target="../tables/table7.xml"/><Relationship Id="rId7" Type="http://schemas.openxmlformats.org/officeDocument/2006/relationships/table" Target="../tables/table11.xml"/><Relationship Id="rId2" Type="http://schemas.openxmlformats.org/officeDocument/2006/relationships/table" Target="../tables/table6.xml"/><Relationship Id="rId1" Type="http://schemas.openxmlformats.org/officeDocument/2006/relationships/table" Target="../tables/table5.xml"/><Relationship Id="rId6" Type="http://schemas.openxmlformats.org/officeDocument/2006/relationships/table" Target="../tables/table10.xml"/><Relationship Id="rId5" Type="http://schemas.openxmlformats.org/officeDocument/2006/relationships/table" Target="../tables/table9.xml"/><Relationship Id="rId4" Type="http://schemas.openxmlformats.org/officeDocument/2006/relationships/table" Target="../tables/table8.xml"/><Relationship Id="rId9" Type="http://schemas.openxmlformats.org/officeDocument/2006/relationships/table" Target="../tables/table1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AE8D18-E11A-4244-B104-8088D759597E}">
  <sheetPr codeName="Sheet15"/>
  <dimension ref="A1:Z80"/>
  <sheetViews>
    <sheetView showGridLines="0" showRowColHeaders="0" tabSelected="1" workbookViewId="0">
      <selection activeCell="B5" sqref="B5:J7"/>
    </sheetView>
  </sheetViews>
  <sheetFormatPr defaultRowHeight="14.4" x14ac:dyDescent="0.3"/>
  <sheetData>
    <row r="1" spans="1:26" x14ac:dyDescent="0.3">
      <c r="A1" s="300"/>
      <c r="B1" s="300"/>
      <c r="C1" s="300"/>
      <c r="D1" s="300"/>
      <c r="E1" s="300"/>
      <c r="F1" s="300"/>
      <c r="G1" s="300"/>
      <c r="H1" s="300"/>
      <c r="I1" s="300"/>
      <c r="J1" s="300"/>
      <c r="K1" s="300"/>
      <c r="L1" s="300"/>
      <c r="M1" s="300"/>
      <c r="N1" s="300"/>
      <c r="O1" s="300"/>
      <c r="P1" s="300"/>
      <c r="Q1" s="300"/>
      <c r="R1" s="300"/>
      <c r="S1" s="300"/>
      <c r="T1" s="300"/>
      <c r="U1" s="300"/>
      <c r="V1" s="300"/>
      <c r="W1" s="300"/>
      <c r="X1" s="300"/>
      <c r="Y1" s="300"/>
      <c r="Z1" s="300" t="s">
        <v>2674</v>
      </c>
    </row>
    <row r="2" spans="1:26" x14ac:dyDescent="0.3">
      <c r="A2" s="300"/>
      <c r="B2" s="300"/>
      <c r="C2" s="300"/>
      <c r="D2" s="300"/>
      <c r="E2" s="300"/>
      <c r="F2" s="300"/>
      <c r="G2" s="300"/>
      <c r="H2" s="300"/>
      <c r="I2" s="300"/>
      <c r="J2" s="300"/>
      <c r="K2" s="300"/>
      <c r="L2" s="300"/>
      <c r="M2" s="300"/>
      <c r="N2" s="300"/>
      <c r="O2" s="300"/>
      <c r="P2" s="300"/>
      <c r="Q2" s="300"/>
      <c r="R2" s="300"/>
      <c r="S2" s="300"/>
      <c r="T2" s="300"/>
      <c r="U2" s="300"/>
      <c r="V2" s="300"/>
      <c r="W2" s="300"/>
      <c r="X2" s="300"/>
      <c r="Y2" s="300"/>
      <c r="Z2" s="300" t="s">
        <v>2675</v>
      </c>
    </row>
    <row r="3" spans="1:26" ht="38.4" x14ac:dyDescent="0.7">
      <c r="A3" s="300"/>
      <c r="B3" s="340" t="s">
        <v>2672</v>
      </c>
      <c r="C3" s="340"/>
      <c r="D3" s="340"/>
      <c r="E3" s="340"/>
      <c r="F3" s="340"/>
      <c r="G3" s="340"/>
      <c r="H3" s="340"/>
      <c r="I3" s="340"/>
      <c r="J3" s="340"/>
      <c r="K3" s="300"/>
      <c r="L3" s="300"/>
      <c r="M3" s="300"/>
      <c r="N3" s="300"/>
      <c r="O3" s="300"/>
      <c r="P3" s="300"/>
      <c r="Q3" s="300"/>
      <c r="R3" s="300"/>
      <c r="S3" s="300"/>
      <c r="T3" s="300"/>
      <c r="U3" s="300"/>
      <c r="V3" s="300"/>
      <c r="W3" s="300"/>
      <c r="X3" s="300"/>
      <c r="Y3" s="300"/>
      <c r="Z3" s="300" t="s">
        <v>2676</v>
      </c>
    </row>
    <row r="4" spans="1:26" x14ac:dyDescent="0.3">
      <c r="A4" s="300"/>
      <c r="B4" s="300"/>
      <c r="C4" s="300"/>
      <c r="D4" s="300"/>
      <c r="E4" s="300"/>
      <c r="F4" s="300"/>
      <c r="G4" s="300"/>
      <c r="H4" s="300"/>
      <c r="I4" s="300"/>
      <c r="J4" s="300"/>
      <c r="K4" s="300"/>
      <c r="L4" s="300"/>
      <c r="M4" s="300"/>
      <c r="N4" s="300"/>
      <c r="O4" s="300"/>
      <c r="P4" s="300"/>
      <c r="Q4" s="300"/>
      <c r="R4" s="300"/>
      <c r="S4" s="300"/>
      <c r="T4" s="300"/>
      <c r="U4" s="300"/>
      <c r="V4" s="300"/>
      <c r="W4" s="300"/>
      <c r="X4" s="300"/>
      <c r="Y4" s="300"/>
      <c r="Z4" s="300" t="s">
        <v>2677</v>
      </c>
    </row>
    <row r="5" spans="1:26" x14ac:dyDescent="0.3">
      <c r="A5" s="300"/>
      <c r="B5" s="341" t="s">
        <v>2673</v>
      </c>
      <c r="C5" s="341"/>
      <c r="D5" s="341"/>
      <c r="E5" s="341"/>
      <c r="F5" s="341"/>
      <c r="G5" s="341"/>
      <c r="H5" s="341"/>
      <c r="I5" s="341"/>
      <c r="J5" s="341"/>
      <c r="K5" s="300"/>
      <c r="L5" s="300"/>
      <c r="M5" s="300"/>
      <c r="N5" s="300"/>
      <c r="O5" s="300"/>
      <c r="P5" s="300"/>
      <c r="Q5" s="300"/>
      <c r="R5" s="300"/>
      <c r="S5" s="300"/>
      <c r="T5" s="300"/>
      <c r="U5" s="300"/>
      <c r="V5" s="300"/>
      <c r="W5" s="300"/>
      <c r="X5" s="300"/>
      <c r="Y5" s="300"/>
      <c r="Z5" s="300" t="s">
        <v>2678</v>
      </c>
    </row>
    <row r="6" spans="1:26" x14ac:dyDescent="0.3">
      <c r="A6" s="300"/>
      <c r="B6" s="341"/>
      <c r="C6" s="341"/>
      <c r="D6" s="341"/>
      <c r="E6" s="341"/>
      <c r="F6" s="341"/>
      <c r="G6" s="341"/>
      <c r="H6" s="341"/>
      <c r="I6" s="341"/>
      <c r="J6" s="341"/>
      <c r="K6" s="300"/>
      <c r="L6" s="300"/>
      <c r="M6" s="300"/>
      <c r="N6" s="300"/>
      <c r="O6" s="300"/>
      <c r="P6" s="300"/>
      <c r="Q6" s="300"/>
      <c r="R6" s="300"/>
      <c r="S6" s="300"/>
      <c r="T6" s="300"/>
      <c r="U6" s="300"/>
      <c r="V6" s="300"/>
      <c r="W6" s="300"/>
      <c r="X6" s="300"/>
      <c r="Y6" s="300"/>
      <c r="Z6" s="300" t="s">
        <v>2679</v>
      </c>
    </row>
    <row r="7" spans="1:26" x14ac:dyDescent="0.3">
      <c r="A7" s="300"/>
      <c r="B7" s="341"/>
      <c r="C7" s="341"/>
      <c r="D7" s="341"/>
      <c r="E7" s="341"/>
      <c r="F7" s="341"/>
      <c r="G7" s="341"/>
      <c r="H7" s="341"/>
      <c r="I7" s="341"/>
      <c r="J7" s="341"/>
      <c r="K7" s="300"/>
      <c r="L7" s="300"/>
      <c r="M7" s="300"/>
      <c r="N7" s="300"/>
      <c r="O7" s="300"/>
      <c r="P7" s="300"/>
      <c r="Q7" s="300"/>
      <c r="R7" s="300"/>
      <c r="S7" s="300"/>
      <c r="T7" s="300"/>
      <c r="U7" s="300"/>
      <c r="V7" s="300"/>
      <c r="W7" s="300"/>
      <c r="X7" s="300"/>
      <c r="Y7" s="300"/>
      <c r="Z7" s="300" t="s">
        <v>2680</v>
      </c>
    </row>
    <row r="8" spans="1:26" x14ac:dyDescent="0.3">
      <c r="A8" s="300"/>
      <c r="B8" s="300"/>
      <c r="C8" s="300"/>
      <c r="D8" s="300"/>
      <c r="E8" s="300"/>
      <c r="F8" s="300"/>
      <c r="G8" s="300"/>
      <c r="H8" s="300"/>
      <c r="I8" s="300"/>
      <c r="J8" s="300"/>
      <c r="K8" s="300"/>
      <c r="L8" s="300"/>
      <c r="M8" s="300"/>
      <c r="N8" s="300"/>
      <c r="O8" s="300"/>
      <c r="P8" s="300"/>
      <c r="Q8" s="300"/>
      <c r="R8" s="300"/>
      <c r="S8" s="300"/>
      <c r="T8" s="300"/>
      <c r="U8" s="300"/>
      <c r="V8" s="300"/>
      <c r="W8" s="300"/>
      <c r="X8" s="300"/>
      <c r="Y8" s="300"/>
      <c r="Z8" s="300" t="s">
        <v>2681</v>
      </c>
    </row>
    <row r="9" spans="1:26" x14ac:dyDescent="0.3">
      <c r="A9" s="300"/>
      <c r="B9" s="300"/>
      <c r="C9" s="300"/>
      <c r="D9" s="300"/>
      <c r="E9" s="300"/>
      <c r="F9" s="300"/>
      <c r="G9" s="300"/>
      <c r="H9" s="300"/>
      <c r="I9" s="300"/>
      <c r="J9" s="300"/>
      <c r="K9" s="300"/>
      <c r="L9" s="300"/>
      <c r="M9" s="300"/>
      <c r="N9" s="300"/>
      <c r="O9" s="300"/>
      <c r="P9" s="300"/>
      <c r="Q9" s="300"/>
      <c r="R9" s="300"/>
      <c r="S9" s="300"/>
      <c r="T9" s="300"/>
      <c r="U9" s="300"/>
      <c r="V9" s="300"/>
      <c r="W9" s="300"/>
      <c r="X9" s="300"/>
      <c r="Y9" s="300"/>
      <c r="Z9" s="300" t="s">
        <v>2682</v>
      </c>
    </row>
    <row r="10" spans="1:26" x14ac:dyDescent="0.3">
      <c r="A10" s="300"/>
      <c r="B10" s="300"/>
      <c r="C10" s="300"/>
      <c r="D10" s="300"/>
      <c r="E10" s="300"/>
      <c r="F10" s="300"/>
      <c r="G10" s="300"/>
      <c r="H10" s="300"/>
      <c r="I10" s="300"/>
      <c r="J10" s="300"/>
      <c r="K10" s="300"/>
      <c r="L10" s="300"/>
      <c r="M10" s="300"/>
      <c r="N10" s="300"/>
      <c r="O10" s="300"/>
      <c r="P10" s="300"/>
      <c r="Q10" s="300"/>
      <c r="R10" s="300"/>
      <c r="S10" s="300"/>
      <c r="T10" s="300"/>
      <c r="U10" s="300"/>
      <c r="V10" s="300"/>
      <c r="W10" s="300"/>
      <c r="X10" s="300"/>
      <c r="Y10" s="300"/>
      <c r="Z10" s="300" t="s">
        <v>2683</v>
      </c>
    </row>
    <row r="11" spans="1:26" x14ac:dyDescent="0.3">
      <c r="A11" s="300"/>
      <c r="B11" s="300"/>
      <c r="C11" s="300"/>
      <c r="D11" s="300"/>
      <c r="E11" s="300"/>
      <c r="F11" s="300"/>
      <c r="G11" s="300"/>
      <c r="H11" s="300"/>
      <c r="I11" s="300"/>
      <c r="J11" s="300"/>
      <c r="K11" s="300"/>
      <c r="L11" s="300"/>
      <c r="M11" s="300"/>
      <c r="N11" s="300"/>
      <c r="O11" s="300"/>
      <c r="P11" s="300"/>
      <c r="Q11" s="300"/>
      <c r="R11" s="300"/>
      <c r="S11" s="300"/>
      <c r="T11" s="300"/>
      <c r="U11" s="300"/>
      <c r="V11" s="300"/>
      <c r="W11" s="300"/>
      <c r="X11" s="300"/>
      <c r="Y11" s="300"/>
      <c r="Z11" s="300" t="s">
        <v>2684</v>
      </c>
    </row>
    <row r="12" spans="1:26" x14ac:dyDescent="0.3">
      <c r="A12" s="300"/>
      <c r="B12" s="300"/>
      <c r="C12" s="300"/>
      <c r="D12" s="300"/>
      <c r="E12" s="300"/>
      <c r="F12" s="300"/>
      <c r="G12" s="300"/>
      <c r="H12" s="300"/>
      <c r="I12" s="300"/>
      <c r="J12" s="300"/>
      <c r="K12" s="300"/>
      <c r="L12" s="300"/>
      <c r="M12" s="300"/>
      <c r="N12" s="300"/>
      <c r="O12" s="300"/>
      <c r="P12" s="300"/>
      <c r="Q12" s="300"/>
      <c r="R12" s="300"/>
      <c r="S12" s="300"/>
      <c r="T12" s="300"/>
      <c r="U12" s="300"/>
      <c r="V12" s="300"/>
      <c r="W12" s="300"/>
      <c r="X12" s="300"/>
      <c r="Y12" s="300"/>
      <c r="Z12" s="300" t="s">
        <v>2685</v>
      </c>
    </row>
    <row r="13" spans="1:26" x14ac:dyDescent="0.3">
      <c r="A13" s="300"/>
      <c r="B13" s="300"/>
      <c r="C13" s="300"/>
      <c r="D13" s="300"/>
      <c r="E13" s="300"/>
      <c r="F13" s="300"/>
      <c r="G13" s="300"/>
      <c r="H13" s="300"/>
      <c r="I13" s="300"/>
      <c r="J13" s="300"/>
      <c r="K13" s="300"/>
      <c r="L13" s="300"/>
      <c r="M13" s="300"/>
      <c r="N13" s="300"/>
      <c r="O13" s="300"/>
      <c r="P13" s="300"/>
      <c r="Q13" s="300"/>
      <c r="R13" s="300"/>
      <c r="S13" s="300"/>
      <c r="T13" s="300"/>
      <c r="U13" s="300"/>
      <c r="V13" s="300"/>
      <c r="W13" s="300"/>
      <c r="X13" s="300"/>
      <c r="Y13" s="300"/>
      <c r="Z13" s="300" t="s">
        <v>2686</v>
      </c>
    </row>
    <row r="14" spans="1:26" x14ac:dyDescent="0.3">
      <c r="A14" s="300"/>
      <c r="B14" s="300"/>
      <c r="C14" s="300"/>
      <c r="D14" s="300"/>
      <c r="E14" s="300"/>
      <c r="F14" s="300"/>
      <c r="G14" s="300"/>
      <c r="H14" s="300"/>
      <c r="I14" s="300"/>
      <c r="J14" s="300"/>
      <c r="K14" s="300"/>
      <c r="L14" s="300"/>
      <c r="M14" s="300"/>
      <c r="N14" s="300"/>
      <c r="O14" s="300"/>
      <c r="P14" s="300"/>
      <c r="Q14" s="300"/>
      <c r="R14" s="300"/>
      <c r="S14" s="300"/>
      <c r="T14" s="300"/>
      <c r="U14" s="300"/>
      <c r="V14" s="300"/>
      <c r="W14" s="300"/>
      <c r="X14" s="300"/>
      <c r="Y14" s="300"/>
      <c r="Z14" s="300" t="s">
        <v>2687</v>
      </c>
    </row>
    <row r="15" spans="1:26" x14ac:dyDescent="0.3">
      <c r="A15" s="300"/>
      <c r="B15" s="300"/>
      <c r="C15" s="300"/>
      <c r="D15" s="300"/>
      <c r="E15" s="300"/>
      <c r="F15" s="300"/>
      <c r="G15" s="300"/>
      <c r="H15" s="300"/>
      <c r="I15" s="300"/>
      <c r="J15" s="300"/>
      <c r="K15" s="300"/>
      <c r="L15" s="300"/>
      <c r="M15" s="300"/>
      <c r="N15" s="300"/>
      <c r="O15" s="300"/>
      <c r="P15" s="300"/>
      <c r="Q15" s="300"/>
      <c r="R15" s="300"/>
      <c r="S15" s="300"/>
      <c r="T15" s="300"/>
      <c r="U15" s="300"/>
      <c r="V15" s="300"/>
      <c r="W15" s="300"/>
      <c r="X15" s="300"/>
      <c r="Y15" s="300"/>
      <c r="Z15" s="300"/>
    </row>
    <row r="16" spans="1:26" x14ac:dyDescent="0.3">
      <c r="A16" s="300"/>
      <c r="B16" s="300"/>
      <c r="C16" s="300"/>
      <c r="D16" s="300"/>
      <c r="E16" s="300"/>
      <c r="F16" s="300"/>
      <c r="G16" s="300"/>
      <c r="H16" s="300"/>
      <c r="I16" s="300"/>
      <c r="J16" s="300"/>
      <c r="K16" s="300"/>
      <c r="L16" s="300"/>
      <c r="M16" s="300"/>
      <c r="N16" s="300"/>
      <c r="O16" s="300"/>
      <c r="P16" s="300"/>
      <c r="Q16" s="300"/>
      <c r="R16" s="300"/>
      <c r="S16" s="300"/>
      <c r="T16" s="300"/>
      <c r="U16" s="300"/>
      <c r="V16" s="300"/>
      <c r="W16" s="300"/>
      <c r="X16" s="300"/>
      <c r="Y16" s="300"/>
      <c r="Z16" s="300"/>
    </row>
    <row r="17" spans="1:26" x14ac:dyDescent="0.3">
      <c r="A17" s="300"/>
      <c r="B17" s="300"/>
      <c r="C17" s="300"/>
      <c r="D17" s="300"/>
      <c r="E17" s="300"/>
      <c r="F17" s="300"/>
      <c r="G17" s="300"/>
      <c r="H17" s="300"/>
      <c r="I17" s="300"/>
      <c r="J17" s="300"/>
      <c r="K17" s="300"/>
      <c r="L17" s="300"/>
      <c r="M17" s="300"/>
      <c r="N17" s="300"/>
      <c r="O17" s="300"/>
      <c r="P17" s="300"/>
      <c r="Q17" s="300"/>
      <c r="R17" s="300"/>
      <c r="S17" s="300"/>
      <c r="T17" s="300"/>
      <c r="U17" s="300"/>
      <c r="V17" s="300"/>
      <c r="W17" s="300"/>
      <c r="X17" s="300"/>
      <c r="Y17" s="300"/>
      <c r="Z17" s="300"/>
    </row>
    <row r="18" spans="1:26" x14ac:dyDescent="0.3">
      <c r="A18" s="300"/>
      <c r="B18" s="300"/>
      <c r="C18" s="300"/>
      <c r="D18" s="300"/>
      <c r="E18" s="300"/>
      <c r="F18" s="300"/>
      <c r="G18" s="300"/>
      <c r="H18" s="300"/>
      <c r="I18" s="300"/>
      <c r="J18" s="300"/>
      <c r="K18" s="300"/>
      <c r="L18" s="300"/>
      <c r="M18" s="300"/>
      <c r="N18" s="300"/>
      <c r="O18" s="300"/>
      <c r="P18" s="300"/>
      <c r="Q18" s="300"/>
      <c r="R18" s="300"/>
      <c r="S18" s="300"/>
      <c r="T18" s="300"/>
      <c r="U18" s="300"/>
      <c r="V18" s="300"/>
      <c r="W18" s="300"/>
      <c r="X18" s="300"/>
      <c r="Y18" s="300"/>
      <c r="Z18" s="300"/>
    </row>
    <row r="19" spans="1:26" x14ac:dyDescent="0.3">
      <c r="A19" s="300"/>
      <c r="B19" s="300"/>
      <c r="C19" s="300"/>
      <c r="D19" s="300"/>
      <c r="E19" s="300"/>
      <c r="F19" s="300"/>
      <c r="G19" s="300"/>
      <c r="H19" s="300"/>
      <c r="I19" s="300"/>
      <c r="J19" s="300"/>
      <c r="K19" s="300"/>
      <c r="L19" s="300"/>
      <c r="M19" s="300"/>
      <c r="N19" s="300"/>
      <c r="O19" s="300"/>
      <c r="P19" s="300"/>
      <c r="Q19" s="300"/>
      <c r="R19" s="300"/>
      <c r="S19" s="300"/>
      <c r="T19" s="300"/>
      <c r="U19" s="300"/>
      <c r="V19" s="300"/>
      <c r="W19" s="300"/>
      <c r="X19" s="300"/>
      <c r="Y19" s="300"/>
      <c r="Z19" s="300"/>
    </row>
    <row r="20" spans="1:26" x14ac:dyDescent="0.3">
      <c r="A20" s="300"/>
      <c r="B20" s="300"/>
      <c r="C20" s="300"/>
      <c r="D20" s="300"/>
      <c r="E20" s="300"/>
      <c r="F20" s="300"/>
      <c r="G20" s="300"/>
      <c r="H20" s="300"/>
      <c r="I20" s="300"/>
      <c r="J20" s="300"/>
      <c r="K20" s="300"/>
      <c r="L20" s="300"/>
      <c r="M20" s="300"/>
      <c r="N20" s="300"/>
      <c r="O20" s="300"/>
      <c r="P20" s="300"/>
      <c r="Q20" s="300"/>
      <c r="R20" s="300"/>
      <c r="S20" s="300"/>
      <c r="T20" s="300"/>
      <c r="U20" s="300"/>
      <c r="V20" s="300"/>
      <c r="W20" s="300"/>
      <c r="X20" s="300"/>
      <c r="Y20" s="300"/>
      <c r="Z20" s="300"/>
    </row>
    <row r="21" spans="1:26" x14ac:dyDescent="0.3">
      <c r="A21" s="300"/>
      <c r="B21" s="300"/>
      <c r="C21" s="300"/>
      <c r="D21" s="300"/>
      <c r="E21" s="300"/>
      <c r="F21" s="300"/>
      <c r="G21" s="300"/>
      <c r="H21" s="300"/>
      <c r="I21" s="300"/>
      <c r="J21" s="300"/>
      <c r="K21" s="300"/>
      <c r="L21" s="300"/>
      <c r="M21" s="300"/>
      <c r="N21" s="300"/>
      <c r="O21" s="300"/>
      <c r="P21" s="300"/>
      <c r="Q21" s="300"/>
      <c r="R21" s="300"/>
      <c r="S21" s="300"/>
      <c r="T21" s="300"/>
      <c r="U21" s="300"/>
      <c r="V21" s="300"/>
      <c r="W21" s="300"/>
      <c r="X21" s="300"/>
      <c r="Y21" s="300"/>
      <c r="Z21" s="300"/>
    </row>
    <row r="22" spans="1:26" x14ac:dyDescent="0.3">
      <c r="A22" s="300"/>
      <c r="B22" s="300"/>
      <c r="C22" s="300"/>
      <c r="D22" s="300"/>
      <c r="E22" s="300"/>
      <c r="F22" s="300"/>
      <c r="G22" s="300"/>
      <c r="H22" s="300"/>
      <c r="I22" s="300"/>
      <c r="J22" s="300"/>
      <c r="K22" s="300"/>
      <c r="L22" s="300"/>
      <c r="M22" s="300"/>
      <c r="N22" s="300"/>
      <c r="O22" s="300"/>
      <c r="P22" s="300"/>
      <c r="Q22" s="300"/>
      <c r="R22" s="300"/>
      <c r="S22" s="300"/>
      <c r="T22" s="300"/>
      <c r="U22" s="300"/>
      <c r="V22" s="300"/>
      <c r="W22" s="300"/>
      <c r="X22" s="300"/>
      <c r="Y22" s="300"/>
      <c r="Z22" s="300"/>
    </row>
    <row r="23" spans="1:26" x14ac:dyDescent="0.3">
      <c r="A23" s="300"/>
      <c r="B23" s="300"/>
      <c r="C23" s="300"/>
      <c r="D23" s="300"/>
      <c r="E23" s="300"/>
      <c r="F23" s="300"/>
      <c r="G23" s="300"/>
      <c r="H23" s="300"/>
      <c r="I23" s="300"/>
      <c r="J23" s="300"/>
      <c r="K23" s="300"/>
      <c r="L23" s="300"/>
      <c r="M23" s="300"/>
      <c r="N23" s="300"/>
      <c r="O23" s="300"/>
      <c r="P23" s="300"/>
      <c r="Q23" s="300"/>
      <c r="R23" s="300"/>
      <c r="S23" s="300"/>
      <c r="T23" s="300"/>
      <c r="U23" s="300"/>
      <c r="V23" s="300"/>
      <c r="W23" s="300"/>
      <c r="X23" s="300"/>
      <c r="Y23" s="300"/>
      <c r="Z23" s="300"/>
    </row>
    <row r="24" spans="1:26" x14ac:dyDescent="0.3">
      <c r="A24" s="300"/>
      <c r="B24" s="300"/>
      <c r="C24" s="300"/>
      <c r="D24" s="300"/>
      <c r="E24" s="300"/>
      <c r="F24" s="300"/>
      <c r="G24" s="300"/>
      <c r="H24" s="300"/>
      <c r="I24" s="300"/>
      <c r="J24" s="300"/>
      <c r="K24" s="300"/>
      <c r="L24" s="300"/>
      <c r="M24" s="300"/>
      <c r="N24" s="300"/>
      <c r="O24" s="300"/>
      <c r="P24" s="300"/>
      <c r="Q24" s="300"/>
      <c r="R24" s="300"/>
      <c r="S24" s="300"/>
      <c r="T24" s="300"/>
      <c r="U24" s="300"/>
      <c r="V24" s="300"/>
      <c r="W24" s="300"/>
      <c r="X24" s="300"/>
      <c r="Y24" s="300"/>
      <c r="Z24" s="300"/>
    </row>
    <row r="25" spans="1:26" x14ac:dyDescent="0.3">
      <c r="A25" s="300"/>
      <c r="B25" s="300"/>
      <c r="C25" s="300"/>
      <c r="D25" s="300"/>
      <c r="E25" s="300"/>
      <c r="F25" s="300"/>
      <c r="G25" s="300"/>
      <c r="H25" s="300"/>
      <c r="I25" s="300"/>
      <c r="J25" s="300"/>
      <c r="K25" s="300"/>
      <c r="L25" s="300"/>
      <c r="M25" s="300"/>
      <c r="N25" s="300"/>
      <c r="O25" s="300"/>
      <c r="P25" s="300"/>
      <c r="Q25" s="300"/>
      <c r="R25" s="300"/>
      <c r="S25" s="300"/>
      <c r="T25" s="300"/>
      <c r="U25" s="300"/>
      <c r="V25" s="300"/>
      <c r="W25" s="300"/>
      <c r="X25" s="300"/>
      <c r="Y25" s="300"/>
      <c r="Z25" s="300"/>
    </row>
    <row r="26" spans="1:26" x14ac:dyDescent="0.3">
      <c r="A26" s="300"/>
      <c r="B26" s="300"/>
      <c r="C26" s="300"/>
      <c r="D26" s="300"/>
      <c r="E26" s="300"/>
      <c r="F26" s="300"/>
      <c r="G26" s="300"/>
      <c r="H26" s="300"/>
      <c r="I26" s="300"/>
      <c r="J26" s="300"/>
      <c r="K26" s="300"/>
      <c r="L26" s="300"/>
      <c r="M26" s="300"/>
      <c r="N26" s="300"/>
      <c r="O26" s="300"/>
      <c r="P26" s="300"/>
      <c r="Q26" s="300"/>
      <c r="R26" s="300"/>
      <c r="S26" s="300"/>
      <c r="T26" s="300"/>
      <c r="U26" s="300"/>
      <c r="V26" s="300"/>
      <c r="W26" s="300"/>
      <c r="X26" s="300"/>
      <c r="Y26" s="300"/>
      <c r="Z26" s="300"/>
    </row>
    <row r="27" spans="1:26" x14ac:dyDescent="0.3">
      <c r="A27" s="300"/>
      <c r="B27" s="300"/>
      <c r="C27" s="300"/>
      <c r="D27" s="300"/>
      <c r="E27" s="300"/>
      <c r="F27" s="300"/>
      <c r="G27" s="300"/>
      <c r="H27" s="300"/>
      <c r="I27" s="300"/>
      <c r="J27" s="300"/>
      <c r="K27" s="300"/>
      <c r="L27" s="300"/>
      <c r="M27" s="300"/>
      <c r="N27" s="300"/>
      <c r="O27" s="300"/>
      <c r="P27" s="300"/>
      <c r="Q27" s="300"/>
      <c r="R27" s="300"/>
      <c r="S27" s="300"/>
      <c r="T27" s="300"/>
      <c r="U27" s="300"/>
      <c r="V27" s="300"/>
      <c r="W27" s="300"/>
      <c r="X27" s="300"/>
      <c r="Y27" s="300"/>
      <c r="Z27" s="300"/>
    </row>
    <row r="28" spans="1:26" x14ac:dyDescent="0.3">
      <c r="A28" s="300"/>
      <c r="B28" s="300"/>
      <c r="C28" s="300"/>
      <c r="D28" s="300"/>
      <c r="E28" s="300"/>
      <c r="F28" s="300"/>
      <c r="G28" s="300"/>
      <c r="H28" s="300"/>
      <c r="I28" s="300"/>
      <c r="J28" s="300"/>
      <c r="K28" s="300"/>
      <c r="L28" s="300"/>
      <c r="M28" s="300"/>
      <c r="N28" s="300"/>
      <c r="O28" s="300"/>
      <c r="P28" s="300"/>
      <c r="Q28" s="300"/>
      <c r="R28" s="300"/>
      <c r="S28" s="300"/>
      <c r="T28" s="300"/>
      <c r="U28" s="300"/>
      <c r="V28" s="300"/>
      <c r="W28" s="300"/>
      <c r="X28" s="300"/>
      <c r="Y28" s="300"/>
      <c r="Z28" s="300"/>
    </row>
    <row r="29" spans="1:26" x14ac:dyDescent="0.3">
      <c r="A29" s="300"/>
      <c r="B29" s="300"/>
      <c r="C29" s="300"/>
      <c r="D29" s="300"/>
      <c r="E29" s="300"/>
      <c r="F29" s="300"/>
      <c r="G29" s="300"/>
      <c r="H29" s="300"/>
      <c r="I29" s="300"/>
      <c r="J29" s="300"/>
      <c r="K29" s="300"/>
      <c r="L29" s="300"/>
      <c r="M29" s="300"/>
      <c r="N29" s="300"/>
      <c r="O29" s="300"/>
      <c r="P29" s="300"/>
      <c r="Q29" s="300"/>
      <c r="R29" s="300"/>
      <c r="S29" s="300"/>
      <c r="T29" s="300"/>
      <c r="U29" s="300"/>
      <c r="V29" s="300"/>
      <c r="W29" s="300"/>
      <c r="X29" s="300"/>
      <c r="Y29" s="300"/>
      <c r="Z29" s="300"/>
    </row>
    <row r="30" spans="1:26" x14ac:dyDescent="0.3">
      <c r="A30" s="300"/>
      <c r="B30" s="300"/>
      <c r="C30" s="300"/>
      <c r="D30" s="300"/>
      <c r="E30" s="300"/>
      <c r="F30" s="300"/>
      <c r="G30" s="300"/>
      <c r="H30" s="300"/>
      <c r="I30" s="300"/>
      <c r="J30" s="300"/>
      <c r="K30" s="300"/>
      <c r="L30" s="300"/>
      <c r="M30" s="300"/>
      <c r="N30" s="300"/>
      <c r="O30" s="300"/>
      <c r="P30" s="300"/>
      <c r="Q30" s="300"/>
      <c r="R30" s="300"/>
      <c r="S30" s="300"/>
      <c r="T30" s="300"/>
      <c r="U30" s="300"/>
      <c r="V30" s="300"/>
      <c r="W30" s="300"/>
      <c r="X30" s="300"/>
      <c r="Y30" s="300"/>
      <c r="Z30" s="300"/>
    </row>
    <row r="31" spans="1:26" x14ac:dyDescent="0.3">
      <c r="A31" s="300"/>
      <c r="B31" s="300"/>
      <c r="C31" s="300"/>
      <c r="D31" s="300"/>
      <c r="E31" s="300"/>
      <c r="F31" s="300"/>
      <c r="G31" s="300"/>
      <c r="H31" s="300"/>
      <c r="I31" s="300"/>
      <c r="J31" s="300"/>
      <c r="K31" s="300"/>
      <c r="L31" s="300"/>
      <c r="M31" s="300"/>
      <c r="N31" s="300"/>
      <c r="O31" s="300"/>
      <c r="P31" s="300"/>
      <c r="Q31" s="300"/>
      <c r="R31" s="300"/>
      <c r="S31" s="300"/>
      <c r="T31" s="300"/>
      <c r="U31" s="300"/>
      <c r="V31" s="300"/>
      <c r="W31" s="300"/>
      <c r="X31" s="300"/>
      <c r="Y31" s="300"/>
      <c r="Z31" s="300"/>
    </row>
    <row r="32" spans="1:26" x14ac:dyDescent="0.3">
      <c r="A32" s="300"/>
      <c r="B32" s="300"/>
      <c r="C32" s="300"/>
      <c r="D32" s="300"/>
      <c r="E32" s="300"/>
      <c r="F32" s="300"/>
      <c r="G32" s="300"/>
      <c r="H32" s="300"/>
      <c r="I32" s="300"/>
      <c r="J32" s="300"/>
      <c r="K32" s="300"/>
      <c r="L32" s="300"/>
      <c r="M32" s="300"/>
      <c r="N32" s="300"/>
      <c r="O32" s="300"/>
      <c r="P32" s="300"/>
      <c r="Q32" s="300"/>
      <c r="R32" s="300"/>
      <c r="S32" s="300"/>
      <c r="T32" s="300"/>
      <c r="U32" s="300"/>
      <c r="V32" s="300"/>
      <c r="W32" s="300"/>
      <c r="X32" s="300"/>
      <c r="Y32" s="300"/>
      <c r="Z32" s="300"/>
    </row>
    <row r="33" spans="1:26" x14ac:dyDescent="0.3">
      <c r="A33" s="300"/>
      <c r="B33" s="300"/>
      <c r="C33" s="300"/>
      <c r="D33" s="300"/>
      <c r="E33" s="300"/>
      <c r="F33" s="300"/>
      <c r="G33" s="300"/>
      <c r="H33" s="300"/>
      <c r="I33" s="300"/>
      <c r="J33" s="300"/>
      <c r="K33" s="300"/>
      <c r="L33" s="300"/>
      <c r="M33" s="300"/>
      <c r="N33" s="300"/>
      <c r="O33" s="300"/>
      <c r="P33" s="300"/>
      <c r="Q33" s="300"/>
      <c r="R33" s="300"/>
      <c r="S33" s="300"/>
      <c r="T33" s="300"/>
      <c r="U33" s="300"/>
      <c r="V33" s="300"/>
      <c r="W33" s="300"/>
      <c r="X33" s="300"/>
      <c r="Y33" s="300"/>
      <c r="Z33" s="300"/>
    </row>
    <row r="34" spans="1:26" x14ac:dyDescent="0.3">
      <c r="A34" s="300"/>
      <c r="B34" s="300"/>
      <c r="C34" s="300"/>
      <c r="D34" s="300"/>
      <c r="E34" s="300"/>
      <c r="F34" s="300"/>
      <c r="G34" s="300"/>
      <c r="H34" s="300"/>
      <c r="I34" s="300"/>
      <c r="J34" s="300"/>
      <c r="K34" s="300"/>
      <c r="L34" s="300"/>
      <c r="M34" s="300"/>
      <c r="N34" s="300"/>
      <c r="O34" s="300"/>
      <c r="P34" s="300"/>
      <c r="Q34" s="300"/>
      <c r="R34" s="300"/>
      <c r="S34" s="300"/>
      <c r="T34" s="300"/>
      <c r="U34" s="300"/>
      <c r="V34" s="300"/>
      <c r="W34" s="300"/>
      <c r="X34" s="300"/>
      <c r="Y34" s="300"/>
      <c r="Z34" s="300"/>
    </row>
    <row r="35" spans="1:26" x14ac:dyDescent="0.3">
      <c r="A35" s="300"/>
      <c r="B35" s="300"/>
      <c r="C35" s="300"/>
      <c r="D35" s="300"/>
      <c r="E35" s="300"/>
      <c r="F35" s="300"/>
      <c r="G35" s="300"/>
      <c r="H35" s="300"/>
      <c r="I35" s="300"/>
      <c r="J35" s="300"/>
      <c r="K35" s="300"/>
      <c r="L35" s="300"/>
      <c r="M35" s="300"/>
      <c r="N35" s="300"/>
      <c r="O35" s="300"/>
      <c r="P35" s="300"/>
      <c r="Q35" s="300"/>
      <c r="R35" s="300"/>
      <c r="S35" s="300"/>
      <c r="T35" s="300"/>
      <c r="U35" s="300"/>
      <c r="V35" s="300"/>
      <c r="W35" s="300"/>
      <c r="X35" s="300"/>
      <c r="Y35" s="300"/>
      <c r="Z35" s="300"/>
    </row>
    <row r="36" spans="1:26" x14ac:dyDescent="0.3">
      <c r="A36" s="300"/>
      <c r="B36" s="300"/>
      <c r="C36" s="300"/>
      <c r="D36" s="300"/>
      <c r="E36" s="300"/>
      <c r="F36" s="300"/>
      <c r="G36" s="300"/>
      <c r="H36" s="300"/>
      <c r="I36" s="300"/>
      <c r="J36" s="300"/>
      <c r="K36" s="300"/>
      <c r="L36" s="300"/>
      <c r="M36" s="300"/>
      <c r="N36" s="300"/>
      <c r="O36" s="300"/>
      <c r="P36" s="300"/>
      <c r="Q36" s="300"/>
      <c r="R36" s="300"/>
      <c r="S36" s="300"/>
      <c r="T36" s="300"/>
      <c r="U36" s="300"/>
      <c r="V36" s="300"/>
      <c r="W36" s="300"/>
      <c r="X36" s="300"/>
      <c r="Y36" s="300"/>
      <c r="Z36" s="300"/>
    </row>
    <row r="37" spans="1:26" x14ac:dyDescent="0.3">
      <c r="A37" s="300"/>
      <c r="B37" s="300"/>
      <c r="C37" s="300"/>
      <c r="D37" s="300"/>
      <c r="E37" s="300"/>
      <c r="F37" s="300"/>
      <c r="G37" s="300"/>
      <c r="H37" s="300"/>
      <c r="I37" s="300"/>
      <c r="J37" s="300"/>
      <c r="K37" s="300"/>
      <c r="L37" s="300"/>
      <c r="M37" s="300"/>
      <c r="N37" s="300"/>
      <c r="O37" s="300"/>
      <c r="P37" s="300"/>
      <c r="Q37" s="300"/>
      <c r="R37" s="300"/>
      <c r="S37" s="300"/>
      <c r="T37" s="300"/>
      <c r="U37" s="300"/>
      <c r="V37" s="300"/>
      <c r="W37" s="300"/>
      <c r="X37" s="300"/>
      <c r="Y37" s="300"/>
      <c r="Z37" s="300"/>
    </row>
    <row r="38" spans="1:26" x14ac:dyDescent="0.3">
      <c r="A38" s="300"/>
      <c r="B38" s="300"/>
      <c r="C38" s="300"/>
      <c r="D38" s="300"/>
      <c r="E38" s="300"/>
      <c r="F38" s="300"/>
      <c r="G38" s="300"/>
      <c r="H38" s="300"/>
      <c r="I38" s="300"/>
      <c r="J38" s="300"/>
      <c r="K38" s="300"/>
      <c r="L38" s="300"/>
      <c r="M38" s="300"/>
      <c r="N38" s="300"/>
      <c r="O38" s="300"/>
      <c r="P38" s="300"/>
      <c r="Q38" s="300"/>
      <c r="R38" s="300"/>
      <c r="S38" s="300"/>
      <c r="T38" s="300"/>
      <c r="U38" s="300"/>
      <c r="V38" s="300"/>
      <c r="W38" s="300"/>
      <c r="X38" s="300"/>
      <c r="Y38" s="300"/>
      <c r="Z38" s="300"/>
    </row>
    <row r="39" spans="1:26" x14ac:dyDescent="0.3">
      <c r="A39" s="300"/>
      <c r="B39" s="300"/>
      <c r="C39" s="300"/>
      <c r="D39" s="300"/>
      <c r="E39" s="300"/>
      <c r="F39" s="300"/>
      <c r="G39" s="300"/>
      <c r="H39" s="300"/>
      <c r="I39" s="300"/>
      <c r="J39" s="300"/>
      <c r="K39" s="300"/>
      <c r="L39" s="300"/>
      <c r="M39" s="300"/>
      <c r="N39" s="300"/>
      <c r="O39" s="300"/>
      <c r="P39" s="300"/>
      <c r="Q39" s="300"/>
      <c r="R39" s="300"/>
      <c r="S39" s="300"/>
      <c r="T39" s="300"/>
      <c r="U39" s="300"/>
      <c r="V39" s="300"/>
      <c r="W39" s="300"/>
      <c r="X39" s="300"/>
      <c r="Y39" s="300"/>
      <c r="Z39" s="300"/>
    </row>
    <row r="40" spans="1:26" x14ac:dyDescent="0.3">
      <c r="A40" s="300"/>
      <c r="B40" s="300"/>
      <c r="C40" s="300"/>
      <c r="D40" s="300"/>
      <c r="E40" s="300"/>
      <c r="F40" s="300"/>
      <c r="G40" s="300"/>
      <c r="H40" s="300"/>
      <c r="I40" s="300"/>
      <c r="J40" s="300"/>
      <c r="K40" s="300"/>
      <c r="L40" s="300"/>
      <c r="M40" s="300"/>
      <c r="N40" s="300"/>
      <c r="O40" s="300"/>
      <c r="P40" s="300"/>
      <c r="Q40" s="300"/>
      <c r="R40" s="300"/>
      <c r="S40" s="300"/>
      <c r="T40" s="300"/>
      <c r="U40" s="300"/>
      <c r="V40" s="300"/>
      <c r="W40" s="300"/>
      <c r="X40" s="300"/>
      <c r="Y40" s="300"/>
      <c r="Z40" s="300"/>
    </row>
    <row r="41" spans="1:26" x14ac:dyDescent="0.3">
      <c r="A41" s="300"/>
      <c r="B41" s="300"/>
      <c r="C41" s="300"/>
      <c r="D41" s="300"/>
      <c r="E41" s="300"/>
      <c r="F41" s="300"/>
      <c r="G41" s="300"/>
      <c r="H41" s="300"/>
      <c r="I41" s="300"/>
      <c r="J41" s="300"/>
      <c r="K41" s="300"/>
      <c r="L41" s="300"/>
      <c r="M41" s="300"/>
      <c r="N41" s="300"/>
      <c r="O41" s="300"/>
      <c r="P41" s="300"/>
      <c r="Q41" s="300"/>
      <c r="R41" s="300"/>
      <c r="S41" s="300"/>
      <c r="T41" s="300"/>
      <c r="U41" s="300"/>
      <c r="V41" s="300"/>
      <c r="W41" s="300"/>
      <c r="X41" s="300"/>
      <c r="Y41" s="300"/>
      <c r="Z41" s="300"/>
    </row>
    <row r="42" spans="1:26" x14ac:dyDescent="0.3">
      <c r="A42" s="300"/>
      <c r="B42" s="300"/>
      <c r="C42" s="300"/>
      <c r="D42" s="300"/>
      <c r="E42" s="300"/>
      <c r="F42" s="300"/>
      <c r="G42" s="300"/>
      <c r="H42" s="300"/>
      <c r="I42" s="300"/>
      <c r="J42" s="300"/>
      <c r="K42" s="300"/>
      <c r="L42" s="300"/>
      <c r="M42" s="300"/>
      <c r="N42" s="300"/>
      <c r="O42" s="300"/>
      <c r="P42" s="300"/>
      <c r="Q42" s="300"/>
      <c r="R42" s="300"/>
      <c r="S42" s="300"/>
      <c r="T42" s="300"/>
      <c r="U42" s="300"/>
      <c r="V42" s="300"/>
      <c r="W42" s="300"/>
      <c r="X42" s="300"/>
      <c r="Y42" s="300"/>
      <c r="Z42" s="300"/>
    </row>
    <row r="43" spans="1:26" x14ac:dyDescent="0.3">
      <c r="A43" s="300"/>
      <c r="B43" s="300"/>
      <c r="C43" s="300"/>
      <c r="D43" s="300"/>
      <c r="E43" s="300"/>
      <c r="F43" s="300"/>
      <c r="G43" s="300"/>
      <c r="H43" s="300"/>
      <c r="I43" s="300"/>
      <c r="J43" s="300"/>
      <c r="K43" s="300"/>
      <c r="L43" s="300"/>
      <c r="M43" s="300"/>
      <c r="N43" s="300"/>
      <c r="O43" s="300"/>
      <c r="P43" s="300"/>
      <c r="Q43" s="300"/>
      <c r="R43" s="300"/>
      <c r="S43" s="300"/>
      <c r="T43" s="300"/>
      <c r="U43" s="300"/>
      <c r="V43" s="300"/>
      <c r="W43" s="300"/>
      <c r="X43" s="300"/>
      <c r="Y43" s="300"/>
      <c r="Z43" s="300"/>
    </row>
    <row r="44" spans="1:26" x14ac:dyDescent="0.3">
      <c r="A44" s="300"/>
      <c r="B44" s="300"/>
      <c r="C44" s="300"/>
      <c r="D44" s="300"/>
      <c r="E44" s="300"/>
      <c r="F44" s="300"/>
      <c r="G44" s="300"/>
      <c r="H44" s="300"/>
      <c r="I44" s="300"/>
      <c r="J44" s="300"/>
      <c r="K44" s="300"/>
      <c r="L44" s="300"/>
      <c r="M44" s="300"/>
      <c r="N44" s="300"/>
      <c r="O44" s="300"/>
      <c r="P44" s="300"/>
      <c r="Q44" s="300"/>
      <c r="R44" s="300"/>
      <c r="S44" s="300"/>
      <c r="T44" s="300"/>
      <c r="U44" s="300"/>
      <c r="V44" s="300"/>
      <c r="W44" s="300"/>
      <c r="X44" s="300"/>
      <c r="Y44" s="300"/>
      <c r="Z44" s="300"/>
    </row>
    <row r="45" spans="1:26" x14ac:dyDescent="0.3">
      <c r="A45" s="300"/>
      <c r="B45" s="300"/>
      <c r="C45" s="300"/>
      <c r="D45" s="300"/>
      <c r="E45" s="300"/>
      <c r="F45" s="300"/>
      <c r="G45" s="300"/>
      <c r="H45" s="300"/>
      <c r="I45" s="300"/>
      <c r="J45" s="300"/>
      <c r="K45" s="300"/>
      <c r="L45" s="300"/>
      <c r="M45" s="300"/>
      <c r="N45" s="300"/>
      <c r="O45" s="300"/>
      <c r="P45" s="300"/>
      <c r="Q45" s="300"/>
      <c r="R45" s="300"/>
      <c r="S45" s="300"/>
      <c r="T45" s="300"/>
      <c r="U45" s="300"/>
      <c r="V45" s="300"/>
      <c r="W45" s="300"/>
      <c r="X45" s="300"/>
      <c r="Y45" s="300"/>
      <c r="Z45" s="300"/>
    </row>
    <row r="46" spans="1:26" x14ac:dyDescent="0.3">
      <c r="A46" s="300"/>
      <c r="B46" s="300"/>
      <c r="C46" s="300"/>
      <c r="D46" s="300"/>
      <c r="E46" s="300"/>
      <c r="F46" s="300"/>
      <c r="G46" s="300"/>
      <c r="H46" s="300"/>
      <c r="I46" s="300"/>
      <c r="J46" s="300"/>
      <c r="K46" s="300"/>
      <c r="L46" s="300"/>
      <c r="M46" s="300"/>
      <c r="N46" s="300"/>
      <c r="O46" s="300"/>
      <c r="P46" s="300"/>
      <c r="Q46" s="300"/>
      <c r="R46" s="300"/>
      <c r="S46" s="300"/>
      <c r="T46" s="300"/>
      <c r="U46" s="300"/>
      <c r="V46" s="300"/>
      <c r="W46" s="300"/>
      <c r="X46" s="300"/>
      <c r="Y46" s="300"/>
      <c r="Z46" s="300"/>
    </row>
    <row r="47" spans="1:26" x14ac:dyDescent="0.3">
      <c r="A47" s="300"/>
      <c r="B47" s="300"/>
      <c r="C47" s="300"/>
      <c r="D47" s="300"/>
      <c r="E47" s="300"/>
      <c r="F47" s="300"/>
      <c r="G47" s="300"/>
      <c r="H47" s="300"/>
      <c r="I47" s="300"/>
      <c r="J47" s="300"/>
      <c r="K47" s="300"/>
      <c r="L47" s="300"/>
      <c r="M47" s="300"/>
      <c r="N47" s="300"/>
      <c r="O47" s="300"/>
      <c r="P47" s="300"/>
      <c r="Q47" s="300"/>
      <c r="R47" s="300"/>
      <c r="S47" s="300"/>
      <c r="T47" s="300"/>
      <c r="U47" s="300"/>
      <c r="V47" s="300"/>
      <c r="W47" s="300"/>
      <c r="X47" s="300"/>
      <c r="Y47" s="300"/>
      <c r="Z47" s="300"/>
    </row>
    <row r="48" spans="1:26" x14ac:dyDescent="0.3">
      <c r="A48" s="300"/>
      <c r="B48" s="300"/>
      <c r="C48" s="300"/>
      <c r="D48" s="300"/>
      <c r="E48" s="300"/>
      <c r="F48" s="300"/>
      <c r="G48" s="300"/>
      <c r="H48" s="300"/>
      <c r="I48" s="300"/>
      <c r="J48" s="300"/>
      <c r="K48" s="300"/>
      <c r="L48" s="300"/>
      <c r="M48" s="300"/>
      <c r="N48" s="300"/>
      <c r="O48" s="300"/>
      <c r="P48" s="300"/>
      <c r="Q48" s="300"/>
      <c r="R48" s="300"/>
      <c r="S48" s="300"/>
      <c r="T48" s="300"/>
      <c r="U48" s="300"/>
      <c r="V48" s="300"/>
      <c r="W48" s="300"/>
      <c r="X48" s="300"/>
      <c r="Y48" s="300"/>
      <c r="Z48" s="300"/>
    </row>
    <row r="49" spans="1:26" x14ac:dyDescent="0.3">
      <c r="A49" s="300"/>
      <c r="B49" s="300"/>
      <c r="C49" s="300"/>
      <c r="D49" s="300"/>
      <c r="E49" s="300"/>
      <c r="F49" s="300"/>
      <c r="G49" s="300"/>
      <c r="H49" s="300"/>
      <c r="I49" s="300"/>
      <c r="J49" s="300"/>
      <c r="K49" s="300"/>
      <c r="L49" s="300"/>
      <c r="M49" s="300"/>
      <c r="N49" s="300"/>
      <c r="O49" s="300"/>
      <c r="P49" s="300"/>
      <c r="Q49" s="300"/>
      <c r="R49" s="300"/>
      <c r="S49" s="300"/>
      <c r="T49" s="300"/>
      <c r="U49" s="300"/>
      <c r="V49" s="300"/>
      <c r="W49" s="300"/>
      <c r="X49" s="300"/>
      <c r="Y49" s="300"/>
      <c r="Z49" s="300"/>
    </row>
    <row r="50" spans="1:26" x14ac:dyDescent="0.3">
      <c r="A50" s="300"/>
      <c r="B50" s="300"/>
      <c r="C50" s="300"/>
      <c r="D50" s="300"/>
      <c r="E50" s="300"/>
      <c r="F50" s="300"/>
      <c r="G50" s="300"/>
      <c r="H50" s="300"/>
      <c r="I50" s="300"/>
      <c r="J50" s="300"/>
      <c r="K50" s="300"/>
      <c r="L50" s="300"/>
      <c r="M50" s="300"/>
      <c r="N50" s="300"/>
      <c r="O50" s="300"/>
      <c r="P50" s="300"/>
      <c r="Q50" s="300"/>
      <c r="R50" s="300"/>
      <c r="S50" s="300"/>
      <c r="T50" s="300"/>
      <c r="U50" s="300"/>
      <c r="V50" s="300"/>
      <c r="W50" s="300"/>
      <c r="X50" s="300"/>
      <c r="Y50" s="300"/>
      <c r="Z50" s="300"/>
    </row>
    <row r="51" spans="1:26" x14ac:dyDescent="0.3">
      <c r="A51" s="300"/>
      <c r="B51" s="300"/>
      <c r="C51" s="300"/>
      <c r="D51" s="300"/>
      <c r="E51" s="300"/>
      <c r="F51" s="300"/>
      <c r="G51" s="300"/>
      <c r="H51" s="300"/>
      <c r="I51" s="300"/>
      <c r="J51" s="300"/>
      <c r="K51" s="300"/>
      <c r="L51" s="300"/>
      <c r="M51" s="300"/>
      <c r="N51" s="300"/>
      <c r="O51" s="300"/>
      <c r="P51" s="300"/>
      <c r="Q51" s="300"/>
      <c r="R51" s="300"/>
      <c r="S51" s="300"/>
      <c r="T51" s="300"/>
      <c r="U51" s="300"/>
      <c r="V51" s="300"/>
      <c r="W51" s="300"/>
      <c r="X51" s="300"/>
      <c r="Y51" s="300"/>
      <c r="Z51" s="300"/>
    </row>
    <row r="52" spans="1:26" x14ac:dyDescent="0.3">
      <c r="A52" s="300"/>
      <c r="B52" s="300"/>
      <c r="C52" s="300"/>
      <c r="D52" s="300"/>
      <c r="E52" s="300"/>
      <c r="F52" s="300"/>
      <c r="G52" s="300"/>
      <c r="H52" s="300"/>
      <c r="I52" s="300"/>
      <c r="J52" s="300"/>
      <c r="K52" s="300"/>
      <c r="L52" s="300"/>
      <c r="M52" s="300"/>
      <c r="N52" s="300"/>
      <c r="O52" s="300"/>
      <c r="P52" s="300"/>
      <c r="Q52" s="300"/>
      <c r="R52" s="300"/>
      <c r="S52" s="300"/>
      <c r="T52" s="300"/>
      <c r="U52" s="300"/>
      <c r="V52" s="300"/>
      <c r="W52" s="300"/>
      <c r="X52" s="300"/>
      <c r="Y52" s="300"/>
      <c r="Z52" s="300"/>
    </row>
    <row r="53" spans="1:26" x14ac:dyDescent="0.3">
      <c r="A53" s="300"/>
      <c r="B53" s="300"/>
      <c r="C53" s="300"/>
      <c r="D53" s="300"/>
      <c r="E53" s="300"/>
      <c r="F53" s="300"/>
      <c r="G53" s="300"/>
      <c r="H53" s="300"/>
      <c r="I53" s="300"/>
      <c r="J53" s="300"/>
      <c r="K53" s="300"/>
      <c r="L53" s="300"/>
      <c r="M53" s="300"/>
      <c r="N53" s="300"/>
      <c r="O53" s="300"/>
      <c r="P53" s="300"/>
      <c r="Q53" s="300"/>
      <c r="R53" s="300"/>
      <c r="S53" s="300"/>
      <c r="T53" s="300"/>
      <c r="U53" s="300"/>
      <c r="V53" s="300"/>
      <c r="W53" s="300"/>
      <c r="X53" s="300"/>
      <c r="Y53" s="300"/>
      <c r="Z53" s="300"/>
    </row>
    <row r="54" spans="1:26" x14ac:dyDescent="0.3">
      <c r="A54" s="300"/>
      <c r="B54" s="300"/>
      <c r="C54" s="300"/>
      <c r="D54" s="300"/>
      <c r="E54" s="300"/>
      <c r="F54" s="300"/>
      <c r="G54" s="300"/>
      <c r="H54" s="300"/>
      <c r="I54" s="300"/>
      <c r="J54" s="300"/>
      <c r="K54" s="300"/>
      <c r="L54" s="300"/>
      <c r="M54" s="300"/>
      <c r="N54" s="300"/>
      <c r="O54" s="300"/>
      <c r="P54" s="300"/>
      <c r="Q54" s="300"/>
      <c r="R54" s="300"/>
      <c r="S54" s="300"/>
      <c r="T54" s="300"/>
      <c r="U54" s="300"/>
      <c r="V54" s="300"/>
      <c r="W54" s="300"/>
      <c r="X54" s="300"/>
      <c r="Y54" s="300"/>
      <c r="Z54" s="300"/>
    </row>
    <row r="55" spans="1:26" x14ac:dyDescent="0.3">
      <c r="A55" s="300"/>
      <c r="B55" s="300"/>
      <c r="C55" s="300"/>
      <c r="D55" s="300"/>
      <c r="E55" s="300"/>
      <c r="F55" s="300"/>
      <c r="G55" s="300"/>
      <c r="H55" s="300"/>
      <c r="I55" s="300"/>
      <c r="J55" s="300"/>
      <c r="K55" s="300"/>
      <c r="L55" s="300"/>
      <c r="M55" s="300"/>
      <c r="N55" s="300"/>
      <c r="O55" s="300"/>
      <c r="P55" s="300"/>
      <c r="Q55" s="300"/>
      <c r="R55" s="300"/>
      <c r="S55" s="300"/>
      <c r="T55" s="300"/>
      <c r="U55" s="300"/>
      <c r="V55" s="300"/>
      <c r="W55" s="300"/>
      <c r="X55" s="300"/>
      <c r="Y55" s="300"/>
      <c r="Z55" s="300"/>
    </row>
    <row r="56" spans="1:26" x14ac:dyDescent="0.3">
      <c r="A56" s="300"/>
      <c r="B56" s="300"/>
      <c r="C56" s="300"/>
      <c r="D56" s="300"/>
      <c r="E56" s="300"/>
      <c r="F56" s="300"/>
      <c r="G56" s="300"/>
      <c r="H56" s="300"/>
      <c r="I56" s="300"/>
      <c r="J56" s="300"/>
      <c r="K56" s="300"/>
      <c r="L56" s="300"/>
      <c r="M56" s="300"/>
      <c r="N56" s="300"/>
      <c r="O56" s="300"/>
      <c r="P56" s="300"/>
      <c r="Q56" s="300"/>
      <c r="R56" s="300"/>
      <c r="S56" s="300"/>
      <c r="T56" s="300"/>
      <c r="U56" s="300"/>
      <c r="V56" s="300"/>
      <c r="W56" s="300"/>
      <c r="X56" s="300"/>
      <c r="Y56" s="300"/>
      <c r="Z56" s="300"/>
    </row>
    <row r="57" spans="1:26" x14ac:dyDescent="0.3">
      <c r="A57" s="300"/>
      <c r="B57" s="300"/>
      <c r="C57" s="300"/>
      <c r="D57" s="300"/>
      <c r="E57" s="300"/>
      <c r="F57" s="300"/>
      <c r="G57" s="300"/>
      <c r="H57" s="300"/>
      <c r="I57" s="300"/>
      <c r="J57" s="300"/>
      <c r="K57" s="300"/>
      <c r="L57" s="300"/>
      <c r="M57" s="300"/>
      <c r="N57" s="300"/>
      <c r="O57" s="300"/>
      <c r="P57" s="300"/>
      <c r="Q57" s="300"/>
      <c r="R57" s="300"/>
      <c r="S57" s="300"/>
      <c r="T57" s="300"/>
      <c r="U57" s="300"/>
      <c r="V57" s="300"/>
      <c r="W57" s="300"/>
      <c r="X57" s="300"/>
      <c r="Y57" s="300"/>
      <c r="Z57" s="300"/>
    </row>
    <row r="58" spans="1:26" x14ac:dyDescent="0.3">
      <c r="A58" s="300"/>
      <c r="B58" s="300"/>
      <c r="C58" s="300"/>
      <c r="D58" s="300"/>
      <c r="E58" s="300"/>
      <c r="F58" s="300"/>
      <c r="G58" s="300"/>
      <c r="H58" s="300"/>
      <c r="I58" s="300"/>
      <c r="J58" s="300"/>
      <c r="K58" s="300"/>
      <c r="L58" s="300"/>
      <c r="M58" s="300"/>
      <c r="N58" s="300"/>
      <c r="O58" s="300"/>
      <c r="P58" s="300"/>
      <c r="Q58" s="300"/>
      <c r="R58" s="300"/>
      <c r="S58" s="300"/>
      <c r="T58" s="300"/>
      <c r="U58" s="300"/>
      <c r="V58" s="300"/>
      <c r="W58" s="300"/>
      <c r="X58" s="300"/>
      <c r="Y58" s="300"/>
      <c r="Z58" s="300"/>
    </row>
    <row r="59" spans="1:26" x14ac:dyDescent="0.3">
      <c r="A59" s="300"/>
      <c r="B59" s="300"/>
      <c r="C59" s="300"/>
      <c r="D59" s="300"/>
      <c r="E59" s="300"/>
      <c r="F59" s="300"/>
      <c r="G59" s="300"/>
      <c r="H59" s="300"/>
      <c r="I59" s="300"/>
      <c r="J59" s="300"/>
      <c r="K59" s="300"/>
      <c r="L59" s="300"/>
      <c r="M59" s="300"/>
      <c r="N59" s="300"/>
      <c r="O59" s="300"/>
      <c r="P59" s="300"/>
      <c r="Q59" s="300"/>
      <c r="R59" s="300"/>
      <c r="S59" s="300"/>
      <c r="T59" s="300"/>
      <c r="U59" s="300"/>
      <c r="V59" s="300"/>
      <c r="W59" s="300"/>
      <c r="X59" s="300"/>
      <c r="Y59" s="300"/>
      <c r="Z59" s="300"/>
    </row>
    <row r="60" spans="1:26" x14ac:dyDescent="0.3">
      <c r="A60" s="300"/>
      <c r="B60" s="300"/>
      <c r="C60" s="300"/>
      <c r="D60" s="300"/>
      <c r="E60" s="300"/>
      <c r="F60" s="300"/>
      <c r="G60" s="300"/>
      <c r="H60" s="300"/>
      <c r="I60" s="300"/>
      <c r="J60" s="300"/>
      <c r="K60" s="300"/>
      <c r="L60" s="300"/>
      <c r="M60" s="300"/>
      <c r="N60" s="300"/>
      <c r="O60" s="300"/>
      <c r="P60" s="300"/>
      <c r="Q60" s="300"/>
      <c r="R60" s="300"/>
      <c r="S60" s="300"/>
      <c r="T60" s="300"/>
      <c r="U60" s="300"/>
      <c r="V60" s="300"/>
      <c r="W60" s="300"/>
      <c r="X60" s="300"/>
      <c r="Y60" s="300"/>
      <c r="Z60" s="300"/>
    </row>
    <row r="61" spans="1:26" x14ac:dyDescent="0.3">
      <c r="A61" s="300"/>
      <c r="B61" s="300"/>
      <c r="C61" s="300"/>
      <c r="D61" s="300"/>
      <c r="E61" s="300"/>
      <c r="F61" s="300"/>
      <c r="G61" s="300"/>
      <c r="H61" s="300"/>
      <c r="I61" s="300"/>
      <c r="J61" s="300"/>
      <c r="K61" s="300"/>
      <c r="L61" s="300"/>
      <c r="M61" s="300"/>
      <c r="N61" s="300"/>
      <c r="O61" s="300"/>
      <c r="P61" s="300"/>
      <c r="Q61" s="300"/>
      <c r="R61" s="300"/>
      <c r="S61" s="300"/>
      <c r="T61" s="300"/>
      <c r="U61" s="300"/>
      <c r="V61" s="300"/>
      <c r="W61" s="300"/>
      <c r="X61" s="300"/>
      <c r="Y61" s="300"/>
      <c r="Z61" s="300"/>
    </row>
    <row r="62" spans="1:26" x14ac:dyDescent="0.3">
      <c r="A62" s="300"/>
      <c r="B62" s="300"/>
      <c r="C62" s="300"/>
      <c r="D62" s="300"/>
      <c r="E62" s="300"/>
      <c r="F62" s="300"/>
      <c r="G62" s="300"/>
      <c r="H62" s="300"/>
      <c r="I62" s="300"/>
      <c r="J62" s="300"/>
      <c r="K62" s="300"/>
      <c r="L62" s="300"/>
      <c r="M62" s="300"/>
      <c r="N62" s="300"/>
      <c r="O62" s="300"/>
      <c r="P62" s="300"/>
      <c r="Q62" s="300"/>
      <c r="R62" s="300"/>
      <c r="S62" s="300"/>
      <c r="T62" s="300"/>
      <c r="U62" s="300"/>
      <c r="V62" s="300"/>
      <c r="W62" s="300"/>
      <c r="X62" s="300"/>
      <c r="Y62" s="300"/>
      <c r="Z62" s="300"/>
    </row>
    <row r="63" spans="1:26" x14ac:dyDescent="0.3">
      <c r="A63" s="300"/>
      <c r="B63" s="300"/>
      <c r="C63" s="300"/>
      <c r="D63" s="300"/>
      <c r="E63" s="300"/>
      <c r="F63" s="300"/>
      <c r="G63" s="300"/>
      <c r="H63" s="300"/>
      <c r="I63" s="300"/>
      <c r="J63" s="300"/>
      <c r="K63" s="300"/>
      <c r="L63" s="300"/>
      <c r="M63" s="300"/>
      <c r="N63" s="300"/>
      <c r="O63" s="300"/>
      <c r="P63" s="300"/>
      <c r="Q63" s="300"/>
      <c r="R63" s="300"/>
      <c r="S63" s="300"/>
      <c r="T63" s="300"/>
      <c r="U63" s="300"/>
      <c r="V63" s="300"/>
      <c r="W63" s="300"/>
      <c r="X63" s="300"/>
      <c r="Y63" s="300"/>
      <c r="Z63" s="300"/>
    </row>
    <row r="64" spans="1:26" x14ac:dyDescent="0.3">
      <c r="A64" s="300"/>
      <c r="B64" s="300"/>
      <c r="C64" s="300"/>
      <c r="D64" s="300"/>
      <c r="E64" s="300"/>
      <c r="F64" s="300"/>
      <c r="G64" s="300"/>
      <c r="H64" s="300"/>
      <c r="I64" s="300"/>
      <c r="J64" s="300"/>
      <c r="K64" s="300"/>
      <c r="L64" s="300"/>
      <c r="M64" s="300"/>
      <c r="N64" s="300"/>
      <c r="O64" s="300"/>
      <c r="P64" s="300"/>
      <c r="Q64" s="300"/>
      <c r="R64" s="300"/>
      <c r="S64" s="300"/>
      <c r="T64" s="300"/>
      <c r="U64" s="300"/>
      <c r="V64" s="300"/>
      <c r="W64" s="300"/>
      <c r="X64" s="300"/>
      <c r="Y64" s="300"/>
      <c r="Z64" s="300"/>
    </row>
    <row r="65" spans="1:26" x14ac:dyDescent="0.3">
      <c r="A65" s="300"/>
      <c r="B65" s="300"/>
      <c r="C65" s="300"/>
      <c r="D65" s="300"/>
      <c r="E65" s="300"/>
      <c r="F65" s="300"/>
      <c r="G65" s="300"/>
      <c r="H65" s="300"/>
      <c r="I65" s="300"/>
      <c r="J65" s="300"/>
      <c r="K65" s="300"/>
      <c r="L65" s="300"/>
      <c r="M65" s="300"/>
      <c r="N65" s="300"/>
      <c r="O65" s="300"/>
      <c r="P65" s="300"/>
      <c r="Q65" s="300"/>
      <c r="R65" s="300"/>
      <c r="S65" s="300"/>
      <c r="T65" s="300"/>
      <c r="U65" s="300"/>
      <c r="V65" s="300"/>
      <c r="W65" s="300"/>
      <c r="X65" s="300"/>
      <c r="Y65" s="300"/>
      <c r="Z65" s="300"/>
    </row>
    <row r="66" spans="1:26" x14ac:dyDescent="0.3">
      <c r="A66" s="300"/>
      <c r="B66" s="300"/>
      <c r="C66" s="300"/>
      <c r="D66" s="300"/>
      <c r="E66" s="300"/>
      <c r="F66" s="300"/>
      <c r="G66" s="300"/>
      <c r="H66" s="300"/>
      <c r="I66" s="300"/>
      <c r="J66" s="300"/>
      <c r="K66" s="300"/>
      <c r="L66" s="300"/>
      <c r="M66" s="300"/>
      <c r="N66" s="300"/>
      <c r="O66" s="300"/>
      <c r="P66" s="300"/>
      <c r="Q66" s="300"/>
      <c r="R66" s="300"/>
      <c r="S66" s="300"/>
      <c r="T66" s="300"/>
      <c r="U66" s="300"/>
      <c r="V66" s="300"/>
      <c r="W66" s="300"/>
      <c r="X66" s="300"/>
      <c r="Y66" s="300"/>
      <c r="Z66" s="300"/>
    </row>
    <row r="67" spans="1:26" x14ac:dyDescent="0.3">
      <c r="A67" s="300"/>
      <c r="B67" s="300"/>
      <c r="C67" s="300"/>
      <c r="D67" s="300"/>
      <c r="E67" s="300"/>
      <c r="F67" s="300"/>
      <c r="G67" s="300"/>
      <c r="H67" s="300"/>
      <c r="I67" s="300"/>
      <c r="J67" s="300"/>
      <c r="K67" s="300"/>
      <c r="L67" s="300"/>
      <c r="M67" s="300"/>
      <c r="N67" s="300"/>
      <c r="O67" s="300"/>
      <c r="P67" s="300"/>
      <c r="Q67" s="300"/>
      <c r="R67" s="300"/>
      <c r="S67" s="300"/>
      <c r="T67" s="300"/>
      <c r="U67" s="300"/>
      <c r="V67" s="300"/>
      <c r="W67" s="300"/>
      <c r="X67" s="300"/>
      <c r="Y67" s="300"/>
      <c r="Z67" s="300"/>
    </row>
    <row r="68" spans="1:26" x14ac:dyDescent="0.3">
      <c r="A68" s="300"/>
      <c r="B68" s="300"/>
      <c r="C68" s="300"/>
      <c r="D68" s="300"/>
      <c r="E68" s="300"/>
      <c r="F68" s="300"/>
      <c r="G68" s="300"/>
      <c r="H68" s="300"/>
      <c r="I68" s="300"/>
      <c r="J68" s="300"/>
      <c r="K68" s="300"/>
      <c r="L68" s="300"/>
      <c r="M68" s="300"/>
      <c r="N68" s="300"/>
      <c r="O68" s="300"/>
      <c r="P68" s="300"/>
      <c r="Q68" s="300"/>
      <c r="R68" s="300"/>
      <c r="S68" s="300"/>
      <c r="T68" s="300"/>
      <c r="U68" s="300"/>
      <c r="V68" s="300"/>
      <c r="W68" s="300"/>
      <c r="X68" s="300"/>
      <c r="Y68" s="300"/>
      <c r="Z68" s="300"/>
    </row>
    <row r="69" spans="1:26" x14ac:dyDescent="0.3">
      <c r="A69" s="300"/>
      <c r="B69" s="300"/>
      <c r="C69" s="300"/>
      <c r="D69" s="300"/>
      <c r="E69" s="300"/>
      <c r="F69" s="300"/>
      <c r="G69" s="300"/>
      <c r="H69" s="300"/>
      <c r="I69" s="300"/>
      <c r="J69" s="300"/>
      <c r="K69" s="300"/>
      <c r="L69" s="300"/>
      <c r="M69" s="300"/>
      <c r="N69" s="300"/>
      <c r="O69" s="300"/>
      <c r="P69" s="300"/>
      <c r="Q69" s="300"/>
      <c r="R69" s="300"/>
      <c r="S69" s="300"/>
      <c r="T69" s="300"/>
      <c r="U69" s="300"/>
      <c r="V69" s="300"/>
      <c r="W69" s="300"/>
      <c r="X69" s="300"/>
      <c r="Y69" s="300"/>
      <c r="Z69" s="300"/>
    </row>
    <row r="70" spans="1:26" x14ac:dyDescent="0.3">
      <c r="A70" s="300"/>
      <c r="B70" s="300"/>
      <c r="C70" s="300"/>
      <c r="D70" s="300"/>
      <c r="E70" s="300"/>
      <c r="F70" s="300"/>
      <c r="G70" s="300"/>
      <c r="H70" s="300"/>
      <c r="I70" s="300"/>
      <c r="J70" s="300"/>
      <c r="K70" s="300"/>
      <c r="L70" s="300"/>
      <c r="M70" s="300"/>
      <c r="N70" s="300"/>
      <c r="O70" s="300"/>
      <c r="P70" s="300"/>
      <c r="Q70" s="300"/>
      <c r="R70" s="300"/>
      <c r="S70" s="300"/>
      <c r="T70" s="300"/>
      <c r="U70" s="300"/>
      <c r="V70" s="300"/>
      <c r="W70" s="300"/>
      <c r="X70" s="300"/>
      <c r="Y70" s="300"/>
      <c r="Z70" s="300"/>
    </row>
    <row r="71" spans="1:26" x14ac:dyDescent="0.3">
      <c r="A71" s="300"/>
      <c r="B71" s="300"/>
      <c r="C71" s="300"/>
      <c r="D71" s="300"/>
      <c r="E71" s="300"/>
      <c r="F71" s="300"/>
      <c r="G71" s="300"/>
      <c r="H71" s="300"/>
      <c r="I71" s="300"/>
      <c r="J71" s="300"/>
      <c r="K71" s="300"/>
      <c r="L71" s="300"/>
      <c r="M71" s="300"/>
      <c r="N71" s="300"/>
      <c r="O71" s="300"/>
      <c r="P71" s="300"/>
      <c r="Q71" s="300"/>
      <c r="R71" s="300"/>
      <c r="S71" s="300"/>
      <c r="T71" s="300"/>
      <c r="U71" s="300"/>
      <c r="V71" s="300"/>
      <c r="W71" s="300"/>
      <c r="X71" s="300"/>
      <c r="Y71" s="300"/>
      <c r="Z71" s="300"/>
    </row>
    <row r="72" spans="1:26" x14ac:dyDescent="0.3">
      <c r="A72" s="300"/>
      <c r="B72" s="300"/>
      <c r="C72" s="300"/>
      <c r="D72" s="300"/>
      <c r="E72" s="300"/>
      <c r="F72" s="300"/>
      <c r="G72" s="300"/>
      <c r="H72" s="300"/>
      <c r="I72" s="300"/>
      <c r="J72" s="300"/>
      <c r="K72" s="300"/>
      <c r="L72" s="300"/>
      <c r="M72" s="300"/>
      <c r="N72" s="300"/>
      <c r="O72" s="300"/>
      <c r="P72" s="300"/>
      <c r="Q72" s="300"/>
      <c r="R72" s="300"/>
      <c r="S72" s="300"/>
      <c r="T72" s="300"/>
      <c r="U72" s="300"/>
      <c r="V72" s="300"/>
      <c r="W72" s="300"/>
      <c r="X72" s="300"/>
      <c r="Y72" s="300"/>
      <c r="Z72" s="300"/>
    </row>
    <row r="73" spans="1:26" x14ac:dyDescent="0.3">
      <c r="A73" s="300"/>
      <c r="B73" s="300"/>
      <c r="C73" s="300"/>
      <c r="D73" s="300"/>
      <c r="E73" s="300"/>
      <c r="F73" s="300"/>
      <c r="G73" s="300"/>
      <c r="H73" s="300"/>
      <c r="I73" s="300"/>
      <c r="J73" s="300"/>
      <c r="K73" s="300"/>
      <c r="L73" s="300"/>
      <c r="M73" s="300"/>
      <c r="N73" s="300"/>
      <c r="O73" s="300"/>
      <c r="P73" s="300"/>
      <c r="Q73" s="300"/>
      <c r="R73" s="300"/>
      <c r="S73" s="300"/>
      <c r="T73" s="300"/>
      <c r="U73" s="300"/>
      <c r="V73" s="300"/>
      <c r="W73" s="300"/>
      <c r="X73" s="300"/>
      <c r="Y73" s="300"/>
      <c r="Z73" s="300"/>
    </row>
    <row r="74" spans="1:26" x14ac:dyDescent="0.3">
      <c r="A74" s="300"/>
      <c r="B74" s="300"/>
      <c r="C74" s="300"/>
      <c r="D74" s="300"/>
      <c r="E74" s="300"/>
      <c r="F74" s="300"/>
      <c r="G74" s="300"/>
      <c r="H74" s="300"/>
      <c r="I74" s="300"/>
      <c r="J74" s="300"/>
      <c r="K74" s="300"/>
      <c r="L74" s="300"/>
      <c r="M74" s="300"/>
      <c r="N74" s="300"/>
      <c r="O74" s="300"/>
      <c r="P74" s="300"/>
      <c r="Q74" s="300"/>
      <c r="R74" s="300"/>
      <c r="S74" s="300"/>
      <c r="T74" s="300"/>
      <c r="U74" s="300"/>
      <c r="V74" s="300"/>
      <c r="W74" s="300"/>
      <c r="X74" s="300"/>
      <c r="Y74" s="300"/>
      <c r="Z74" s="300"/>
    </row>
    <row r="75" spans="1:26" x14ac:dyDescent="0.3">
      <c r="A75" s="300"/>
      <c r="B75" s="300"/>
      <c r="C75" s="300"/>
      <c r="D75" s="300"/>
      <c r="E75" s="300"/>
      <c r="F75" s="300"/>
      <c r="G75" s="300"/>
      <c r="H75" s="300"/>
      <c r="I75" s="300"/>
      <c r="J75" s="300"/>
      <c r="K75" s="300"/>
      <c r="L75" s="300"/>
      <c r="M75" s="300"/>
      <c r="N75" s="300"/>
      <c r="O75" s="300"/>
      <c r="P75" s="300"/>
      <c r="Q75" s="300"/>
      <c r="R75" s="300"/>
      <c r="S75" s="300"/>
      <c r="T75" s="300"/>
      <c r="U75" s="300"/>
      <c r="V75" s="300"/>
      <c r="W75" s="300"/>
      <c r="X75" s="300"/>
      <c r="Y75" s="300"/>
      <c r="Z75" s="300"/>
    </row>
    <row r="76" spans="1:26" x14ac:dyDescent="0.3">
      <c r="A76" s="300"/>
      <c r="B76" s="300"/>
      <c r="C76" s="300"/>
      <c r="D76" s="300"/>
      <c r="E76" s="300"/>
      <c r="F76" s="300"/>
      <c r="G76" s="300"/>
      <c r="H76" s="300"/>
      <c r="I76" s="300"/>
      <c r="J76" s="300"/>
      <c r="K76" s="300"/>
      <c r="L76" s="300"/>
      <c r="M76" s="300"/>
      <c r="N76" s="300"/>
      <c r="O76" s="300"/>
      <c r="P76" s="300"/>
      <c r="Q76" s="300"/>
      <c r="R76" s="300"/>
      <c r="S76" s="300"/>
      <c r="T76" s="300"/>
      <c r="U76" s="300"/>
      <c r="V76" s="300"/>
      <c r="W76" s="300"/>
      <c r="X76" s="300"/>
      <c r="Y76" s="300"/>
      <c r="Z76" s="300"/>
    </row>
    <row r="77" spans="1:26" x14ac:dyDescent="0.3">
      <c r="A77" s="300"/>
      <c r="B77" s="300"/>
      <c r="C77" s="300"/>
      <c r="D77" s="300"/>
      <c r="E77" s="300"/>
      <c r="F77" s="300"/>
      <c r="G77" s="300"/>
      <c r="H77" s="300"/>
      <c r="I77" s="300"/>
      <c r="J77" s="300"/>
      <c r="K77" s="300"/>
      <c r="L77" s="300"/>
      <c r="M77" s="300"/>
      <c r="N77" s="300"/>
      <c r="O77" s="300"/>
      <c r="P77" s="300"/>
      <c r="Q77" s="300"/>
      <c r="R77" s="300"/>
      <c r="S77" s="300"/>
      <c r="T77" s="300"/>
      <c r="U77" s="300"/>
      <c r="V77" s="300"/>
      <c r="W77" s="300"/>
      <c r="X77" s="300"/>
      <c r="Y77" s="300"/>
      <c r="Z77" s="300"/>
    </row>
    <row r="78" spans="1:26" x14ac:dyDescent="0.3">
      <c r="A78" s="300"/>
      <c r="B78" s="300"/>
      <c r="C78" s="300"/>
      <c r="D78" s="300"/>
      <c r="E78" s="300"/>
      <c r="F78" s="300"/>
      <c r="G78" s="300"/>
      <c r="H78" s="300"/>
      <c r="I78" s="300"/>
      <c r="J78" s="300"/>
      <c r="K78" s="300"/>
      <c r="L78" s="300"/>
      <c r="M78" s="300"/>
      <c r="N78" s="300"/>
      <c r="O78" s="300"/>
      <c r="P78" s="300"/>
      <c r="Q78" s="300"/>
      <c r="R78" s="300"/>
      <c r="S78" s="300"/>
      <c r="T78" s="300"/>
      <c r="U78" s="300"/>
      <c r="V78" s="300"/>
      <c r="W78" s="300"/>
      <c r="X78" s="300"/>
      <c r="Y78" s="300"/>
      <c r="Z78" s="300"/>
    </row>
    <row r="79" spans="1:26" x14ac:dyDescent="0.3">
      <c r="A79" s="300"/>
      <c r="B79" s="300"/>
      <c r="C79" s="300"/>
      <c r="D79" s="300"/>
      <c r="E79" s="300"/>
      <c r="F79" s="300"/>
      <c r="G79" s="300"/>
      <c r="H79" s="300"/>
      <c r="I79" s="300"/>
      <c r="J79" s="300"/>
      <c r="K79" s="300"/>
      <c r="L79" s="300"/>
      <c r="M79" s="300"/>
      <c r="N79" s="300"/>
      <c r="O79" s="300"/>
      <c r="P79" s="300"/>
      <c r="Q79" s="300"/>
      <c r="R79" s="300"/>
      <c r="S79" s="300"/>
      <c r="T79" s="300"/>
      <c r="U79" s="300"/>
      <c r="V79" s="300"/>
      <c r="W79" s="300"/>
      <c r="X79" s="300"/>
      <c r="Y79" s="300"/>
      <c r="Z79" s="300"/>
    </row>
    <row r="80" spans="1:26" x14ac:dyDescent="0.3">
      <c r="A80" s="300"/>
      <c r="B80" s="300"/>
      <c r="C80" s="300"/>
      <c r="D80" s="300"/>
      <c r="E80" s="300"/>
      <c r="F80" s="300"/>
      <c r="G80" s="300"/>
      <c r="H80" s="300"/>
      <c r="I80" s="300"/>
      <c r="J80" s="300"/>
      <c r="K80" s="300"/>
      <c r="L80" s="300"/>
      <c r="M80" s="300"/>
      <c r="N80" s="300"/>
      <c r="O80" s="300"/>
      <c r="P80" s="300"/>
      <c r="Q80" s="300"/>
      <c r="R80" s="300"/>
      <c r="S80" s="300"/>
      <c r="T80" s="300"/>
      <c r="U80" s="300"/>
      <c r="V80" s="300"/>
      <c r="W80" s="300"/>
      <c r="X80" s="300"/>
      <c r="Y80" s="300"/>
      <c r="Z80" s="300"/>
    </row>
  </sheetData>
  <mergeCells count="2">
    <mergeCell ref="B3:J3"/>
    <mergeCell ref="B5:J7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70C0"/>
  </sheetPr>
  <dimension ref="A1:AZ1047318"/>
  <sheetViews>
    <sheetView showGridLines="0" showRowColHeaders="0" zoomScaleNormal="100" workbookViewId="0">
      <pane ySplit="1" topLeftCell="A468" activePane="bottomLeft" state="frozen"/>
      <selection pane="bottomLeft" activeCell="A649" sqref="A649"/>
    </sheetView>
  </sheetViews>
  <sheetFormatPr defaultColWidth="9.109375" defaultRowHeight="15" customHeight="1" x14ac:dyDescent="0.3"/>
  <cols>
    <col min="1" max="1" width="13.33203125" style="113" bestFit="1" customWidth="1"/>
    <col min="2" max="3" width="18.33203125" style="7" bestFit="1" customWidth="1"/>
    <col min="4" max="4" width="8.6640625" style="7" bestFit="1" customWidth="1"/>
    <col min="5" max="5" width="11.5546875" style="7" bestFit="1" customWidth="1"/>
    <col min="6" max="6" width="15.6640625" style="2" bestFit="1" customWidth="1"/>
    <col min="7" max="7" width="14.109375" style="117" bestFit="1" customWidth="1"/>
    <col min="8" max="8" width="10.6640625" style="7" bestFit="1" customWidth="1"/>
    <col min="9" max="9" width="52.6640625" style="1" bestFit="1" customWidth="1"/>
    <col min="10" max="10" width="40.44140625" style="114" customWidth="1"/>
    <col min="11" max="11" width="12.33203125" style="113" bestFit="1" customWidth="1"/>
    <col min="12" max="12" width="13.109375" style="113" bestFit="1" customWidth="1"/>
    <col min="13" max="13" width="8.6640625" style="7" bestFit="1" customWidth="1"/>
    <col min="14" max="14" width="10.44140625" style="1" bestFit="1" customWidth="1"/>
    <col min="15" max="15" width="12.33203125" style="7" bestFit="1" customWidth="1"/>
    <col min="16" max="16" width="7.88671875" style="7" bestFit="1" customWidth="1"/>
    <col min="17" max="17" width="7.6640625" style="7" bestFit="1" customWidth="1"/>
    <col min="18" max="19" width="8.33203125" style="7" bestFit="1" customWidth="1"/>
    <col min="20" max="20" width="15.6640625" style="1" bestFit="1" customWidth="1"/>
    <col min="21" max="21" width="16.5546875" style="1" bestFit="1" customWidth="1"/>
    <col min="22" max="22" width="17" style="2" bestFit="1" customWidth="1"/>
    <col min="23" max="23" width="17.33203125" style="1" bestFit="1" customWidth="1"/>
    <col min="24" max="24" width="17.88671875" style="2" bestFit="1" customWidth="1"/>
    <col min="25" max="25" width="13.109375" style="2" bestFit="1" customWidth="1"/>
    <col min="26" max="26" width="14.88671875" style="115" bestFit="1" customWidth="1"/>
    <col min="27" max="27" width="10.109375" style="131" bestFit="1" customWidth="1"/>
    <col min="28" max="28" width="13" style="7" bestFit="1" customWidth="1"/>
    <col min="29" max="29" width="14.6640625" style="116" bestFit="1" customWidth="1"/>
    <col min="30" max="30" width="12.33203125" style="116" bestFit="1" customWidth="1"/>
    <col min="31" max="31" width="12.33203125" style="7" bestFit="1" customWidth="1"/>
    <col min="32" max="32" width="17.6640625" style="7" bestFit="1" customWidth="1"/>
    <col min="33" max="33" width="22.88671875" style="7" bestFit="1" customWidth="1"/>
    <col min="34" max="34" width="14.6640625" style="7" bestFit="1" customWidth="1"/>
    <col min="35" max="35" width="14.109375" style="1" bestFit="1" customWidth="1"/>
    <col min="36" max="36" width="12.5546875" style="1" bestFit="1" customWidth="1"/>
    <col min="37" max="37" width="14.88671875" style="1" bestFit="1" customWidth="1"/>
    <col min="38" max="38" width="16.5546875" style="1" bestFit="1" customWidth="1"/>
    <col min="39" max="39" width="21.44140625" style="1" bestFit="1" customWidth="1"/>
    <col min="40" max="40" width="12.6640625" style="1" bestFit="1" customWidth="1"/>
    <col min="41" max="41" width="10.6640625" style="1" bestFit="1" customWidth="1"/>
    <col min="42" max="42" width="21.33203125" style="1" bestFit="1" customWidth="1"/>
    <col min="43" max="43" width="28.44140625" style="1" bestFit="1" customWidth="1"/>
    <col min="44" max="44" width="28.33203125" style="1" bestFit="1" customWidth="1"/>
    <col min="45" max="45" width="24.88671875" style="1" bestFit="1" customWidth="1"/>
    <col min="46" max="46" width="13.6640625" style="1" hidden="1" customWidth="1"/>
    <col min="47" max="47" width="24.6640625" style="1" hidden="1" customWidth="1"/>
    <col min="48" max="51" width="19.6640625" style="1" hidden="1" customWidth="1"/>
    <col min="52" max="52" width="5.44140625" style="1" hidden="1" customWidth="1"/>
    <col min="53" max="16344" width="9.109375" style="1"/>
    <col min="16345" max="16345" width="9.109375" style="1" bestFit="1" customWidth="1"/>
    <col min="16346" max="16384" width="9.109375" style="1"/>
  </cols>
  <sheetData>
    <row r="1" spans="1:52" customFormat="1" ht="15" customHeight="1" x14ac:dyDescent="0.3">
      <c r="A1" s="121" t="s">
        <v>0</v>
      </c>
      <c r="B1" s="122" t="s">
        <v>1</v>
      </c>
      <c r="C1" s="122" t="s">
        <v>2</v>
      </c>
      <c r="D1" s="122" t="s">
        <v>3</v>
      </c>
      <c r="E1" s="122" t="s">
        <v>4</v>
      </c>
      <c r="F1" s="122" t="s">
        <v>5</v>
      </c>
      <c r="G1" s="123" t="s">
        <v>6</v>
      </c>
      <c r="H1" s="123" t="s">
        <v>7</v>
      </c>
      <c r="I1" s="123" t="s">
        <v>8</v>
      </c>
      <c r="J1" s="123" t="s">
        <v>9</v>
      </c>
      <c r="K1" s="123" t="s">
        <v>10</v>
      </c>
      <c r="L1" s="123" t="s">
        <v>11</v>
      </c>
      <c r="M1" s="123" t="s">
        <v>12</v>
      </c>
      <c r="N1" s="123" t="s">
        <v>13</v>
      </c>
      <c r="O1" s="122" t="s">
        <v>14</v>
      </c>
      <c r="P1" s="123" t="s">
        <v>15</v>
      </c>
      <c r="Q1" s="123" t="s">
        <v>16</v>
      </c>
      <c r="R1" s="123" t="s">
        <v>17</v>
      </c>
      <c r="S1" s="123" t="s">
        <v>18</v>
      </c>
      <c r="T1" s="123" t="s">
        <v>19</v>
      </c>
      <c r="U1" s="122" t="s">
        <v>20</v>
      </c>
      <c r="V1" s="122" t="s">
        <v>21</v>
      </c>
      <c r="W1" s="122" t="s">
        <v>22</v>
      </c>
      <c r="X1" s="122" t="s">
        <v>23</v>
      </c>
      <c r="Y1" s="123" t="s">
        <v>24</v>
      </c>
      <c r="Z1" s="123" t="s">
        <v>25</v>
      </c>
      <c r="AA1" s="130" t="s">
        <v>26</v>
      </c>
      <c r="AB1" s="123" t="s">
        <v>27</v>
      </c>
      <c r="AC1" s="123" t="s">
        <v>28</v>
      </c>
      <c r="AD1" s="123" t="s">
        <v>29</v>
      </c>
      <c r="AE1" s="122" t="s">
        <v>30</v>
      </c>
      <c r="AF1" s="122" t="s">
        <v>31</v>
      </c>
      <c r="AG1" s="122" t="s">
        <v>32</v>
      </c>
      <c r="AH1" s="122" t="s">
        <v>33</v>
      </c>
      <c r="AI1" s="122" t="s">
        <v>34</v>
      </c>
      <c r="AJ1" s="122" t="s">
        <v>35</v>
      </c>
      <c r="AK1" s="122" t="s">
        <v>36</v>
      </c>
      <c r="AL1" s="122" t="s">
        <v>37</v>
      </c>
      <c r="AM1" s="122" t="s">
        <v>38</v>
      </c>
      <c r="AN1" s="124" t="s">
        <v>39</v>
      </c>
      <c r="AO1" s="265" t="s">
        <v>1367</v>
      </c>
      <c r="AP1" s="265" t="s">
        <v>1368</v>
      </c>
      <c r="AQ1" s="265" t="s">
        <v>1369</v>
      </c>
      <c r="AR1" s="265" t="s">
        <v>1370</v>
      </c>
      <c r="AS1" s="265" t="s">
        <v>1371</v>
      </c>
      <c r="AT1" s="125" t="s">
        <v>40</v>
      </c>
      <c r="AU1" s="126" t="s">
        <v>41</v>
      </c>
      <c r="AV1" s="126" t="s">
        <v>42</v>
      </c>
      <c r="AW1" s="126" t="s">
        <v>43</v>
      </c>
      <c r="AX1" s="127" t="s">
        <v>44</v>
      </c>
      <c r="AY1" s="128" t="s">
        <v>45</v>
      </c>
      <c r="AZ1" s="132" t="s">
        <v>46</v>
      </c>
    </row>
    <row r="2" spans="1:52" ht="15" customHeight="1" x14ac:dyDescent="0.3">
      <c r="A2" s="283">
        <v>45650</v>
      </c>
      <c r="B2" s="320" t="s">
        <v>47</v>
      </c>
      <c r="C2" s="320" t="s">
        <v>47</v>
      </c>
      <c r="D2" s="283" t="s">
        <v>48</v>
      </c>
      <c r="E2" s="320" t="s">
        <v>49</v>
      </c>
      <c r="F2" s="284">
        <v>16140636</v>
      </c>
      <c r="G2" s="285"/>
      <c r="H2" s="320" t="s">
        <v>50</v>
      </c>
      <c r="I2" s="322" t="s">
        <v>51</v>
      </c>
      <c r="J2" s="322" t="s">
        <v>3145</v>
      </c>
      <c r="K2" s="283">
        <v>45937</v>
      </c>
      <c r="L2" s="283">
        <v>45946</v>
      </c>
      <c r="M2" s="284">
        <f>Table1[[#This Row],[Dep Date]]-Table1[[#This Row],[Arr Date]]</f>
        <v>9</v>
      </c>
      <c r="N2" s="322" t="s">
        <v>52</v>
      </c>
      <c r="O2" s="320">
        <v>1</v>
      </c>
      <c r="P2" s="320">
        <v>2</v>
      </c>
      <c r="Q2" s="320"/>
      <c r="R2" s="320"/>
      <c r="S2" s="320" t="s">
        <v>53</v>
      </c>
      <c r="T2" s="325" t="s">
        <v>1621</v>
      </c>
      <c r="U2" s="286"/>
      <c r="V2" s="283"/>
      <c r="W2" s="286">
        <v>0</v>
      </c>
      <c r="X2" s="283"/>
      <c r="Y2" s="328"/>
      <c r="Z2" s="328"/>
      <c r="AA2" s="331">
        <f>Table1[[#This Row],[Selling USD]]-Table1[[#This Row],[Cost USD]]</f>
        <v>0</v>
      </c>
      <c r="AB2" s="334">
        <f>(62*2+71*2*8)*0.85</f>
        <v>1071</v>
      </c>
      <c r="AC2" s="287">
        <v>837</v>
      </c>
      <c r="AD2" s="288">
        <f>Table1[[#This Row],[Selling EUR]]-Table1[[#This Row],[Cost EUR]]</f>
        <v>-234</v>
      </c>
      <c r="AE2" s="320" t="s">
        <v>54</v>
      </c>
      <c r="AF2" s="283">
        <v>45932</v>
      </c>
      <c r="AG2" s="283"/>
      <c r="AH2" s="320"/>
      <c r="AI2" s="322"/>
      <c r="AJ2" s="337"/>
      <c r="AK2" s="322"/>
      <c r="AL2" s="337"/>
      <c r="AM2" s="337"/>
      <c r="AN2" s="322"/>
      <c r="AO2" s="290"/>
      <c r="AP2" s="305"/>
      <c r="AQ2" s="290"/>
      <c r="AR2" s="290"/>
      <c r="AS2" s="290"/>
      <c r="AT2" s="289"/>
      <c r="AU2" s="289"/>
      <c r="AV2" s="289"/>
      <c r="AW2" s="289"/>
      <c r="AX2" s="289"/>
      <c r="AY2" s="289"/>
      <c r="AZ2" s="289"/>
    </row>
    <row r="3" spans="1:52" ht="15" customHeight="1" x14ac:dyDescent="0.3">
      <c r="A3" s="294">
        <v>45672</v>
      </c>
      <c r="B3" s="321" t="s">
        <v>47</v>
      </c>
      <c r="C3" s="321" t="s">
        <v>47</v>
      </c>
      <c r="D3" s="294" t="s">
        <v>48</v>
      </c>
      <c r="E3" s="321" t="s">
        <v>49</v>
      </c>
      <c r="F3" s="295">
        <v>16198359</v>
      </c>
      <c r="G3" s="296"/>
      <c r="H3" s="280" t="s">
        <v>50</v>
      </c>
      <c r="I3" s="323" t="s">
        <v>55</v>
      </c>
      <c r="J3" s="323" t="s">
        <v>56</v>
      </c>
      <c r="K3" s="294">
        <v>45933</v>
      </c>
      <c r="L3" s="294">
        <v>45942</v>
      </c>
      <c r="M3" s="284">
        <f>Table1[[#This Row],[Dep Date]]-Table1[[#This Row],[Arr Date]]</f>
        <v>9</v>
      </c>
      <c r="N3" s="323" t="s">
        <v>52</v>
      </c>
      <c r="O3" s="321">
        <v>1</v>
      </c>
      <c r="P3" s="321">
        <v>2</v>
      </c>
      <c r="Q3" s="321">
        <v>1</v>
      </c>
      <c r="R3" s="321"/>
      <c r="S3" s="321" t="s">
        <v>53</v>
      </c>
      <c r="T3" s="326" t="s">
        <v>1622</v>
      </c>
      <c r="U3" s="297" t="s">
        <v>2221</v>
      </c>
      <c r="V3" s="294"/>
      <c r="W3" s="297">
        <v>0</v>
      </c>
      <c r="X3" s="294"/>
      <c r="Y3" s="329"/>
      <c r="Z3" s="329"/>
      <c r="AA3" s="332">
        <f>Table1[[#This Row],[Selling USD]]-Table1[[#This Row],[Cost USD]]</f>
        <v>0</v>
      </c>
      <c r="AB3" s="335">
        <f>(85*2*5+95*2*4)</f>
        <v>1610</v>
      </c>
      <c r="AC3" s="298">
        <v>924</v>
      </c>
      <c r="AD3" s="299">
        <f>Table1[[#This Row],[Selling EUR]]-Table1[[#This Row],[Cost EUR]]</f>
        <v>-686</v>
      </c>
      <c r="AE3" s="321" t="s">
        <v>54</v>
      </c>
      <c r="AF3" s="294">
        <v>45929</v>
      </c>
      <c r="AG3" s="294"/>
      <c r="AH3" s="321"/>
      <c r="AI3" s="323"/>
      <c r="AJ3" s="338"/>
      <c r="AK3" s="323"/>
      <c r="AL3" s="338"/>
      <c r="AM3" s="338"/>
      <c r="AN3" s="324" t="s">
        <v>2287</v>
      </c>
      <c r="AO3" s="282"/>
      <c r="AP3" s="306"/>
      <c r="AQ3" s="282"/>
      <c r="AR3" s="282"/>
      <c r="AS3" s="282"/>
      <c r="AT3" s="281"/>
      <c r="AU3" s="281"/>
      <c r="AV3" s="281"/>
      <c r="AW3" s="281"/>
      <c r="AX3" s="281"/>
      <c r="AY3" s="281"/>
      <c r="AZ3" s="281"/>
    </row>
    <row r="4" spans="1:52" ht="15" customHeight="1" x14ac:dyDescent="0.3">
      <c r="A4" s="294">
        <v>45674</v>
      </c>
      <c r="B4" s="321" t="s">
        <v>47</v>
      </c>
      <c r="C4" s="321" t="s">
        <v>47</v>
      </c>
      <c r="D4" s="294" t="s">
        <v>48</v>
      </c>
      <c r="E4" s="321" t="s">
        <v>49</v>
      </c>
      <c r="F4" s="295">
        <v>16203902</v>
      </c>
      <c r="G4" s="296"/>
      <c r="H4" s="280" t="s">
        <v>50</v>
      </c>
      <c r="I4" s="323" t="s">
        <v>57</v>
      </c>
      <c r="J4" s="323" t="s">
        <v>2432</v>
      </c>
      <c r="K4" s="294">
        <v>45964</v>
      </c>
      <c r="L4" s="294">
        <v>45979</v>
      </c>
      <c r="M4" s="284">
        <f>Table1[[#This Row],[Dep Date]]-Table1[[#This Row],[Arr Date]]</f>
        <v>15</v>
      </c>
      <c r="N4" s="323" t="s">
        <v>52</v>
      </c>
      <c r="O4" s="321">
        <v>1</v>
      </c>
      <c r="P4" s="321">
        <v>2</v>
      </c>
      <c r="Q4" s="321"/>
      <c r="R4" s="321"/>
      <c r="S4" s="321" t="s">
        <v>53</v>
      </c>
      <c r="T4" s="327" t="s">
        <v>1623</v>
      </c>
      <c r="U4" s="297"/>
      <c r="V4" s="294"/>
      <c r="W4" s="297">
        <v>0</v>
      </c>
      <c r="X4" s="294"/>
      <c r="Y4" s="329"/>
      <c r="Z4" s="329"/>
      <c r="AA4" s="332">
        <f>Table1[[#This Row],[Selling USD]]-Table1[[#This Row],[Cost USD]]</f>
        <v>0</v>
      </c>
      <c r="AB4" s="335">
        <f>78*2*15</f>
        <v>2340</v>
      </c>
      <c r="AC4" s="298">
        <v>2328</v>
      </c>
      <c r="AD4" s="299">
        <f>Table1[[#This Row],[Selling EUR]]-Table1[[#This Row],[Cost EUR]]</f>
        <v>-12</v>
      </c>
      <c r="AE4" s="321" t="s">
        <v>54</v>
      </c>
      <c r="AF4" s="294">
        <v>45957</v>
      </c>
      <c r="AG4" s="294"/>
      <c r="AH4" s="321"/>
      <c r="AI4" s="323"/>
      <c r="AJ4" s="338"/>
      <c r="AK4" s="323"/>
      <c r="AL4" s="338"/>
      <c r="AM4" s="338"/>
      <c r="AN4" s="324" t="s">
        <v>2288</v>
      </c>
      <c r="AO4" s="282"/>
      <c r="AP4" s="306"/>
      <c r="AQ4" s="282"/>
      <c r="AR4" s="282"/>
      <c r="AS4" s="282"/>
      <c r="AT4" s="281"/>
      <c r="AU4" s="281"/>
      <c r="AV4" s="281"/>
      <c r="AW4" s="281"/>
      <c r="AX4" s="281"/>
      <c r="AY4" s="281"/>
      <c r="AZ4" s="281"/>
    </row>
    <row r="5" spans="1:52" ht="15" customHeight="1" x14ac:dyDescent="0.3">
      <c r="A5" s="294">
        <v>45674</v>
      </c>
      <c r="B5" s="321" t="s">
        <v>47</v>
      </c>
      <c r="C5" s="321" t="s">
        <v>47</v>
      </c>
      <c r="D5" s="294" t="s">
        <v>48</v>
      </c>
      <c r="E5" s="321" t="s">
        <v>49</v>
      </c>
      <c r="F5" s="295">
        <v>16203734</v>
      </c>
      <c r="G5" s="296">
        <v>20303307</v>
      </c>
      <c r="H5" s="280" t="s">
        <v>50</v>
      </c>
      <c r="I5" s="323" t="s">
        <v>57</v>
      </c>
      <c r="J5" s="323" t="s">
        <v>2432</v>
      </c>
      <c r="K5" s="294">
        <v>45983</v>
      </c>
      <c r="L5" s="294">
        <v>45990</v>
      </c>
      <c r="M5" s="284">
        <f>Table1[[#This Row],[Dep Date]]-Table1[[#This Row],[Arr Date]]</f>
        <v>7</v>
      </c>
      <c r="N5" s="323" t="s">
        <v>52</v>
      </c>
      <c r="O5" s="321">
        <v>1</v>
      </c>
      <c r="P5" s="321">
        <v>2</v>
      </c>
      <c r="Q5" s="321"/>
      <c r="R5" s="321"/>
      <c r="S5" s="321" t="s">
        <v>53</v>
      </c>
      <c r="T5" s="327" t="s">
        <v>1624</v>
      </c>
      <c r="U5" s="297"/>
      <c r="V5" s="294"/>
      <c r="W5" s="297">
        <v>0</v>
      </c>
      <c r="X5" s="294"/>
      <c r="Y5" s="329"/>
      <c r="Z5" s="329"/>
      <c r="AA5" s="332">
        <f>Table1[[#This Row],[Selling USD]]-Table1[[#This Row],[Cost USD]]</f>
        <v>0</v>
      </c>
      <c r="AB5" s="335">
        <f>92*2*0.73*7</f>
        <v>940.24</v>
      </c>
      <c r="AC5" s="298">
        <v>847</v>
      </c>
      <c r="AD5" s="299">
        <f>Table1[[#This Row],[Selling EUR]]-Table1[[#This Row],[Cost EUR]]</f>
        <v>-93.240000000000009</v>
      </c>
      <c r="AE5" s="321" t="s">
        <v>54</v>
      </c>
      <c r="AF5" s="294">
        <v>45977</v>
      </c>
      <c r="AG5" s="294" t="s">
        <v>2289</v>
      </c>
      <c r="AH5" s="321"/>
      <c r="AI5" s="323"/>
      <c r="AJ5" s="338"/>
      <c r="AK5" s="323"/>
      <c r="AL5" s="338"/>
      <c r="AM5" s="338"/>
      <c r="AN5" s="324" t="s">
        <v>2290</v>
      </c>
      <c r="AO5" s="282"/>
      <c r="AP5" s="306"/>
      <c r="AQ5" s="282"/>
      <c r="AR5" s="282"/>
      <c r="AS5" s="282"/>
      <c r="AT5" s="281"/>
      <c r="AU5" s="281"/>
      <c r="AV5" s="281"/>
      <c r="AW5" s="281"/>
      <c r="AX5" s="281"/>
      <c r="AY5" s="281"/>
      <c r="AZ5" s="281"/>
    </row>
    <row r="6" spans="1:52" ht="15" customHeight="1" x14ac:dyDescent="0.3">
      <c r="A6" s="294">
        <v>45674</v>
      </c>
      <c r="B6" s="321" t="s">
        <v>47</v>
      </c>
      <c r="C6" s="321" t="s">
        <v>47</v>
      </c>
      <c r="D6" s="294" t="s">
        <v>48</v>
      </c>
      <c r="E6" s="321" t="s">
        <v>49</v>
      </c>
      <c r="F6" s="295">
        <v>16204280</v>
      </c>
      <c r="G6" s="296">
        <v>20242911</v>
      </c>
      <c r="H6" s="280" t="s">
        <v>58</v>
      </c>
      <c r="I6" s="323" t="s">
        <v>59</v>
      </c>
      <c r="J6" s="323" t="s">
        <v>2433</v>
      </c>
      <c r="K6" s="294">
        <v>46002</v>
      </c>
      <c r="L6" s="294">
        <v>46030</v>
      </c>
      <c r="M6" s="284">
        <f>Table1[[#This Row],[Dep Date]]-Table1[[#This Row],[Arr Date]]</f>
        <v>28</v>
      </c>
      <c r="N6" s="323" t="s">
        <v>52</v>
      </c>
      <c r="O6" s="321">
        <v>1</v>
      </c>
      <c r="P6" s="321">
        <v>2</v>
      </c>
      <c r="Q6" s="321"/>
      <c r="R6" s="321"/>
      <c r="S6" s="321" t="s">
        <v>53</v>
      </c>
      <c r="T6" s="326" t="s">
        <v>1625</v>
      </c>
      <c r="U6" s="297"/>
      <c r="V6" s="294"/>
      <c r="W6" s="297">
        <v>0</v>
      </c>
      <c r="X6" s="294"/>
      <c r="Y6" s="329"/>
      <c r="Z6" s="329"/>
      <c r="AA6" s="332">
        <f>Table1[[#This Row],[Selling USD]]-Table1[[#This Row],[Cost USD]]</f>
        <v>0</v>
      </c>
      <c r="AB6" s="335">
        <f>(36*2*15*0.65)+(46*2*13*0.65)+320</f>
        <v>1799.4</v>
      </c>
      <c r="AC6" s="298">
        <v>2225.1999999999998</v>
      </c>
      <c r="AD6" s="299">
        <f>Table1[[#This Row],[Selling EUR]]-Table1[[#This Row],[Cost EUR]]</f>
        <v>425.79999999999973</v>
      </c>
      <c r="AE6" s="321" t="s">
        <v>54</v>
      </c>
      <c r="AF6" s="294">
        <v>45995</v>
      </c>
      <c r="AG6" s="294" t="s">
        <v>2291</v>
      </c>
      <c r="AH6" s="321"/>
      <c r="AI6" s="323"/>
      <c r="AJ6" s="338"/>
      <c r="AK6" s="323"/>
      <c r="AL6" s="338"/>
      <c r="AM6" s="338"/>
      <c r="AN6" s="324" t="s">
        <v>2292</v>
      </c>
      <c r="AO6" s="282"/>
      <c r="AP6" s="306"/>
      <c r="AQ6" s="282"/>
      <c r="AR6" s="282"/>
      <c r="AS6" s="282"/>
      <c r="AT6" s="281"/>
      <c r="AU6" s="281"/>
      <c r="AV6" s="281"/>
      <c r="AW6" s="281"/>
      <c r="AX6" s="281"/>
      <c r="AY6" s="281"/>
      <c r="AZ6" s="281"/>
    </row>
    <row r="7" spans="1:52" ht="15" customHeight="1" x14ac:dyDescent="0.3">
      <c r="A7" s="294">
        <v>45684</v>
      </c>
      <c r="B7" s="321" t="s">
        <v>47</v>
      </c>
      <c r="C7" s="321" t="s">
        <v>47</v>
      </c>
      <c r="D7" s="294" t="s">
        <v>48</v>
      </c>
      <c r="E7" s="321" t="s">
        <v>49</v>
      </c>
      <c r="F7" s="295">
        <v>16233694</v>
      </c>
      <c r="G7" s="296"/>
      <c r="H7" s="280" t="s">
        <v>50</v>
      </c>
      <c r="I7" s="323" t="s">
        <v>57</v>
      </c>
      <c r="J7" s="323" t="s">
        <v>2434</v>
      </c>
      <c r="K7" s="294">
        <v>45965</v>
      </c>
      <c r="L7" s="294">
        <v>45972</v>
      </c>
      <c r="M7" s="284">
        <f>Table1[[#This Row],[Dep Date]]-Table1[[#This Row],[Arr Date]]</f>
        <v>7</v>
      </c>
      <c r="N7" s="323" t="s">
        <v>52</v>
      </c>
      <c r="O7" s="321">
        <v>1</v>
      </c>
      <c r="P7" s="321">
        <v>2</v>
      </c>
      <c r="Q7" s="321"/>
      <c r="R7" s="321"/>
      <c r="S7" s="321" t="s">
        <v>53</v>
      </c>
      <c r="T7" s="327" t="s">
        <v>1626</v>
      </c>
      <c r="U7" s="297"/>
      <c r="V7" s="294"/>
      <c r="W7" s="297">
        <v>0</v>
      </c>
      <c r="X7" s="294"/>
      <c r="Y7" s="329"/>
      <c r="Z7" s="329"/>
      <c r="AA7" s="332">
        <f>Table1[[#This Row],[Selling USD]]-Table1[[#This Row],[Cost USD]]</f>
        <v>0</v>
      </c>
      <c r="AB7" s="335">
        <f>(112*2*7)*0.8</f>
        <v>1254.4000000000001</v>
      </c>
      <c r="AC7" s="298">
        <v>1477</v>
      </c>
      <c r="AD7" s="299">
        <f>Table1[[#This Row],[Selling EUR]]-Table1[[#This Row],[Cost EUR]]</f>
        <v>222.59999999999991</v>
      </c>
      <c r="AE7" s="321" t="s">
        <v>54</v>
      </c>
      <c r="AF7" s="294">
        <v>45957</v>
      </c>
      <c r="AG7" s="294"/>
      <c r="AH7" s="321"/>
      <c r="AI7" s="323"/>
      <c r="AJ7" s="338"/>
      <c r="AK7" s="323"/>
      <c r="AL7" s="338"/>
      <c r="AM7" s="338"/>
      <c r="AN7" s="324" t="s">
        <v>2293</v>
      </c>
      <c r="AO7" s="282"/>
      <c r="AP7" s="306"/>
      <c r="AQ7" s="282"/>
      <c r="AR7" s="282"/>
      <c r="AS7" s="282"/>
      <c r="AT7" s="281"/>
      <c r="AU7" s="281"/>
      <c r="AV7" s="281"/>
      <c r="AW7" s="281"/>
      <c r="AX7" s="281"/>
      <c r="AY7" s="281"/>
      <c r="AZ7" s="281"/>
    </row>
    <row r="8" spans="1:52" ht="15" customHeight="1" x14ac:dyDescent="0.3">
      <c r="A8" s="294">
        <v>45690</v>
      </c>
      <c r="B8" s="321" t="s">
        <v>60</v>
      </c>
      <c r="C8" s="321" t="s">
        <v>47</v>
      </c>
      <c r="D8" s="294" t="s">
        <v>48</v>
      </c>
      <c r="E8" s="321" t="s">
        <v>2435</v>
      </c>
      <c r="F8" s="295">
        <v>16253005</v>
      </c>
      <c r="G8" s="296"/>
      <c r="H8" s="280" t="s">
        <v>50</v>
      </c>
      <c r="I8" s="323" t="s">
        <v>51</v>
      </c>
      <c r="J8" s="323" t="s">
        <v>2436</v>
      </c>
      <c r="K8" s="294">
        <v>45959</v>
      </c>
      <c r="L8" s="294">
        <v>45965</v>
      </c>
      <c r="M8" s="284">
        <f>Table1[[#This Row],[Dep Date]]-Table1[[#This Row],[Arr Date]]</f>
        <v>6</v>
      </c>
      <c r="N8" s="323" t="s">
        <v>52</v>
      </c>
      <c r="O8" s="321">
        <v>1</v>
      </c>
      <c r="P8" s="321">
        <v>2</v>
      </c>
      <c r="Q8" s="321"/>
      <c r="R8" s="321"/>
      <c r="S8" s="321" t="s">
        <v>53</v>
      </c>
      <c r="T8" s="327" t="s">
        <v>1627</v>
      </c>
      <c r="U8" s="297"/>
      <c r="V8" s="294"/>
      <c r="W8" s="297">
        <v>0</v>
      </c>
      <c r="X8" s="294"/>
      <c r="Y8" s="329"/>
      <c r="Z8" s="329"/>
      <c r="AA8" s="332">
        <f>Table1[[#This Row],[Selling USD]]-Table1[[#This Row],[Cost USD]]</f>
        <v>0</v>
      </c>
      <c r="AB8" s="335"/>
      <c r="AC8" s="298">
        <v>928.8</v>
      </c>
      <c r="AD8" s="299">
        <f>Table1[[#This Row],[Selling EUR]]-Table1[[#This Row],[Cost EUR]]</f>
        <v>928.8</v>
      </c>
      <c r="AE8" s="321" t="s">
        <v>54</v>
      </c>
      <c r="AF8" s="294">
        <v>45956</v>
      </c>
      <c r="AG8" s="294"/>
      <c r="AH8" s="321"/>
      <c r="AI8" s="323"/>
      <c r="AJ8" s="338"/>
      <c r="AK8" s="323"/>
      <c r="AL8" s="338"/>
      <c r="AM8" s="338"/>
      <c r="AN8" s="323" t="s">
        <v>2294</v>
      </c>
      <c r="AO8" s="282"/>
      <c r="AP8" s="306"/>
      <c r="AQ8" s="282"/>
      <c r="AR8" s="282"/>
      <c r="AS8" s="282"/>
      <c r="AT8" s="281"/>
      <c r="AU8" s="281"/>
      <c r="AV8" s="281"/>
      <c r="AW8" s="281"/>
      <c r="AX8" s="281"/>
      <c r="AY8" s="281"/>
      <c r="AZ8" s="281"/>
    </row>
    <row r="9" spans="1:52" ht="15" customHeight="1" x14ac:dyDescent="0.3">
      <c r="A9" s="294">
        <v>45691</v>
      </c>
      <c r="B9" s="321" t="s">
        <v>47</v>
      </c>
      <c r="C9" s="321" t="s">
        <v>47</v>
      </c>
      <c r="D9" s="294" t="s">
        <v>48</v>
      </c>
      <c r="E9" s="321" t="s">
        <v>49</v>
      </c>
      <c r="F9" s="295">
        <v>16256529</v>
      </c>
      <c r="G9" s="296"/>
      <c r="H9" s="280" t="s">
        <v>58</v>
      </c>
      <c r="I9" s="323" t="s">
        <v>59</v>
      </c>
      <c r="J9" s="323" t="s">
        <v>2433</v>
      </c>
      <c r="K9" s="294">
        <v>45924</v>
      </c>
      <c r="L9" s="294">
        <v>45929</v>
      </c>
      <c r="M9" s="284">
        <f>Table1[[#This Row],[Dep Date]]-Table1[[#This Row],[Arr Date]]</f>
        <v>5</v>
      </c>
      <c r="N9" s="323" t="s">
        <v>52</v>
      </c>
      <c r="O9" s="321">
        <v>1</v>
      </c>
      <c r="P9" s="321">
        <v>2</v>
      </c>
      <c r="Q9" s="321"/>
      <c r="R9" s="321"/>
      <c r="S9" s="321" t="s">
        <v>53</v>
      </c>
      <c r="T9" s="326" t="s">
        <v>1628</v>
      </c>
      <c r="U9" s="297"/>
      <c r="V9" s="294"/>
      <c r="W9" s="297">
        <v>0</v>
      </c>
      <c r="X9" s="294"/>
      <c r="Y9" s="329"/>
      <c r="Z9" s="329"/>
      <c r="AA9" s="332">
        <f>Table1[[#This Row],[Selling USD]]-Table1[[#This Row],[Cost USD]]</f>
        <v>0</v>
      </c>
      <c r="AB9" s="335">
        <f>27*2*4</f>
        <v>216</v>
      </c>
      <c r="AC9" s="298">
        <v>280</v>
      </c>
      <c r="AD9" s="299">
        <f>Table1[[#This Row],[Selling EUR]]-Table1[[#This Row],[Cost EUR]]</f>
        <v>64</v>
      </c>
      <c r="AE9" s="321" t="s">
        <v>54</v>
      </c>
      <c r="AF9" s="294">
        <v>45921</v>
      </c>
      <c r="AG9" s="294"/>
      <c r="AH9" s="321"/>
      <c r="AI9" s="323"/>
      <c r="AJ9" s="338"/>
      <c r="AK9" s="323"/>
      <c r="AL9" s="338"/>
      <c r="AM9" s="338"/>
      <c r="AN9" s="323"/>
      <c r="AO9" s="282"/>
      <c r="AP9" s="306"/>
      <c r="AQ9" s="282"/>
      <c r="AR9" s="282"/>
      <c r="AS9" s="282"/>
      <c r="AT9" s="281"/>
      <c r="AU9" s="281"/>
      <c r="AV9" s="281"/>
      <c r="AW9" s="281"/>
      <c r="AX9" s="281"/>
      <c r="AY9" s="281"/>
      <c r="AZ9" s="281"/>
    </row>
    <row r="10" spans="1:52" ht="15" customHeight="1" x14ac:dyDescent="0.3">
      <c r="A10" s="294">
        <v>45704</v>
      </c>
      <c r="B10" s="321" t="s">
        <v>47</v>
      </c>
      <c r="C10" s="321" t="s">
        <v>47</v>
      </c>
      <c r="D10" s="294" t="s">
        <v>48</v>
      </c>
      <c r="E10" s="321" t="s">
        <v>61</v>
      </c>
      <c r="F10" s="295">
        <v>16294745</v>
      </c>
      <c r="G10" s="296"/>
      <c r="H10" s="280" t="s">
        <v>50</v>
      </c>
      <c r="I10" s="323" t="s">
        <v>57</v>
      </c>
      <c r="J10" s="323" t="s">
        <v>2434</v>
      </c>
      <c r="K10" s="294">
        <v>45957</v>
      </c>
      <c r="L10" s="294">
        <v>45960</v>
      </c>
      <c r="M10" s="284">
        <f>Table1[[#This Row],[Dep Date]]-Table1[[#This Row],[Arr Date]]</f>
        <v>3</v>
      </c>
      <c r="N10" s="323" t="s">
        <v>52</v>
      </c>
      <c r="O10" s="321">
        <v>1</v>
      </c>
      <c r="P10" s="321">
        <v>2</v>
      </c>
      <c r="Q10" s="321"/>
      <c r="R10" s="321"/>
      <c r="S10" s="321" t="s">
        <v>53</v>
      </c>
      <c r="T10" s="326" t="s">
        <v>1629</v>
      </c>
      <c r="U10" s="297"/>
      <c r="V10" s="294"/>
      <c r="W10" s="297">
        <v>0</v>
      </c>
      <c r="X10" s="294"/>
      <c r="Y10" s="329">
        <f>(130*2*3)*0.85</f>
        <v>663</v>
      </c>
      <c r="Z10" s="329">
        <v>597</v>
      </c>
      <c r="AA10" s="332">
        <f>Table1[[#This Row],[Selling USD]]-Table1[[#This Row],[Cost USD]]</f>
        <v>-66</v>
      </c>
      <c r="AB10" s="335"/>
      <c r="AC10" s="298"/>
      <c r="AD10" s="299">
        <f>Table1[[#This Row],[Selling EUR]]-Table1[[#This Row],[Cost EUR]]</f>
        <v>0</v>
      </c>
      <c r="AE10" s="321" t="s">
        <v>54</v>
      </c>
      <c r="AF10" s="294">
        <v>45951</v>
      </c>
      <c r="AG10" s="294"/>
      <c r="AH10" s="321"/>
      <c r="AI10" s="323"/>
      <c r="AJ10" s="338"/>
      <c r="AK10" s="323"/>
      <c r="AL10" s="338"/>
      <c r="AM10" s="338"/>
      <c r="AN10" s="323" t="s">
        <v>2295</v>
      </c>
      <c r="AO10" s="282"/>
      <c r="AP10" s="306"/>
      <c r="AQ10" s="282"/>
      <c r="AR10" s="282"/>
      <c r="AS10" s="282"/>
      <c r="AT10" s="281"/>
      <c r="AU10" s="281"/>
      <c r="AV10" s="281"/>
      <c r="AW10" s="281"/>
      <c r="AX10" s="281"/>
      <c r="AY10" s="281"/>
      <c r="AZ10" s="281"/>
    </row>
    <row r="11" spans="1:52" ht="15" customHeight="1" x14ac:dyDescent="0.3">
      <c r="A11" s="294">
        <v>45706</v>
      </c>
      <c r="B11" s="321" t="s">
        <v>47</v>
      </c>
      <c r="C11" s="321" t="s">
        <v>47</v>
      </c>
      <c r="D11" s="294" t="s">
        <v>48</v>
      </c>
      <c r="E11" s="321" t="s">
        <v>61</v>
      </c>
      <c r="F11" s="295">
        <v>16300986</v>
      </c>
      <c r="G11" s="296">
        <v>20242936</v>
      </c>
      <c r="H11" s="280" t="s">
        <v>50</v>
      </c>
      <c r="I11" s="323" t="s">
        <v>51</v>
      </c>
      <c r="J11" s="323" t="s">
        <v>1586</v>
      </c>
      <c r="K11" s="294">
        <v>45988</v>
      </c>
      <c r="L11" s="294">
        <v>45995</v>
      </c>
      <c r="M11" s="284">
        <f>Table1[[#This Row],[Dep Date]]-Table1[[#This Row],[Arr Date]]</f>
        <v>7</v>
      </c>
      <c r="N11" s="323" t="s">
        <v>52</v>
      </c>
      <c r="O11" s="321">
        <v>1</v>
      </c>
      <c r="P11" s="321">
        <v>2</v>
      </c>
      <c r="Q11" s="321"/>
      <c r="R11" s="321"/>
      <c r="S11" s="321" t="s">
        <v>53</v>
      </c>
      <c r="T11" s="326" t="s">
        <v>1630</v>
      </c>
      <c r="U11" s="297"/>
      <c r="V11" s="294"/>
      <c r="W11" s="297">
        <v>0</v>
      </c>
      <c r="X11" s="294"/>
      <c r="Y11" s="329">
        <f>(87*2*3+79*2*4)*0.65</f>
        <v>750.1</v>
      </c>
      <c r="Z11" s="329">
        <v>1066.5999999999999</v>
      </c>
      <c r="AA11" s="332">
        <f>Table1[[#This Row],[Selling USD]]-Table1[[#This Row],[Cost USD]]</f>
        <v>316.49999999999989</v>
      </c>
      <c r="AB11" s="335">
        <v>0</v>
      </c>
      <c r="AC11" s="298">
        <v>0</v>
      </c>
      <c r="AD11" s="299">
        <f>Table1[[#This Row],[Selling EUR]]-Table1[[#This Row],[Cost EUR]]</f>
        <v>0</v>
      </c>
      <c r="AE11" s="321" t="s">
        <v>54</v>
      </c>
      <c r="AF11" s="294">
        <v>45981</v>
      </c>
      <c r="AG11" s="294" t="s">
        <v>2296</v>
      </c>
      <c r="AH11" s="321"/>
      <c r="AI11" s="323"/>
      <c r="AJ11" s="338"/>
      <c r="AK11" s="323"/>
      <c r="AL11" s="338"/>
      <c r="AM11" s="338"/>
      <c r="AN11" s="323" t="s">
        <v>2297</v>
      </c>
      <c r="AO11" s="282"/>
      <c r="AP11" s="306"/>
      <c r="AQ11" s="282"/>
      <c r="AR11" s="282"/>
      <c r="AS11" s="282"/>
      <c r="AT11" s="281"/>
      <c r="AU11" s="281"/>
      <c r="AV11" s="281"/>
      <c r="AW11" s="281"/>
      <c r="AX11" s="281"/>
      <c r="AY11" s="281"/>
      <c r="AZ11" s="281"/>
    </row>
    <row r="12" spans="1:52" ht="15" customHeight="1" x14ac:dyDescent="0.3">
      <c r="A12" s="294">
        <v>45706</v>
      </c>
      <c r="B12" s="321" t="s">
        <v>47</v>
      </c>
      <c r="C12" s="321" t="s">
        <v>47</v>
      </c>
      <c r="D12" s="294" t="s">
        <v>48</v>
      </c>
      <c r="E12" s="321" t="s">
        <v>61</v>
      </c>
      <c r="F12" s="295">
        <v>16303959</v>
      </c>
      <c r="G12" s="296">
        <v>20303536</v>
      </c>
      <c r="H12" s="280" t="s">
        <v>50</v>
      </c>
      <c r="I12" s="323" t="s">
        <v>57</v>
      </c>
      <c r="J12" s="323" t="s">
        <v>2432</v>
      </c>
      <c r="K12" s="294">
        <v>46083</v>
      </c>
      <c r="L12" s="294">
        <v>46088</v>
      </c>
      <c r="M12" s="284">
        <f>Table1[[#This Row],[Dep Date]]-Table1[[#This Row],[Arr Date]]</f>
        <v>5</v>
      </c>
      <c r="N12" s="323" t="s">
        <v>52</v>
      </c>
      <c r="O12" s="321">
        <v>1</v>
      </c>
      <c r="P12" s="321">
        <v>2</v>
      </c>
      <c r="Q12" s="321"/>
      <c r="R12" s="321"/>
      <c r="S12" s="321" t="s">
        <v>53</v>
      </c>
      <c r="T12" s="326" t="s">
        <v>1631</v>
      </c>
      <c r="U12" s="297"/>
      <c r="V12" s="294"/>
      <c r="W12" s="297">
        <v>0</v>
      </c>
      <c r="X12" s="294"/>
      <c r="Y12" s="329">
        <f>73*2*5</f>
        <v>730</v>
      </c>
      <c r="Z12" s="329">
        <v>767</v>
      </c>
      <c r="AA12" s="332">
        <f>Table1[[#This Row],[Selling USD]]-Table1[[#This Row],[Cost USD]]</f>
        <v>37</v>
      </c>
      <c r="AB12" s="335"/>
      <c r="AC12" s="298"/>
      <c r="AD12" s="299">
        <f>Table1[[#This Row],[Selling EUR]]-Table1[[#This Row],[Cost EUR]]</f>
        <v>0</v>
      </c>
      <c r="AE12" s="321" t="s">
        <v>54</v>
      </c>
      <c r="AF12" s="294">
        <v>46075</v>
      </c>
      <c r="AG12" s="294"/>
      <c r="AH12" s="321"/>
      <c r="AI12" s="323"/>
      <c r="AJ12" s="338"/>
      <c r="AK12" s="323"/>
      <c r="AL12" s="338"/>
      <c r="AM12" s="338"/>
      <c r="AN12" s="324" t="s">
        <v>2298</v>
      </c>
      <c r="AO12" s="282"/>
      <c r="AP12" s="306"/>
      <c r="AQ12" s="282"/>
      <c r="AR12" s="282"/>
      <c r="AS12" s="282"/>
      <c r="AT12" s="281"/>
      <c r="AU12" s="281"/>
      <c r="AV12" s="281"/>
      <c r="AW12" s="281"/>
      <c r="AX12" s="281"/>
      <c r="AY12" s="281"/>
      <c r="AZ12" s="281"/>
    </row>
    <row r="13" spans="1:52" ht="15" customHeight="1" x14ac:dyDescent="0.3">
      <c r="A13" s="294">
        <v>45708</v>
      </c>
      <c r="B13" s="321" t="s">
        <v>47</v>
      </c>
      <c r="C13" s="321" t="s">
        <v>47</v>
      </c>
      <c r="D13" s="294" t="s">
        <v>48</v>
      </c>
      <c r="E13" s="321" t="s">
        <v>49</v>
      </c>
      <c r="F13" s="295">
        <v>16312026</v>
      </c>
      <c r="G13" s="296">
        <v>20242725</v>
      </c>
      <c r="H13" s="280" t="s">
        <v>58</v>
      </c>
      <c r="I13" s="323" t="s">
        <v>62</v>
      </c>
      <c r="J13" s="323" t="s">
        <v>63</v>
      </c>
      <c r="K13" s="294">
        <v>45979</v>
      </c>
      <c r="L13" s="294">
        <v>45989</v>
      </c>
      <c r="M13" s="284">
        <f>Table1[[#This Row],[Dep Date]]-Table1[[#This Row],[Arr Date]]</f>
        <v>10</v>
      </c>
      <c r="N13" s="323" t="s">
        <v>52</v>
      </c>
      <c r="O13" s="321">
        <v>1</v>
      </c>
      <c r="P13" s="321">
        <v>2</v>
      </c>
      <c r="Q13" s="321"/>
      <c r="R13" s="321"/>
      <c r="S13" s="321" t="s">
        <v>53</v>
      </c>
      <c r="T13" s="326" t="s">
        <v>1632</v>
      </c>
      <c r="U13" s="297"/>
      <c r="V13" s="294"/>
      <c r="W13" s="297">
        <v>0</v>
      </c>
      <c r="X13" s="294"/>
      <c r="Y13" s="329"/>
      <c r="Z13" s="329"/>
      <c r="AA13" s="332">
        <f>Table1[[#This Row],[Selling USD]]-Table1[[#This Row],[Cost USD]]</f>
        <v>0</v>
      </c>
      <c r="AB13" s="335">
        <f>70*2*10*0.9</f>
        <v>1260</v>
      </c>
      <c r="AC13" s="298">
        <v>1300</v>
      </c>
      <c r="AD13" s="299">
        <f>Table1[[#This Row],[Selling EUR]]-Table1[[#This Row],[Cost EUR]]</f>
        <v>40</v>
      </c>
      <c r="AE13" s="321" t="s">
        <v>54</v>
      </c>
      <c r="AF13" s="294">
        <v>45970</v>
      </c>
      <c r="AG13" s="294"/>
      <c r="AH13" s="321"/>
      <c r="AI13" s="323"/>
      <c r="AJ13" s="338"/>
      <c r="AK13" s="323"/>
      <c r="AL13" s="338"/>
      <c r="AM13" s="338"/>
      <c r="AN13" s="323" t="s">
        <v>2299</v>
      </c>
      <c r="AO13" s="282"/>
      <c r="AP13" s="306"/>
      <c r="AQ13" s="282"/>
      <c r="AR13" s="282"/>
      <c r="AS13" s="282"/>
      <c r="AT13" s="281"/>
      <c r="AU13" s="281"/>
      <c r="AV13" s="281"/>
      <c r="AW13" s="281"/>
      <c r="AX13" s="281"/>
      <c r="AY13" s="281"/>
      <c r="AZ13" s="281"/>
    </row>
    <row r="14" spans="1:52" ht="15" customHeight="1" x14ac:dyDescent="0.3">
      <c r="A14" s="294">
        <v>45709</v>
      </c>
      <c r="B14" s="321" t="s">
        <v>47</v>
      </c>
      <c r="C14" s="321" t="s">
        <v>47</v>
      </c>
      <c r="D14" s="294" t="s">
        <v>48</v>
      </c>
      <c r="E14" s="321" t="s">
        <v>49</v>
      </c>
      <c r="F14" s="295">
        <v>16318110</v>
      </c>
      <c r="G14" s="296">
        <v>20242738</v>
      </c>
      <c r="H14" s="280" t="s">
        <v>58</v>
      </c>
      <c r="I14" s="323" t="s">
        <v>64</v>
      </c>
      <c r="J14" s="323" t="s">
        <v>2437</v>
      </c>
      <c r="K14" s="294">
        <v>45991</v>
      </c>
      <c r="L14" s="294">
        <v>46012</v>
      </c>
      <c r="M14" s="284">
        <f>Table1[[#This Row],[Dep Date]]-Table1[[#This Row],[Arr Date]]</f>
        <v>21</v>
      </c>
      <c r="N14" s="323" t="s">
        <v>65</v>
      </c>
      <c r="O14" s="321">
        <v>1</v>
      </c>
      <c r="P14" s="321">
        <v>1</v>
      </c>
      <c r="Q14" s="321"/>
      <c r="R14" s="321"/>
      <c r="S14" s="321" t="s">
        <v>53</v>
      </c>
      <c r="T14" s="326" t="s">
        <v>1633</v>
      </c>
      <c r="U14" s="297"/>
      <c r="V14" s="294"/>
      <c r="W14" s="297">
        <v>0</v>
      </c>
      <c r="X14" s="294"/>
      <c r="Y14" s="329"/>
      <c r="Z14" s="329"/>
      <c r="AA14" s="332">
        <f>Table1[[#This Row],[Selling USD]]-Table1[[#This Row],[Cost USD]]</f>
        <v>0</v>
      </c>
      <c r="AB14" s="335">
        <f>67+52*20*0.9</f>
        <v>1003</v>
      </c>
      <c r="AC14" s="298">
        <v>1038.3</v>
      </c>
      <c r="AD14" s="299">
        <f>Table1[[#This Row],[Selling EUR]]-Table1[[#This Row],[Cost EUR]]</f>
        <v>35.299999999999955</v>
      </c>
      <c r="AE14" s="321" t="s">
        <v>54</v>
      </c>
      <c r="AF14" s="294">
        <v>45986</v>
      </c>
      <c r="AG14" s="294" t="s">
        <v>2291</v>
      </c>
      <c r="AH14" s="321"/>
      <c r="AI14" s="323"/>
      <c r="AJ14" s="338"/>
      <c r="AK14" s="323"/>
      <c r="AL14" s="338"/>
      <c r="AM14" s="338"/>
      <c r="AN14" s="323"/>
      <c r="AO14" s="282"/>
      <c r="AP14" s="306"/>
      <c r="AQ14" s="282"/>
      <c r="AR14" s="282"/>
      <c r="AS14" s="282"/>
      <c r="AT14" s="281"/>
      <c r="AU14" s="281"/>
      <c r="AV14" s="281"/>
      <c r="AW14" s="281"/>
      <c r="AX14" s="281"/>
      <c r="AY14" s="281"/>
      <c r="AZ14" s="281"/>
    </row>
    <row r="15" spans="1:52" ht="15" customHeight="1" x14ac:dyDescent="0.3">
      <c r="A15" s="294">
        <v>45713</v>
      </c>
      <c r="B15" s="321" t="s">
        <v>47</v>
      </c>
      <c r="C15" s="321" t="s">
        <v>47</v>
      </c>
      <c r="D15" s="294" t="s">
        <v>48</v>
      </c>
      <c r="E15" s="321" t="s">
        <v>49</v>
      </c>
      <c r="F15" s="295">
        <v>16331772</v>
      </c>
      <c r="G15" s="296"/>
      <c r="H15" s="280" t="s">
        <v>50</v>
      </c>
      <c r="I15" s="323" t="s">
        <v>66</v>
      </c>
      <c r="J15" s="323" t="s">
        <v>56</v>
      </c>
      <c r="K15" s="294">
        <v>45969</v>
      </c>
      <c r="L15" s="294">
        <v>45976</v>
      </c>
      <c r="M15" s="284">
        <f>Table1[[#This Row],[Dep Date]]-Table1[[#This Row],[Arr Date]]</f>
        <v>7</v>
      </c>
      <c r="N15" s="323" t="s">
        <v>52</v>
      </c>
      <c r="O15" s="321">
        <v>1</v>
      </c>
      <c r="P15" s="321">
        <v>2</v>
      </c>
      <c r="Q15" s="321">
        <v>2</v>
      </c>
      <c r="R15" s="321"/>
      <c r="S15" s="321" t="s">
        <v>53</v>
      </c>
      <c r="T15" s="326" t="s">
        <v>1634</v>
      </c>
      <c r="U15" s="297" t="s">
        <v>2222</v>
      </c>
      <c r="V15" s="294"/>
      <c r="W15" s="297">
        <v>0</v>
      </c>
      <c r="X15" s="294"/>
      <c r="Y15" s="329"/>
      <c r="Z15" s="329"/>
      <c r="AA15" s="332">
        <f>Table1[[#This Row],[Selling USD]]-Table1[[#This Row],[Cost USD]]</f>
        <v>0</v>
      </c>
      <c r="AB15" s="335">
        <f>41*2*7</f>
        <v>574</v>
      </c>
      <c r="AC15" s="298">
        <v>890.75</v>
      </c>
      <c r="AD15" s="299">
        <f>Table1[[#This Row],[Selling EUR]]-Table1[[#This Row],[Cost EUR]]</f>
        <v>316.75</v>
      </c>
      <c r="AE15" s="321" t="s">
        <v>54</v>
      </c>
      <c r="AF15" s="294">
        <v>45962</v>
      </c>
      <c r="AG15" s="294"/>
      <c r="AH15" s="321"/>
      <c r="AI15" s="323" t="s">
        <v>2300</v>
      </c>
      <c r="AJ15" s="338">
        <v>0.59027777777777779</v>
      </c>
      <c r="AK15" s="323" t="s">
        <v>2301</v>
      </c>
      <c r="AL15" s="338">
        <v>0.625</v>
      </c>
      <c r="AM15" s="338"/>
      <c r="AN15" s="324" t="s">
        <v>2302</v>
      </c>
      <c r="AO15" s="282"/>
      <c r="AP15" s="306"/>
      <c r="AQ15" s="282"/>
      <c r="AR15" s="282"/>
      <c r="AS15" s="282"/>
      <c r="AT15" s="281"/>
      <c r="AU15" s="281"/>
      <c r="AV15" s="281"/>
      <c r="AW15" s="281"/>
      <c r="AX15" s="281"/>
      <c r="AY15" s="281"/>
      <c r="AZ15" s="281"/>
    </row>
    <row r="16" spans="1:52" ht="15" customHeight="1" x14ac:dyDescent="0.3">
      <c r="A16" s="294">
        <v>45717</v>
      </c>
      <c r="B16" s="321" t="s">
        <v>47</v>
      </c>
      <c r="C16" s="321" t="s">
        <v>47</v>
      </c>
      <c r="D16" s="294" t="s">
        <v>48</v>
      </c>
      <c r="E16" s="321" t="s">
        <v>49</v>
      </c>
      <c r="F16" s="295">
        <v>16343734</v>
      </c>
      <c r="G16" s="296"/>
      <c r="H16" s="280" t="s">
        <v>58</v>
      </c>
      <c r="I16" s="323" t="s">
        <v>59</v>
      </c>
      <c r="J16" s="323" t="s">
        <v>2433</v>
      </c>
      <c r="K16" s="294">
        <v>45920</v>
      </c>
      <c r="L16" s="294">
        <v>45927</v>
      </c>
      <c r="M16" s="284">
        <f>Table1[[#This Row],[Dep Date]]-Table1[[#This Row],[Arr Date]]</f>
        <v>7</v>
      </c>
      <c r="N16" s="323" t="s">
        <v>52</v>
      </c>
      <c r="O16" s="321">
        <v>1</v>
      </c>
      <c r="P16" s="321">
        <v>2</v>
      </c>
      <c r="Q16" s="321"/>
      <c r="R16" s="321"/>
      <c r="S16" s="321" t="s">
        <v>53</v>
      </c>
      <c r="T16" s="326" t="s">
        <v>1635</v>
      </c>
      <c r="U16" s="297"/>
      <c r="V16" s="294"/>
      <c r="W16" s="297">
        <v>0</v>
      </c>
      <c r="X16" s="294"/>
      <c r="Y16" s="329"/>
      <c r="Z16" s="329"/>
      <c r="AA16" s="332">
        <f>Table1[[#This Row],[Selling USD]]-Table1[[#This Row],[Cost USD]]</f>
        <v>0</v>
      </c>
      <c r="AB16" s="335">
        <f>28*2*7</f>
        <v>392</v>
      </c>
      <c r="AC16" s="298">
        <v>420</v>
      </c>
      <c r="AD16" s="299">
        <f>Table1[[#This Row],[Selling EUR]]-Table1[[#This Row],[Cost EUR]]</f>
        <v>28</v>
      </c>
      <c r="AE16" s="321" t="s">
        <v>54</v>
      </c>
      <c r="AF16" s="294">
        <v>45914</v>
      </c>
      <c r="AG16" s="294"/>
      <c r="AH16" s="321"/>
      <c r="AI16" s="323"/>
      <c r="AJ16" s="338"/>
      <c r="AK16" s="323"/>
      <c r="AL16" s="338"/>
      <c r="AM16" s="338"/>
      <c r="AN16" s="323"/>
      <c r="AO16" s="282"/>
      <c r="AP16" s="306"/>
      <c r="AQ16" s="282"/>
      <c r="AR16" s="282"/>
      <c r="AS16" s="282"/>
      <c r="AT16" s="281"/>
      <c r="AU16" s="281"/>
      <c r="AV16" s="281"/>
      <c r="AW16" s="281"/>
      <c r="AX16" s="281"/>
      <c r="AY16" s="281"/>
      <c r="AZ16" s="281"/>
    </row>
    <row r="17" spans="1:52" ht="15" customHeight="1" x14ac:dyDescent="0.3">
      <c r="A17" s="294">
        <v>45718</v>
      </c>
      <c r="B17" s="321" t="s">
        <v>47</v>
      </c>
      <c r="C17" s="321" t="s">
        <v>47</v>
      </c>
      <c r="D17" s="294" t="s">
        <v>48</v>
      </c>
      <c r="E17" s="321" t="s">
        <v>61</v>
      </c>
      <c r="F17" s="295">
        <v>16347555</v>
      </c>
      <c r="G17" s="296">
        <v>20242764</v>
      </c>
      <c r="H17" s="280" t="s">
        <v>50</v>
      </c>
      <c r="I17" s="323" t="s">
        <v>51</v>
      </c>
      <c r="J17" s="323" t="s">
        <v>2438</v>
      </c>
      <c r="K17" s="294">
        <v>45978</v>
      </c>
      <c r="L17" s="294">
        <v>45985</v>
      </c>
      <c r="M17" s="284">
        <f>Table1[[#This Row],[Dep Date]]-Table1[[#This Row],[Arr Date]]</f>
        <v>7</v>
      </c>
      <c r="N17" s="323" t="s">
        <v>52</v>
      </c>
      <c r="O17" s="321">
        <v>1</v>
      </c>
      <c r="P17" s="321">
        <v>2</v>
      </c>
      <c r="Q17" s="321"/>
      <c r="R17" s="321"/>
      <c r="S17" s="321" t="s">
        <v>53</v>
      </c>
      <c r="T17" s="326" t="s">
        <v>1636</v>
      </c>
      <c r="U17" s="297"/>
      <c r="V17" s="294"/>
      <c r="W17" s="297">
        <v>0</v>
      </c>
      <c r="X17" s="294"/>
      <c r="Y17" s="329">
        <f>87*2*7*0.65</f>
        <v>791.7</v>
      </c>
      <c r="Z17" s="329">
        <v>1124.2</v>
      </c>
      <c r="AA17" s="332">
        <f>Table1[[#This Row],[Selling USD]]-Table1[[#This Row],[Cost USD]]</f>
        <v>332.5</v>
      </c>
      <c r="AB17" s="335"/>
      <c r="AC17" s="298"/>
      <c r="AD17" s="299">
        <f>Table1[[#This Row],[Selling EUR]]-Table1[[#This Row],[Cost EUR]]</f>
        <v>0</v>
      </c>
      <c r="AE17" s="321" t="s">
        <v>54</v>
      </c>
      <c r="AF17" s="294">
        <v>45971</v>
      </c>
      <c r="AG17" s="294"/>
      <c r="AH17" s="321"/>
      <c r="AI17" s="323"/>
      <c r="AJ17" s="338"/>
      <c r="AK17" s="323"/>
      <c r="AL17" s="338"/>
      <c r="AM17" s="338"/>
      <c r="AN17" s="323" t="s">
        <v>2303</v>
      </c>
      <c r="AO17" s="282"/>
      <c r="AP17" s="306"/>
      <c r="AQ17" s="282"/>
      <c r="AR17" s="282"/>
      <c r="AS17" s="282"/>
      <c r="AT17" s="281"/>
      <c r="AU17" s="281"/>
      <c r="AV17" s="281"/>
      <c r="AW17" s="281"/>
      <c r="AX17" s="281"/>
      <c r="AY17" s="281"/>
      <c r="AZ17" s="281"/>
    </row>
    <row r="18" spans="1:52" ht="15" customHeight="1" x14ac:dyDescent="0.3">
      <c r="A18" s="294">
        <v>45720</v>
      </c>
      <c r="B18" s="321" t="s">
        <v>47</v>
      </c>
      <c r="C18" s="321" t="s">
        <v>47</v>
      </c>
      <c r="D18" s="294" t="s">
        <v>48</v>
      </c>
      <c r="E18" s="321" t="s">
        <v>49</v>
      </c>
      <c r="F18" s="295">
        <v>16352565</v>
      </c>
      <c r="G18" s="296"/>
      <c r="H18" s="280" t="s">
        <v>58</v>
      </c>
      <c r="I18" s="323" t="s">
        <v>59</v>
      </c>
      <c r="J18" s="323" t="s">
        <v>2433</v>
      </c>
      <c r="K18" s="294">
        <v>45931</v>
      </c>
      <c r="L18" s="294">
        <v>45959</v>
      </c>
      <c r="M18" s="284">
        <f>Table1[[#This Row],[Dep Date]]-Table1[[#This Row],[Arr Date]]</f>
        <v>28</v>
      </c>
      <c r="N18" s="323" t="s">
        <v>52</v>
      </c>
      <c r="O18" s="321">
        <v>1</v>
      </c>
      <c r="P18" s="321">
        <v>2</v>
      </c>
      <c r="Q18" s="321"/>
      <c r="R18" s="321"/>
      <c r="S18" s="321" t="s">
        <v>53</v>
      </c>
      <c r="T18" s="327" t="s">
        <v>1637</v>
      </c>
      <c r="U18" s="297"/>
      <c r="V18" s="294"/>
      <c r="W18" s="297">
        <v>0</v>
      </c>
      <c r="X18" s="294"/>
      <c r="Y18" s="329"/>
      <c r="Z18" s="329"/>
      <c r="AA18" s="332">
        <f>Table1[[#This Row],[Selling USD]]-Table1[[#This Row],[Cost USD]]</f>
        <v>0</v>
      </c>
      <c r="AB18" s="335">
        <f>28*2*28</f>
        <v>1568</v>
      </c>
      <c r="AC18" s="298">
        <v>1680</v>
      </c>
      <c r="AD18" s="299">
        <f>Table1[[#This Row],[Selling EUR]]-Table1[[#This Row],[Cost EUR]]</f>
        <v>112</v>
      </c>
      <c r="AE18" s="321" t="s">
        <v>54</v>
      </c>
      <c r="AF18" s="294">
        <v>45924</v>
      </c>
      <c r="AG18" s="294"/>
      <c r="AH18" s="321"/>
      <c r="AI18" s="323"/>
      <c r="AJ18" s="338"/>
      <c r="AK18" s="323"/>
      <c r="AL18" s="338"/>
      <c r="AM18" s="338"/>
      <c r="AN18" s="323"/>
      <c r="AO18" s="282"/>
      <c r="AP18" s="306"/>
      <c r="AQ18" s="282"/>
      <c r="AR18" s="282"/>
      <c r="AS18" s="282"/>
      <c r="AT18" s="281"/>
      <c r="AU18" s="281"/>
      <c r="AV18" s="281"/>
      <c r="AW18" s="281"/>
      <c r="AX18" s="281"/>
      <c r="AY18" s="281"/>
      <c r="AZ18" s="281"/>
    </row>
    <row r="19" spans="1:52" ht="15" customHeight="1" x14ac:dyDescent="0.3">
      <c r="A19" s="294">
        <v>45721</v>
      </c>
      <c r="B19" s="321" t="s">
        <v>47</v>
      </c>
      <c r="C19" s="321" t="s">
        <v>47</v>
      </c>
      <c r="D19" s="294" t="s">
        <v>48</v>
      </c>
      <c r="E19" s="321" t="s">
        <v>49</v>
      </c>
      <c r="F19" s="295">
        <v>16356894</v>
      </c>
      <c r="G19" s="296"/>
      <c r="H19" s="280" t="s">
        <v>58</v>
      </c>
      <c r="I19" s="323" t="s">
        <v>59</v>
      </c>
      <c r="J19" s="323" t="s">
        <v>2439</v>
      </c>
      <c r="K19" s="294">
        <v>45926</v>
      </c>
      <c r="L19" s="294">
        <v>45939</v>
      </c>
      <c r="M19" s="284">
        <f>Table1[[#This Row],[Dep Date]]-Table1[[#This Row],[Arr Date]]</f>
        <v>13</v>
      </c>
      <c r="N19" s="323" t="s">
        <v>52</v>
      </c>
      <c r="O19" s="321">
        <v>1</v>
      </c>
      <c r="P19" s="321">
        <v>2</v>
      </c>
      <c r="Q19" s="321"/>
      <c r="R19" s="321"/>
      <c r="S19" s="321" t="s">
        <v>53</v>
      </c>
      <c r="T19" s="327" t="s">
        <v>1638</v>
      </c>
      <c r="U19" s="297"/>
      <c r="V19" s="294"/>
      <c r="W19" s="297">
        <v>0</v>
      </c>
      <c r="X19" s="294"/>
      <c r="Y19" s="329"/>
      <c r="Z19" s="329"/>
      <c r="AA19" s="332">
        <f>Table1[[#This Row],[Selling USD]]-Table1[[#This Row],[Cost USD]]</f>
        <v>0</v>
      </c>
      <c r="AB19" s="335">
        <f>31*2*13</f>
        <v>806</v>
      </c>
      <c r="AC19" s="298">
        <v>910</v>
      </c>
      <c r="AD19" s="299">
        <f>Table1[[#This Row],[Selling EUR]]-Table1[[#This Row],[Cost EUR]]</f>
        <v>104</v>
      </c>
      <c r="AE19" s="321" t="s">
        <v>54</v>
      </c>
      <c r="AF19" s="294">
        <v>45920</v>
      </c>
      <c r="AG19" s="294"/>
      <c r="AH19" s="321"/>
      <c r="AI19" s="323"/>
      <c r="AJ19" s="338"/>
      <c r="AK19" s="323"/>
      <c r="AL19" s="338"/>
      <c r="AM19" s="338"/>
      <c r="AN19" s="323"/>
      <c r="AO19" s="282"/>
      <c r="AP19" s="306"/>
      <c r="AQ19" s="282"/>
      <c r="AR19" s="282"/>
      <c r="AS19" s="282"/>
      <c r="AT19" s="281"/>
      <c r="AU19" s="281"/>
      <c r="AV19" s="281"/>
      <c r="AW19" s="281"/>
      <c r="AX19" s="281"/>
      <c r="AY19" s="281"/>
      <c r="AZ19" s="281"/>
    </row>
    <row r="20" spans="1:52" ht="15" customHeight="1" x14ac:dyDescent="0.3">
      <c r="A20" s="294">
        <v>45721</v>
      </c>
      <c r="B20" s="321" t="s">
        <v>47</v>
      </c>
      <c r="C20" s="321" t="s">
        <v>47</v>
      </c>
      <c r="D20" s="294" t="s">
        <v>48</v>
      </c>
      <c r="E20" s="321" t="s">
        <v>61</v>
      </c>
      <c r="F20" s="295">
        <v>16356733</v>
      </c>
      <c r="G20" s="296" t="s">
        <v>1605</v>
      </c>
      <c r="H20" s="280" t="s">
        <v>50</v>
      </c>
      <c r="I20" s="323" t="s">
        <v>57</v>
      </c>
      <c r="J20" s="323" t="s">
        <v>2440</v>
      </c>
      <c r="K20" s="294">
        <v>46090</v>
      </c>
      <c r="L20" s="294">
        <v>46094</v>
      </c>
      <c r="M20" s="284">
        <f>Table1[[#This Row],[Dep Date]]-Table1[[#This Row],[Arr Date]]</f>
        <v>4</v>
      </c>
      <c r="N20" s="323" t="s">
        <v>52</v>
      </c>
      <c r="O20" s="321">
        <v>1</v>
      </c>
      <c r="P20" s="321">
        <v>2</v>
      </c>
      <c r="Q20" s="321"/>
      <c r="R20" s="321"/>
      <c r="S20" s="321" t="s">
        <v>53</v>
      </c>
      <c r="T20" s="327" t="s">
        <v>1639</v>
      </c>
      <c r="U20" s="297"/>
      <c r="V20" s="294"/>
      <c r="W20" s="297">
        <v>0</v>
      </c>
      <c r="X20" s="294"/>
      <c r="Y20" s="329">
        <f>(81+20)*2*4*0.75</f>
        <v>606</v>
      </c>
      <c r="Z20" s="329">
        <v>664</v>
      </c>
      <c r="AA20" s="332">
        <f>Table1[[#This Row],[Selling USD]]-Table1[[#This Row],[Cost USD]]</f>
        <v>58</v>
      </c>
      <c r="AB20" s="335"/>
      <c r="AC20" s="298"/>
      <c r="AD20" s="299">
        <f>Table1[[#This Row],[Selling EUR]]-Table1[[#This Row],[Cost EUR]]</f>
        <v>0</v>
      </c>
      <c r="AE20" s="321" t="s">
        <v>54</v>
      </c>
      <c r="AF20" s="294">
        <v>46082</v>
      </c>
      <c r="AG20" s="294" t="s">
        <v>2304</v>
      </c>
      <c r="AH20" s="321"/>
      <c r="AI20" s="323"/>
      <c r="AJ20" s="338"/>
      <c r="AK20" s="323"/>
      <c r="AL20" s="338"/>
      <c r="AM20" s="338"/>
      <c r="AN20" s="324" t="s">
        <v>2305</v>
      </c>
      <c r="AO20" s="282"/>
      <c r="AP20" s="306"/>
      <c r="AQ20" s="282"/>
      <c r="AR20" s="282"/>
      <c r="AS20" s="282"/>
      <c r="AT20" s="281"/>
      <c r="AU20" s="281"/>
      <c r="AV20" s="281"/>
      <c r="AW20" s="281"/>
      <c r="AX20" s="281"/>
      <c r="AY20" s="281"/>
      <c r="AZ20" s="281"/>
    </row>
    <row r="21" spans="1:52" ht="15" customHeight="1" x14ac:dyDescent="0.3">
      <c r="A21" s="294">
        <v>45729</v>
      </c>
      <c r="B21" s="321" t="s">
        <v>47</v>
      </c>
      <c r="C21" s="321" t="s">
        <v>47</v>
      </c>
      <c r="D21" s="294" t="s">
        <v>48</v>
      </c>
      <c r="E21" s="321" t="s">
        <v>49</v>
      </c>
      <c r="F21" s="295">
        <v>16382448</v>
      </c>
      <c r="G21" s="296">
        <v>20242807</v>
      </c>
      <c r="H21" s="280" t="s">
        <v>50</v>
      </c>
      <c r="I21" s="323" t="s">
        <v>67</v>
      </c>
      <c r="J21" s="323" t="s">
        <v>56</v>
      </c>
      <c r="K21" s="294">
        <v>46012</v>
      </c>
      <c r="L21" s="294">
        <v>46019</v>
      </c>
      <c r="M21" s="284">
        <f>Table1[[#This Row],[Dep Date]]-Table1[[#This Row],[Arr Date]]</f>
        <v>7</v>
      </c>
      <c r="N21" s="323" t="s">
        <v>52</v>
      </c>
      <c r="O21" s="321">
        <v>1</v>
      </c>
      <c r="P21" s="321">
        <v>2</v>
      </c>
      <c r="Q21" s="321">
        <v>2</v>
      </c>
      <c r="R21" s="321"/>
      <c r="S21" s="321" t="s">
        <v>53</v>
      </c>
      <c r="T21" s="327" t="s">
        <v>1640</v>
      </c>
      <c r="U21" s="297" t="s">
        <v>2223</v>
      </c>
      <c r="V21" s="294"/>
      <c r="W21" s="297">
        <v>0</v>
      </c>
      <c r="X21" s="294"/>
      <c r="Y21" s="329"/>
      <c r="Z21" s="329"/>
      <c r="AA21" s="332">
        <f>Table1[[#This Row],[Selling USD]]-Table1[[#This Row],[Cost USD]]</f>
        <v>0</v>
      </c>
      <c r="AB21" s="335">
        <f>(85*2*6+112*2)*0.85</f>
        <v>1057.3999999999999</v>
      </c>
      <c r="AC21" s="298">
        <v>1085</v>
      </c>
      <c r="AD21" s="299">
        <f>Table1[[#This Row],[Selling EUR]]-Table1[[#This Row],[Cost EUR]]</f>
        <v>27.600000000000136</v>
      </c>
      <c r="AE21" s="321" t="s">
        <v>54</v>
      </c>
      <c r="AF21" s="294">
        <v>46012</v>
      </c>
      <c r="AG21" s="294"/>
      <c r="AH21" s="321"/>
      <c r="AI21" s="323"/>
      <c r="AJ21" s="338"/>
      <c r="AK21" s="323"/>
      <c r="AL21" s="338"/>
      <c r="AM21" s="338"/>
      <c r="AN21" s="323"/>
      <c r="AO21" s="282"/>
      <c r="AP21" s="306"/>
      <c r="AQ21" s="282"/>
      <c r="AR21" s="282"/>
      <c r="AS21" s="282"/>
      <c r="AT21" s="281"/>
      <c r="AU21" s="281"/>
      <c r="AV21" s="281"/>
      <c r="AW21" s="281"/>
      <c r="AX21" s="281"/>
      <c r="AY21" s="281"/>
      <c r="AZ21" s="281"/>
    </row>
    <row r="22" spans="1:52" ht="15" customHeight="1" x14ac:dyDescent="0.3">
      <c r="A22" s="294">
        <v>45738</v>
      </c>
      <c r="B22" s="321" t="s">
        <v>47</v>
      </c>
      <c r="C22" s="321" t="s">
        <v>47</v>
      </c>
      <c r="D22" s="294" t="s">
        <v>48</v>
      </c>
      <c r="E22" s="321" t="s">
        <v>49</v>
      </c>
      <c r="F22" s="295">
        <v>16415591</v>
      </c>
      <c r="G22" s="296"/>
      <c r="H22" s="280" t="s">
        <v>58</v>
      </c>
      <c r="I22" s="323" t="s">
        <v>62</v>
      </c>
      <c r="J22" s="323" t="s">
        <v>2441</v>
      </c>
      <c r="K22" s="294">
        <v>45955</v>
      </c>
      <c r="L22" s="294">
        <v>45965</v>
      </c>
      <c r="M22" s="284">
        <f>Table1[[#This Row],[Dep Date]]-Table1[[#This Row],[Arr Date]]</f>
        <v>10</v>
      </c>
      <c r="N22" s="323" t="s">
        <v>65</v>
      </c>
      <c r="O22" s="321">
        <v>1</v>
      </c>
      <c r="P22" s="321">
        <v>1</v>
      </c>
      <c r="Q22" s="321"/>
      <c r="R22" s="321"/>
      <c r="S22" s="321" t="s">
        <v>53</v>
      </c>
      <c r="T22" s="326" t="s">
        <v>1641</v>
      </c>
      <c r="U22" s="297"/>
      <c r="V22" s="294"/>
      <c r="W22" s="297">
        <v>0</v>
      </c>
      <c r="X22" s="294"/>
      <c r="Y22" s="329"/>
      <c r="Z22" s="329"/>
      <c r="AA22" s="332">
        <f>Table1[[#This Row],[Selling USD]]-Table1[[#This Row],[Cost USD]]</f>
        <v>0</v>
      </c>
      <c r="AB22" s="335">
        <f>(88*7+90*3)*0.9</f>
        <v>797.4</v>
      </c>
      <c r="AC22" s="298">
        <v>838.4</v>
      </c>
      <c r="AD22" s="299">
        <f>Table1[[#This Row],[Selling EUR]]-Table1[[#This Row],[Cost EUR]]</f>
        <v>41</v>
      </c>
      <c r="AE22" s="321" t="s">
        <v>54</v>
      </c>
      <c r="AF22" s="294">
        <v>45792</v>
      </c>
      <c r="AG22" s="294"/>
      <c r="AH22" s="321"/>
      <c r="AI22" s="323"/>
      <c r="AJ22" s="338"/>
      <c r="AK22" s="323"/>
      <c r="AL22" s="338"/>
      <c r="AM22" s="338"/>
      <c r="AN22" s="323" t="s">
        <v>2306</v>
      </c>
      <c r="AO22" s="282"/>
      <c r="AP22" s="306"/>
      <c r="AQ22" s="282"/>
      <c r="AR22" s="282"/>
      <c r="AS22" s="282"/>
      <c r="AT22" s="281"/>
      <c r="AU22" s="281"/>
      <c r="AV22" s="281"/>
      <c r="AW22" s="281"/>
      <c r="AX22" s="281"/>
      <c r="AY22" s="281"/>
      <c r="AZ22" s="281"/>
    </row>
    <row r="23" spans="1:52" ht="15" customHeight="1" x14ac:dyDescent="0.3">
      <c r="A23" s="294">
        <v>45741</v>
      </c>
      <c r="B23" s="321" t="s">
        <v>47</v>
      </c>
      <c r="C23" s="321" t="s">
        <v>47</v>
      </c>
      <c r="D23" s="294" t="s">
        <v>48</v>
      </c>
      <c r="E23" s="321" t="s">
        <v>49</v>
      </c>
      <c r="F23" s="295">
        <v>16425313</v>
      </c>
      <c r="G23" s="296">
        <v>20242833</v>
      </c>
      <c r="H23" s="280" t="s">
        <v>50</v>
      </c>
      <c r="I23" s="323" t="s">
        <v>68</v>
      </c>
      <c r="J23" s="323" t="s">
        <v>69</v>
      </c>
      <c r="K23" s="294">
        <v>46017</v>
      </c>
      <c r="L23" s="294">
        <v>46026</v>
      </c>
      <c r="M23" s="284">
        <f>Table1[[#This Row],[Dep Date]]-Table1[[#This Row],[Arr Date]]</f>
        <v>9</v>
      </c>
      <c r="N23" s="323" t="s">
        <v>70</v>
      </c>
      <c r="O23" s="321">
        <v>1</v>
      </c>
      <c r="P23" s="321">
        <v>3</v>
      </c>
      <c r="Q23" s="321">
        <v>1</v>
      </c>
      <c r="R23" s="321"/>
      <c r="S23" s="321" t="s">
        <v>53</v>
      </c>
      <c r="T23" s="326" t="s">
        <v>1642</v>
      </c>
      <c r="U23" s="297" t="s">
        <v>2224</v>
      </c>
      <c r="V23" s="294"/>
      <c r="W23" s="297">
        <v>0</v>
      </c>
      <c r="X23" s="294"/>
      <c r="Y23" s="329"/>
      <c r="Z23" s="329"/>
      <c r="AA23" s="332">
        <f>Table1[[#This Row],[Selling USD]]-Table1[[#This Row],[Cost USD]]</f>
        <v>0</v>
      </c>
      <c r="AB23" s="335">
        <f>(53*3*2+68*3*7)*0.9+110*3+55</f>
        <v>1956.4</v>
      </c>
      <c r="AC23" s="298">
        <v>2077</v>
      </c>
      <c r="AD23" s="299">
        <f>Table1[[#This Row],[Selling EUR]]-Table1[[#This Row],[Cost EUR]]</f>
        <v>120.59999999999991</v>
      </c>
      <c r="AE23" s="321" t="s">
        <v>54</v>
      </c>
      <c r="AF23" s="294">
        <v>46012</v>
      </c>
      <c r="AG23" s="294"/>
      <c r="AH23" s="321"/>
      <c r="AI23" s="323"/>
      <c r="AJ23" s="338"/>
      <c r="AK23" s="323"/>
      <c r="AL23" s="338"/>
      <c r="AM23" s="338"/>
      <c r="AN23" s="323"/>
      <c r="AO23" s="282"/>
      <c r="AP23" s="306"/>
      <c r="AQ23" s="282"/>
      <c r="AR23" s="282"/>
      <c r="AS23" s="282"/>
      <c r="AT23" s="281"/>
      <c r="AU23" s="281"/>
      <c r="AV23" s="281"/>
      <c r="AW23" s="281"/>
      <c r="AX23" s="281"/>
      <c r="AY23" s="281"/>
      <c r="AZ23" s="281"/>
    </row>
    <row r="24" spans="1:52" ht="15" customHeight="1" x14ac:dyDescent="0.3">
      <c r="A24" s="294">
        <v>45748</v>
      </c>
      <c r="B24" s="321" t="s">
        <v>47</v>
      </c>
      <c r="C24" s="321" t="s">
        <v>47</v>
      </c>
      <c r="D24" s="294" t="s">
        <v>48</v>
      </c>
      <c r="E24" s="321" t="s">
        <v>49</v>
      </c>
      <c r="F24" s="295">
        <v>16448942</v>
      </c>
      <c r="G24" s="296"/>
      <c r="H24" s="280" t="s">
        <v>58</v>
      </c>
      <c r="I24" s="323" t="s">
        <v>62</v>
      </c>
      <c r="J24" s="323" t="s">
        <v>63</v>
      </c>
      <c r="K24" s="294">
        <v>45974</v>
      </c>
      <c r="L24" s="294">
        <v>45988</v>
      </c>
      <c r="M24" s="284">
        <f>Table1[[#This Row],[Dep Date]]-Table1[[#This Row],[Arr Date]]</f>
        <v>14</v>
      </c>
      <c r="N24" s="323" t="s">
        <v>65</v>
      </c>
      <c r="O24" s="321">
        <v>1</v>
      </c>
      <c r="P24" s="321">
        <v>1</v>
      </c>
      <c r="Q24" s="321"/>
      <c r="R24" s="321"/>
      <c r="S24" s="321" t="s">
        <v>53</v>
      </c>
      <c r="T24" s="326" t="s">
        <v>1643</v>
      </c>
      <c r="U24" s="297"/>
      <c r="V24" s="294"/>
      <c r="W24" s="297">
        <v>0</v>
      </c>
      <c r="X24" s="294"/>
      <c r="Y24" s="329"/>
      <c r="Z24" s="329"/>
      <c r="AA24" s="332">
        <f>Table1[[#This Row],[Selling USD]]-Table1[[#This Row],[Cost USD]]</f>
        <v>0</v>
      </c>
      <c r="AB24" s="335">
        <f>90*14*0.9</f>
        <v>1134</v>
      </c>
      <c r="AC24" s="298">
        <v>1162</v>
      </c>
      <c r="AD24" s="299">
        <f>Table1[[#This Row],[Selling EUR]]-Table1[[#This Row],[Cost EUR]]</f>
        <v>28</v>
      </c>
      <c r="AE24" s="321" t="s">
        <v>54</v>
      </c>
      <c r="AF24" s="294">
        <v>45963</v>
      </c>
      <c r="AG24" s="294"/>
      <c r="AH24" s="321"/>
      <c r="AI24" s="323"/>
      <c r="AJ24" s="338"/>
      <c r="AK24" s="323"/>
      <c r="AL24" s="338"/>
      <c r="AM24" s="338"/>
      <c r="AN24" s="323"/>
      <c r="AO24" s="282"/>
      <c r="AP24" s="306"/>
      <c r="AQ24" s="282"/>
      <c r="AR24" s="282"/>
      <c r="AS24" s="282"/>
      <c r="AT24" s="281"/>
      <c r="AU24" s="281"/>
      <c r="AV24" s="281"/>
      <c r="AW24" s="281"/>
      <c r="AX24" s="281"/>
      <c r="AY24" s="281"/>
      <c r="AZ24" s="281"/>
    </row>
    <row r="25" spans="1:52" ht="15" customHeight="1" x14ac:dyDescent="0.3">
      <c r="A25" s="294">
        <v>45753</v>
      </c>
      <c r="B25" s="321" t="s">
        <v>47</v>
      </c>
      <c r="C25" s="321" t="s">
        <v>47</v>
      </c>
      <c r="D25" s="294" t="s">
        <v>48</v>
      </c>
      <c r="E25" s="321" t="s">
        <v>49</v>
      </c>
      <c r="F25" s="295">
        <v>16465766</v>
      </c>
      <c r="G25" s="296"/>
      <c r="H25" s="280" t="s">
        <v>50</v>
      </c>
      <c r="I25" s="323" t="s">
        <v>71</v>
      </c>
      <c r="J25" s="323" t="s">
        <v>2442</v>
      </c>
      <c r="K25" s="294">
        <v>45941</v>
      </c>
      <c r="L25" s="294">
        <v>45949</v>
      </c>
      <c r="M25" s="284">
        <f>Table1[[#This Row],[Dep Date]]-Table1[[#This Row],[Arr Date]]</f>
        <v>8</v>
      </c>
      <c r="N25" s="323" t="s">
        <v>52</v>
      </c>
      <c r="O25" s="321">
        <v>1</v>
      </c>
      <c r="P25" s="321">
        <v>2</v>
      </c>
      <c r="Q25" s="321"/>
      <c r="R25" s="321"/>
      <c r="S25" s="321" t="s">
        <v>53</v>
      </c>
      <c r="T25" s="327" t="s">
        <v>1644</v>
      </c>
      <c r="U25" s="297"/>
      <c r="V25" s="294"/>
      <c r="W25" s="297">
        <v>0</v>
      </c>
      <c r="X25" s="294"/>
      <c r="Y25" s="329"/>
      <c r="Z25" s="329"/>
      <c r="AA25" s="332">
        <f>Table1[[#This Row],[Selling USD]]-Table1[[#This Row],[Cost USD]]</f>
        <v>0</v>
      </c>
      <c r="AB25" s="335">
        <f>85*2*8*0.85</f>
        <v>1156</v>
      </c>
      <c r="AC25" s="298">
        <v>1188</v>
      </c>
      <c r="AD25" s="299">
        <f>Table1[[#This Row],[Selling EUR]]-Table1[[#This Row],[Cost EUR]]</f>
        <v>32</v>
      </c>
      <c r="AE25" s="321" t="s">
        <v>54</v>
      </c>
      <c r="AF25" s="294">
        <v>45932</v>
      </c>
      <c r="AG25" s="294"/>
      <c r="AH25" s="321"/>
      <c r="AI25" s="323"/>
      <c r="AJ25" s="338"/>
      <c r="AK25" s="323"/>
      <c r="AL25" s="338"/>
      <c r="AM25" s="338"/>
      <c r="AN25" s="323"/>
      <c r="AO25" s="282"/>
      <c r="AP25" s="306"/>
      <c r="AQ25" s="282"/>
      <c r="AR25" s="282"/>
      <c r="AS25" s="282"/>
      <c r="AT25" s="281"/>
      <c r="AU25" s="281"/>
      <c r="AV25" s="281"/>
      <c r="AW25" s="281"/>
      <c r="AX25" s="281"/>
      <c r="AY25" s="281"/>
      <c r="AZ25" s="281"/>
    </row>
    <row r="26" spans="1:52" ht="15" customHeight="1" x14ac:dyDescent="0.3">
      <c r="A26" s="294">
        <v>45781</v>
      </c>
      <c r="B26" s="321" t="s">
        <v>47</v>
      </c>
      <c r="C26" s="321" t="s">
        <v>47</v>
      </c>
      <c r="D26" s="294" t="s">
        <v>48</v>
      </c>
      <c r="E26" s="321" t="s">
        <v>49</v>
      </c>
      <c r="F26" s="295">
        <v>16555027</v>
      </c>
      <c r="G26" s="296">
        <v>20242897</v>
      </c>
      <c r="H26" s="280" t="s">
        <v>58</v>
      </c>
      <c r="I26" s="323" t="s">
        <v>62</v>
      </c>
      <c r="J26" s="323" t="s">
        <v>72</v>
      </c>
      <c r="K26" s="294">
        <v>45976</v>
      </c>
      <c r="L26" s="294">
        <v>45982</v>
      </c>
      <c r="M26" s="284">
        <f>Table1[[#This Row],[Dep Date]]-Table1[[#This Row],[Arr Date]]</f>
        <v>6</v>
      </c>
      <c r="N26" s="323" t="s">
        <v>52</v>
      </c>
      <c r="O26" s="321">
        <v>1</v>
      </c>
      <c r="P26" s="321">
        <v>2</v>
      </c>
      <c r="Q26" s="321"/>
      <c r="R26" s="321"/>
      <c r="S26" s="321" t="s">
        <v>53</v>
      </c>
      <c r="T26" s="327" t="s">
        <v>1645</v>
      </c>
      <c r="U26" s="297"/>
      <c r="V26" s="294"/>
      <c r="W26" s="297">
        <v>0</v>
      </c>
      <c r="X26" s="294"/>
      <c r="Y26" s="329"/>
      <c r="Z26" s="329"/>
      <c r="AA26" s="332">
        <f>Table1[[#This Row],[Selling USD]]-Table1[[#This Row],[Cost USD]]</f>
        <v>0</v>
      </c>
      <c r="AB26" s="335">
        <f>70*2*6*0.9</f>
        <v>756</v>
      </c>
      <c r="AC26" s="298">
        <v>780</v>
      </c>
      <c r="AD26" s="299">
        <f>Table1[[#This Row],[Selling EUR]]-Table1[[#This Row],[Cost EUR]]</f>
        <v>24</v>
      </c>
      <c r="AE26" s="321" t="s">
        <v>54</v>
      </c>
      <c r="AF26" s="294">
        <v>45970</v>
      </c>
      <c r="AG26" s="294"/>
      <c r="AH26" s="321"/>
      <c r="AI26" s="323"/>
      <c r="AJ26" s="338"/>
      <c r="AK26" s="323"/>
      <c r="AL26" s="338"/>
      <c r="AM26" s="338"/>
      <c r="AN26" s="323"/>
      <c r="AO26" s="282"/>
      <c r="AP26" s="306"/>
      <c r="AQ26" s="282"/>
      <c r="AR26" s="282"/>
      <c r="AS26" s="282"/>
      <c r="AT26" s="281"/>
      <c r="AU26" s="281"/>
      <c r="AV26" s="281"/>
      <c r="AW26" s="281"/>
      <c r="AX26" s="281"/>
      <c r="AY26" s="281"/>
      <c r="AZ26" s="281"/>
    </row>
    <row r="27" spans="1:52" ht="15" customHeight="1" x14ac:dyDescent="0.3">
      <c r="A27" s="294">
        <v>45793</v>
      </c>
      <c r="B27" s="321" t="s">
        <v>73</v>
      </c>
      <c r="C27" s="321" t="s">
        <v>73</v>
      </c>
      <c r="D27" s="294" t="s">
        <v>48</v>
      </c>
      <c r="E27" s="321" t="s">
        <v>49</v>
      </c>
      <c r="F27" s="295">
        <v>16584336</v>
      </c>
      <c r="G27" s="296">
        <v>20242912</v>
      </c>
      <c r="H27" s="280" t="s">
        <v>58</v>
      </c>
      <c r="I27" s="323" t="s">
        <v>59</v>
      </c>
      <c r="J27" s="323" t="s">
        <v>2443</v>
      </c>
      <c r="K27" s="294">
        <v>46116</v>
      </c>
      <c r="L27" s="294">
        <v>46123</v>
      </c>
      <c r="M27" s="284">
        <f>Table1[[#This Row],[Dep Date]]-Table1[[#This Row],[Arr Date]]</f>
        <v>7</v>
      </c>
      <c r="N27" s="323" t="s">
        <v>52</v>
      </c>
      <c r="O27" s="321">
        <v>1</v>
      </c>
      <c r="P27" s="321">
        <v>2</v>
      </c>
      <c r="Q27" s="321"/>
      <c r="R27" s="321"/>
      <c r="S27" s="321" t="s">
        <v>53</v>
      </c>
      <c r="T27" s="327" t="s">
        <v>1646</v>
      </c>
      <c r="U27" s="297"/>
      <c r="V27" s="294"/>
      <c r="W27" s="297">
        <v>0</v>
      </c>
      <c r="X27" s="294"/>
      <c r="Y27" s="329"/>
      <c r="Z27" s="329"/>
      <c r="AA27" s="332">
        <f>Table1[[#This Row],[Selling USD]]-Table1[[#This Row],[Cost USD]]</f>
        <v>0</v>
      </c>
      <c r="AB27" s="335"/>
      <c r="AC27" s="298"/>
      <c r="AD27" s="299">
        <f>Table1[[#This Row],[Selling EUR]]-Table1[[#This Row],[Cost EUR]]</f>
        <v>0</v>
      </c>
      <c r="AE27" s="321"/>
      <c r="AF27" s="294"/>
      <c r="AG27" s="294"/>
      <c r="AH27" s="321"/>
      <c r="AI27" s="323"/>
      <c r="AJ27" s="338"/>
      <c r="AK27" s="323"/>
      <c r="AL27" s="338"/>
      <c r="AM27" s="338"/>
      <c r="AN27" s="324" t="s">
        <v>2307</v>
      </c>
      <c r="AO27" s="282"/>
      <c r="AP27" s="306"/>
      <c r="AQ27" s="282"/>
      <c r="AR27" s="282"/>
      <c r="AS27" s="282"/>
      <c r="AT27" s="281"/>
      <c r="AU27" s="281"/>
      <c r="AV27" s="281"/>
      <c r="AW27" s="281"/>
      <c r="AX27" s="281"/>
      <c r="AY27" s="281"/>
      <c r="AZ27" s="281"/>
    </row>
    <row r="28" spans="1:52" ht="15" customHeight="1" x14ac:dyDescent="0.3">
      <c r="A28" s="294">
        <v>45800</v>
      </c>
      <c r="B28" s="321" t="s">
        <v>47</v>
      </c>
      <c r="C28" s="321" t="s">
        <v>47</v>
      </c>
      <c r="D28" s="294" t="s">
        <v>48</v>
      </c>
      <c r="E28" s="321" t="s">
        <v>49</v>
      </c>
      <c r="F28" s="295">
        <v>16600150</v>
      </c>
      <c r="G28" s="296"/>
      <c r="H28" s="280" t="s">
        <v>58</v>
      </c>
      <c r="I28" s="323" t="s">
        <v>62</v>
      </c>
      <c r="J28" s="323" t="s">
        <v>72</v>
      </c>
      <c r="K28" s="294">
        <v>46059</v>
      </c>
      <c r="L28" s="294">
        <v>46060</v>
      </c>
      <c r="M28" s="284">
        <f>Table1[[#This Row],[Dep Date]]-Table1[[#This Row],[Arr Date]]</f>
        <v>1</v>
      </c>
      <c r="N28" s="323" t="s">
        <v>52</v>
      </c>
      <c r="O28" s="321">
        <v>1</v>
      </c>
      <c r="P28" s="321">
        <v>2</v>
      </c>
      <c r="Q28" s="321"/>
      <c r="R28" s="321"/>
      <c r="S28" s="321" t="s">
        <v>53</v>
      </c>
      <c r="T28" s="326" t="s">
        <v>1647</v>
      </c>
      <c r="U28" s="297"/>
      <c r="V28" s="294"/>
      <c r="W28" s="297">
        <v>0</v>
      </c>
      <c r="X28" s="294"/>
      <c r="Y28" s="329"/>
      <c r="Z28" s="329"/>
      <c r="AA28" s="332">
        <f>Table1[[#This Row],[Selling USD]]-Table1[[#This Row],[Cost USD]]</f>
        <v>0</v>
      </c>
      <c r="AB28" s="335">
        <f>52*2*0.9</f>
        <v>93.600000000000009</v>
      </c>
      <c r="AC28" s="298">
        <v>97.6</v>
      </c>
      <c r="AD28" s="299">
        <f>Table1[[#This Row],[Selling EUR]]-Table1[[#This Row],[Cost EUR]]</f>
        <v>3.9999999999999858</v>
      </c>
      <c r="AE28" s="321" t="s">
        <v>54</v>
      </c>
      <c r="AF28" s="294">
        <v>46051</v>
      </c>
      <c r="AG28" s="294" t="s">
        <v>2289</v>
      </c>
      <c r="AH28" s="321"/>
      <c r="AI28" s="323"/>
      <c r="AJ28" s="338"/>
      <c r="AK28" s="323"/>
      <c r="AL28" s="338"/>
      <c r="AM28" s="338"/>
      <c r="AN28" s="323" t="s">
        <v>2308</v>
      </c>
      <c r="AO28" s="282"/>
      <c r="AP28" s="306"/>
      <c r="AQ28" s="282"/>
      <c r="AR28" s="282"/>
      <c r="AS28" s="282"/>
      <c r="AT28" s="281"/>
      <c r="AU28" s="281"/>
      <c r="AV28" s="281"/>
      <c r="AW28" s="281"/>
      <c r="AX28" s="281"/>
      <c r="AY28" s="281"/>
      <c r="AZ28" s="281"/>
    </row>
    <row r="29" spans="1:52" ht="15" customHeight="1" x14ac:dyDescent="0.3">
      <c r="A29" s="294">
        <v>45804</v>
      </c>
      <c r="B29" s="321" t="s">
        <v>47</v>
      </c>
      <c r="C29" s="321" t="s">
        <v>47</v>
      </c>
      <c r="D29" s="294" t="s">
        <v>48</v>
      </c>
      <c r="E29" s="321" t="s">
        <v>49</v>
      </c>
      <c r="F29" s="295">
        <v>16609807</v>
      </c>
      <c r="G29" s="296"/>
      <c r="H29" s="280" t="s">
        <v>50</v>
      </c>
      <c r="I29" s="323" t="s">
        <v>67</v>
      </c>
      <c r="J29" s="323" t="s">
        <v>63</v>
      </c>
      <c r="K29" s="294">
        <v>45920</v>
      </c>
      <c r="L29" s="294">
        <v>45929</v>
      </c>
      <c r="M29" s="284">
        <f>Table1[[#This Row],[Dep Date]]-Table1[[#This Row],[Arr Date]]</f>
        <v>9</v>
      </c>
      <c r="N29" s="323" t="s">
        <v>52</v>
      </c>
      <c r="O29" s="321">
        <v>1</v>
      </c>
      <c r="P29" s="321">
        <v>2</v>
      </c>
      <c r="Q29" s="321"/>
      <c r="R29" s="321"/>
      <c r="S29" s="321" t="s">
        <v>53</v>
      </c>
      <c r="T29" s="326" t="s">
        <v>1648</v>
      </c>
      <c r="U29" s="297"/>
      <c r="V29" s="294"/>
      <c r="W29" s="297">
        <v>0</v>
      </c>
      <c r="X29" s="294"/>
      <c r="Y29" s="329"/>
      <c r="Z29" s="329"/>
      <c r="AA29" s="332">
        <f>Table1[[#This Row],[Selling USD]]-Table1[[#This Row],[Cost USD]]</f>
        <v>0</v>
      </c>
      <c r="AB29" s="335">
        <f>67*2*9</f>
        <v>1206</v>
      </c>
      <c r="AC29" s="298">
        <v>1224</v>
      </c>
      <c r="AD29" s="299">
        <f>Table1[[#This Row],[Selling EUR]]-Table1[[#This Row],[Cost EUR]]</f>
        <v>18</v>
      </c>
      <c r="AE29" s="321" t="s">
        <v>54</v>
      </c>
      <c r="AF29" s="294">
        <v>45914</v>
      </c>
      <c r="AG29" s="294"/>
      <c r="AH29" s="321"/>
      <c r="AI29" s="323"/>
      <c r="AJ29" s="338"/>
      <c r="AK29" s="323"/>
      <c r="AL29" s="338"/>
      <c r="AM29" s="338"/>
      <c r="AN29" s="323"/>
      <c r="AO29" s="282"/>
      <c r="AP29" s="306"/>
      <c r="AQ29" s="282"/>
      <c r="AR29" s="282"/>
      <c r="AS29" s="282"/>
      <c r="AT29" s="281"/>
      <c r="AU29" s="281"/>
      <c r="AV29" s="281"/>
      <c r="AW29" s="281"/>
      <c r="AX29" s="281"/>
      <c r="AY29" s="281"/>
      <c r="AZ29" s="281"/>
    </row>
    <row r="30" spans="1:52" ht="15" customHeight="1" x14ac:dyDescent="0.3">
      <c r="A30" s="294">
        <v>45807</v>
      </c>
      <c r="B30" s="321" t="s">
        <v>47</v>
      </c>
      <c r="C30" s="321" t="s">
        <v>47</v>
      </c>
      <c r="D30" s="294" t="s">
        <v>48</v>
      </c>
      <c r="E30" s="321" t="s">
        <v>49</v>
      </c>
      <c r="F30" s="295">
        <v>16616784</v>
      </c>
      <c r="G30" s="296"/>
      <c r="H30" s="280" t="s">
        <v>50</v>
      </c>
      <c r="I30" s="323" t="s">
        <v>67</v>
      </c>
      <c r="J30" s="323" t="s">
        <v>75</v>
      </c>
      <c r="K30" s="294">
        <v>45967</v>
      </c>
      <c r="L30" s="294">
        <v>45977</v>
      </c>
      <c r="M30" s="284">
        <f>Table1[[#This Row],[Dep Date]]-Table1[[#This Row],[Arr Date]]</f>
        <v>10</v>
      </c>
      <c r="N30" s="323" t="s">
        <v>70</v>
      </c>
      <c r="O30" s="321">
        <v>1</v>
      </c>
      <c r="P30" s="321">
        <v>3</v>
      </c>
      <c r="Q30" s="321"/>
      <c r="R30" s="321"/>
      <c r="S30" s="321" t="s">
        <v>53</v>
      </c>
      <c r="T30" s="326" t="s">
        <v>1649</v>
      </c>
      <c r="U30" s="297"/>
      <c r="V30" s="294"/>
      <c r="W30" s="297">
        <v>0</v>
      </c>
      <c r="X30" s="294"/>
      <c r="Y30" s="329"/>
      <c r="Z30" s="329"/>
      <c r="AA30" s="332">
        <f>Table1[[#This Row],[Selling USD]]-Table1[[#This Row],[Cost USD]]</f>
        <v>0</v>
      </c>
      <c r="AB30" s="335">
        <f>82*3*10*0.85</f>
        <v>2091</v>
      </c>
      <c r="AC30" s="298">
        <v>2202</v>
      </c>
      <c r="AD30" s="299">
        <f>Table1[[#This Row],[Selling EUR]]-Table1[[#This Row],[Cost EUR]]</f>
        <v>111</v>
      </c>
      <c r="AE30" s="321" t="s">
        <v>54</v>
      </c>
      <c r="AF30" s="294">
        <v>45960</v>
      </c>
      <c r="AG30" s="294"/>
      <c r="AH30" s="321"/>
      <c r="AI30" s="323"/>
      <c r="AJ30" s="338"/>
      <c r="AK30" s="323"/>
      <c r="AL30" s="338"/>
      <c r="AM30" s="338"/>
      <c r="AN30" s="323"/>
      <c r="AO30" s="282"/>
      <c r="AP30" s="306"/>
      <c r="AQ30" s="282"/>
      <c r="AR30" s="282"/>
      <c r="AS30" s="282"/>
      <c r="AT30" s="281"/>
      <c r="AU30" s="281"/>
      <c r="AV30" s="281"/>
      <c r="AW30" s="281"/>
      <c r="AX30" s="281"/>
      <c r="AY30" s="281"/>
      <c r="AZ30" s="281"/>
    </row>
    <row r="31" spans="1:52" ht="15" customHeight="1" x14ac:dyDescent="0.3">
      <c r="A31" s="294">
        <v>45813</v>
      </c>
      <c r="B31" s="321" t="s">
        <v>47</v>
      </c>
      <c r="C31" s="321" t="s">
        <v>47</v>
      </c>
      <c r="D31" s="294" t="s">
        <v>48</v>
      </c>
      <c r="E31" s="321" t="s">
        <v>49</v>
      </c>
      <c r="F31" s="295">
        <v>16631256</v>
      </c>
      <c r="G31" s="296">
        <v>20242936</v>
      </c>
      <c r="H31" s="280" t="s">
        <v>50</v>
      </c>
      <c r="I31" s="323" t="s">
        <v>76</v>
      </c>
      <c r="J31" s="323" t="s">
        <v>2444</v>
      </c>
      <c r="K31" s="294">
        <v>45981</v>
      </c>
      <c r="L31" s="294">
        <v>45988</v>
      </c>
      <c r="M31" s="284">
        <f>Table1[[#This Row],[Dep Date]]-Table1[[#This Row],[Arr Date]]</f>
        <v>7</v>
      </c>
      <c r="N31" s="323" t="s">
        <v>52</v>
      </c>
      <c r="O31" s="321">
        <v>1</v>
      </c>
      <c r="P31" s="321">
        <v>2</v>
      </c>
      <c r="Q31" s="321"/>
      <c r="R31" s="321"/>
      <c r="S31" s="321" t="s">
        <v>53</v>
      </c>
      <c r="T31" s="327" t="s">
        <v>1650</v>
      </c>
      <c r="U31" s="297"/>
      <c r="V31" s="294"/>
      <c r="W31" s="297">
        <v>0</v>
      </c>
      <c r="X31" s="294"/>
      <c r="Y31" s="329"/>
      <c r="Z31" s="329"/>
      <c r="AA31" s="332">
        <f>Table1[[#This Row],[Selling USD]]-Table1[[#This Row],[Cost USD]]</f>
        <v>0</v>
      </c>
      <c r="AB31" s="335">
        <f>62*2*7*0.65</f>
        <v>564.20000000000005</v>
      </c>
      <c r="AC31" s="298">
        <v>592.20000000000005</v>
      </c>
      <c r="AD31" s="299">
        <f>Table1[[#This Row],[Selling EUR]]-Table1[[#This Row],[Cost EUR]]</f>
        <v>28</v>
      </c>
      <c r="AE31" s="321" t="s">
        <v>54</v>
      </c>
      <c r="AF31" s="294">
        <v>45971</v>
      </c>
      <c r="AG31" s="294" t="s">
        <v>2296</v>
      </c>
      <c r="AH31" s="321"/>
      <c r="AI31" s="323"/>
      <c r="AJ31" s="338"/>
      <c r="AK31" s="323"/>
      <c r="AL31" s="338"/>
      <c r="AM31" s="338"/>
      <c r="AN31" s="323" t="s">
        <v>2309</v>
      </c>
      <c r="AO31" s="282"/>
      <c r="AP31" s="306"/>
      <c r="AQ31" s="282"/>
      <c r="AR31" s="282"/>
      <c r="AS31" s="282"/>
      <c r="AT31" s="281"/>
      <c r="AU31" s="281"/>
      <c r="AV31" s="281"/>
      <c r="AW31" s="281"/>
      <c r="AX31" s="281"/>
      <c r="AY31" s="281"/>
      <c r="AZ31" s="281"/>
    </row>
    <row r="32" spans="1:52" ht="15" customHeight="1" x14ac:dyDescent="0.3">
      <c r="A32" s="294">
        <v>45826</v>
      </c>
      <c r="B32" s="321" t="s">
        <v>47</v>
      </c>
      <c r="C32" s="321" t="s">
        <v>47</v>
      </c>
      <c r="D32" s="294" t="s">
        <v>48</v>
      </c>
      <c r="E32" s="321" t="s">
        <v>49</v>
      </c>
      <c r="F32" s="295">
        <v>16885485</v>
      </c>
      <c r="G32" s="296"/>
      <c r="H32" s="280" t="s">
        <v>50</v>
      </c>
      <c r="I32" s="323" t="s">
        <v>77</v>
      </c>
      <c r="J32" s="323" t="s">
        <v>2445</v>
      </c>
      <c r="K32" s="294">
        <v>45928</v>
      </c>
      <c r="L32" s="294">
        <v>45933</v>
      </c>
      <c r="M32" s="284">
        <f>Table1[[#This Row],[Dep Date]]-Table1[[#This Row],[Arr Date]]</f>
        <v>5</v>
      </c>
      <c r="N32" s="323" t="s">
        <v>52</v>
      </c>
      <c r="O32" s="321">
        <v>1</v>
      </c>
      <c r="P32" s="321">
        <v>2</v>
      </c>
      <c r="Q32" s="321"/>
      <c r="R32" s="321"/>
      <c r="S32" s="321" t="s">
        <v>53</v>
      </c>
      <c r="T32" s="326" t="s">
        <v>1651</v>
      </c>
      <c r="U32" s="297"/>
      <c r="V32" s="294"/>
      <c r="W32" s="297">
        <v>0</v>
      </c>
      <c r="X32" s="294"/>
      <c r="Y32" s="329"/>
      <c r="Z32" s="329"/>
      <c r="AA32" s="332">
        <f>Table1[[#This Row],[Selling USD]]-Table1[[#This Row],[Cost USD]]</f>
        <v>0</v>
      </c>
      <c r="AB32" s="335">
        <f>43*2*5</f>
        <v>430</v>
      </c>
      <c r="AC32" s="298">
        <v>450</v>
      </c>
      <c r="AD32" s="299">
        <f>Table1[[#This Row],[Selling EUR]]-Table1[[#This Row],[Cost EUR]]</f>
        <v>20</v>
      </c>
      <c r="AE32" s="321" t="s">
        <v>54</v>
      </c>
      <c r="AF32" s="294">
        <v>45921</v>
      </c>
      <c r="AG32" s="294"/>
      <c r="AH32" s="321"/>
      <c r="AI32" s="323"/>
      <c r="AJ32" s="338"/>
      <c r="AK32" s="323"/>
      <c r="AL32" s="338"/>
      <c r="AM32" s="338"/>
      <c r="AN32" s="324" t="s">
        <v>2310</v>
      </c>
      <c r="AO32" s="282"/>
      <c r="AP32" s="306"/>
      <c r="AQ32" s="282"/>
      <c r="AR32" s="282"/>
      <c r="AS32" s="282"/>
      <c r="AT32" s="281"/>
      <c r="AU32" s="281"/>
      <c r="AV32" s="281"/>
      <c r="AW32" s="281"/>
      <c r="AX32" s="281"/>
      <c r="AY32" s="281"/>
      <c r="AZ32" s="281"/>
    </row>
    <row r="33" spans="1:52" ht="15" customHeight="1" x14ac:dyDescent="0.3">
      <c r="A33" s="294">
        <v>45829</v>
      </c>
      <c r="B33" s="321" t="s">
        <v>73</v>
      </c>
      <c r="C33" s="321" t="s">
        <v>73</v>
      </c>
      <c r="D33" s="294" t="s">
        <v>48</v>
      </c>
      <c r="E33" s="321" t="s">
        <v>61</v>
      </c>
      <c r="F33" s="295">
        <v>16680509</v>
      </c>
      <c r="G33" s="296">
        <v>20242956</v>
      </c>
      <c r="H33" s="280" t="s">
        <v>50</v>
      </c>
      <c r="I33" s="323" t="s">
        <v>78</v>
      </c>
      <c r="J33" s="323" t="s">
        <v>2434</v>
      </c>
      <c r="K33" s="294">
        <v>46077</v>
      </c>
      <c r="L33" s="294">
        <v>46088</v>
      </c>
      <c r="M33" s="284">
        <f>Table1[[#This Row],[Dep Date]]-Table1[[#This Row],[Arr Date]]</f>
        <v>11</v>
      </c>
      <c r="N33" s="323" t="s">
        <v>52</v>
      </c>
      <c r="O33" s="321">
        <v>1</v>
      </c>
      <c r="P33" s="321">
        <v>2</v>
      </c>
      <c r="Q33" s="321">
        <v>2</v>
      </c>
      <c r="R33" s="321"/>
      <c r="S33" s="321" t="s">
        <v>53</v>
      </c>
      <c r="T33" s="327" t="s">
        <v>1652</v>
      </c>
      <c r="U33" s="297" t="s">
        <v>2225</v>
      </c>
      <c r="V33" s="294"/>
      <c r="W33" s="297">
        <v>0</v>
      </c>
      <c r="X33" s="294"/>
      <c r="Y33" s="329"/>
      <c r="Z33" s="329"/>
      <c r="AA33" s="332">
        <f>Table1[[#This Row],[Selling USD]]-Table1[[#This Row],[Cost USD]]</f>
        <v>0</v>
      </c>
      <c r="AB33" s="335"/>
      <c r="AC33" s="298"/>
      <c r="AD33" s="299">
        <f>Table1[[#This Row],[Selling EUR]]-Table1[[#This Row],[Cost EUR]]</f>
        <v>0</v>
      </c>
      <c r="AE33" s="321"/>
      <c r="AF33" s="294"/>
      <c r="AG33" s="294"/>
      <c r="AH33" s="321"/>
      <c r="AI33" s="323"/>
      <c r="AJ33" s="338"/>
      <c r="AK33" s="323"/>
      <c r="AL33" s="338"/>
      <c r="AM33" s="338"/>
      <c r="AN33" s="324" t="s">
        <v>2311</v>
      </c>
      <c r="AO33" s="282"/>
      <c r="AP33" s="306"/>
      <c r="AQ33" s="282"/>
      <c r="AR33" s="282"/>
      <c r="AS33" s="282"/>
      <c r="AT33" s="281"/>
      <c r="AU33" s="281"/>
      <c r="AV33" s="281"/>
      <c r="AW33" s="281"/>
      <c r="AX33" s="281"/>
      <c r="AY33" s="281"/>
      <c r="AZ33" s="281"/>
    </row>
    <row r="34" spans="1:52" ht="15" customHeight="1" x14ac:dyDescent="0.3">
      <c r="A34" s="294">
        <v>45830</v>
      </c>
      <c r="B34" s="321" t="s">
        <v>47</v>
      </c>
      <c r="C34" s="321" t="s">
        <v>47</v>
      </c>
      <c r="D34" s="294" t="s">
        <v>79</v>
      </c>
      <c r="E34" s="321" t="s">
        <v>49</v>
      </c>
      <c r="F34" s="295">
        <v>12424298</v>
      </c>
      <c r="G34" s="296" t="s">
        <v>1606</v>
      </c>
      <c r="H34" s="280" t="s">
        <v>50</v>
      </c>
      <c r="I34" s="323" t="s">
        <v>80</v>
      </c>
      <c r="J34" s="323" t="s">
        <v>2446</v>
      </c>
      <c r="K34" s="294">
        <v>46021</v>
      </c>
      <c r="L34" s="294">
        <v>46023</v>
      </c>
      <c r="M34" s="284">
        <f>Table1[[#This Row],[Dep Date]]-Table1[[#This Row],[Arr Date]]</f>
        <v>2</v>
      </c>
      <c r="N34" s="323" t="s">
        <v>65</v>
      </c>
      <c r="O34" s="321">
        <v>1</v>
      </c>
      <c r="P34" s="321">
        <v>1</v>
      </c>
      <c r="Q34" s="321"/>
      <c r="R34" s="321"/>
      <c r="S34" s="321" t="s">
        <v>53</v>
      </c>
      <c r="T34" s="326" t="s">
        <v>1653</v>
      </c>
      <c r="U34" s="297"/>
      <c r="V34" s="294"/>
      <c r="W34" s="297">
        <v>0</v>
      </c>
      <c r="X34" s="294"/>
      <c r="Y34" s="329"/>
      <c r="Z34" s="329"/>
      <c r="AA34" s="332">
        <f>Table1[[#This Row],[Selling USD]]-Table1[[#This Row],[Cost USD]]</f>
        <v>0</v>
      </c>
      <c r="AB34" s="335">
        <f>129*2*0.6+125</f>
        <v>279.79999999999995</v>
      </c>
      <c r="AC34" s="298">
        <v>169.38</v>
      </c>
      <c r="AD34" s="299">
        <f>Table1[[#This Row],[Selling EUR]]-Table1[[#This Row],[Cost EUR]]</f>
        <v>-110.41999999999996</v>
      </c>
      <c r="AE34" s="321" t="s">
        <v>54</v>
      </c>
      <c r="AF34" s="294">
        <v>46016</v>
      </c>
      <c r="AG34" s="294"/>
      <c r="AH34" s="321"/>
      <c r="AI34" s="323"/>
      <c r="AJ34" s="338"/>
      <c r="AK34" s="323"/>
      <c r="AL34" s="338"/>
      <c r="AM34" s="338"/>
      <c r="AN34" s="324" t="s">
        <v>2312</v>
      </c>
      <c r="AO34" s="282"/>
      <c r="AP34" s="306"/>
      <c r="AQ34" s="282"/>
      <c r="AR34" s="282"/>
      <c r="AS34" s="282"/>
      <c r="AT34" s="281"/>
      <c r="AU34" s="281"/>
      <c r="AV34" s="281"/>
      <c r="AW34" s="281"/>
      <c r="AX34" s="281"/>
      <c r="AY34" s="281"/>
      <c r="AZ34" s="281"/>
    </row>
    <row r="35" spans="1:52" ht="15" customHeight="1" x14ac:dyDescent="0.3">
      <c r="A35" s="294">
        <v>45832</v>
      </c>
      <c r="B35" s="321" t="s">
        <v>47</v>
      </c>
      <c r="C35" s="321" t="s">
        <v>47</v>
      </c>
      <c r="D35" s="294" t="s">
        <v>48</v>
      </c>
      <c r="E35" s="321" t="s">
        <v>49</v>
      </c>
      <c r="F35" s="295">
        <v>16685433</v>
      </c>
      <c r="G35" s="296">
        <v>20242964</v>
      </c>
      <c r="H35" s="280" t="s">
        <v>50</v>
      </c>
      <c r="I35" s="323" t="s">
        <v>67</v>
      </c>
      <c r="J35" s="323" t="s">
        <v>2447</v>
      </c>
      <c r="K35" s="294">
        <v>46016</v>
      </c>
      <c r="L35" s="294">
        <v>46023</v>
      </c>
      <c r="M35" s="284">
        <f>Table1[[#This Row],[Dep Date]]-Table1[[#This Row],[Arr Date]]</f>
        <v>7</v>
      </c>
      <c r="N35" s="323" t="s">
        <v>52</v>
      </c>
      <c r="O35" s="321">
        <v>1</v>
      </c>
      <c r="P35" s="321">
        <v>2</v>
      </c>
      <c r="Q35" s="321"/>
      <c r="R35" s="321"/>
      <c r="S35" s="321" t="s">
        <v>53</v>
      </c>
      <c r="T35" s="327" t="s">
        <v>1654</v>
      </c>
      <c r="U35" s="297"/>
      <c r="V35" s="294"/>
      <c r="W35" s="297">
        <v>0</v>
      </c>
      <c r="X35" s="294"/>
      <c r="Y35" s="329"/>
      <c r="Z35" s="329"/>
      <c r="AA35" s="332">
        <f>Table1[[#This Row],[Selling USD]]-Table1[[#This Row],[Cost USD]]</f>
        <v>0</v>
      </c>
      <c r="AB35" s="335">
        <f>(60*2*2+87*2*5)*0.85</f>
        <v>943.5</v>
      </c>
      <c r="AC35" s="298">
        <v>971.5</v>
      </c>
      <c r="AD35" s="299">
        <f>Table1[[#This Row],[Selling EUR]]-Table1[[#This Row],[Cost EUR]]</f>
        <v>28</v>
      </c>
      <c r="AE35" s="321" t="s">
        <v>54</v>
      </c>
      <c r="AF35" s="294">
        <v>46012</v>
      </c>
      <c r="AG35" s="294" t="s">
        <v>2291</v>
      </c>
      <c r="AH35" s="321"/>
      <c r="AI35" s="323"/>
      <c r="AJ35" s="338"/>
      <c r="AK35" s="323"/>
      <c r="AL35" s="338"/>
      <c r="AM35" s="338"/>
      <c r="AN35" s="323" t="s">
        <v>2313</v>
      </c>
      <c r="AO35" s="282"/>
      <c r="AP35" s="306"/>
      <c r="AQ35" s="282"/>
      <c r="AR35" s="282"/>
      <c r="AS35" s="282"/>
      <c r="AT35" s="281"/>
      <c r="AU35" s="281"/>
      <c r="AV35" s="281"/>
      <c r="AW35" s="281"/>
      <c r="AX35" s="281"/>
      <c r="AY35" s="281"/>
      <c r="AZ35" s="281"/>
    </row>
    <row r="36" spans="1:52" ht="15" customHeight="1" x14ac:dyDescent="0.3">
      <c r="A36" s="294">
        <v>45833</v>
      </c>
      <c r="B36" s="321" t="s">
        <v>47</v>
      </c>
      <c r="C36" s="321" t="s">
        <v>47</v>
      </c>
      <c r="D36" s="294" t="s">
        <v>48</v>
      </c>
      <c r="E36" s="321" t="s">
        <v>49</v>
      </c>
      <c r="F36" s="295">
        <v>16689096</v>
      </c>
      <c r="G36" s="296">
        <v>20242967</v>
      </c>
      <c r="H36" s="280" t="s">
        <v>50</v>
      </c>
      <c r="I36" s="323" t="s">
        <v>81</v>
      </c>
      <c r="J36" s="323" t="s">
        <v>2448</v>
      </c>
      <c r="K36" s="294">
        <v>45987</v>
      </c>
      <c r="L36" s="294">
        <v>45994</v>
      </c>
      <c r="M36" s="284">
        <f>Table1[[#This Row],[Dep Date]]-Table1[[#This Row],[Arr Date]]</f>
        <v>7</v>
      </c>
      <c r="N36" s="323" t="s">
        <v>52</v>
      </c>
      <c r="O36" s="321">
        <v>1</v>
      </c>
      <c r="P36" s="321">
        <v>2</v>
      </c>
      <c r="Q36" s="321"/>
      <c r="R36" s="321"/>
      <c r="S36" s="321" t="s">
        <v>53</v>
      </c>
      <c r="T36" s="326" t="s">
        <v>1655</v>
      </c>
      <c r="U36" s="297"/>
      <c r="V36" s="294"/>
      <c r="W36" s="297">
        <v>0</v>
      </c>
      <c r="X36" s="294"/>
      <c r="Y36" s="329"/>
      <c r="Z36" s="329"/>
      <c r="AA36" s="332">
        <f>Table1[[#This Row],[Selling USD]]-Table1[[#This Row],[Cost USD]]</f>
        <v>0</v>
      </c>
      <c r="AB36" s="335">
        <f>83*2*7*0.8+60</f>
        <v>989.6</v>
      </c>
      <c r="AC36" s="298">
        <v>989.6</v>
      </c>
      <c r="AD36" s="299">
        <f>Table1[[#This Row],[Selling EUR]]-Table1[[#This Row],[Cost EUR]]</f>
        <v>0</v>
      </c>
      <c r="AE36" s="321" t="s">
        <v>54</v>
      </c>
      <c r="AF36" s="294">
        <v>45971</v>
      </c>
      <c r="AG36" s="294" t="s">
        <v>2289</v>
      </c>
      <c r="AH36" s="321"/>
      <c r="AI36" s="323"/>
      <c r="AJ36" s="338"/>
      <c r="AK36" s="323"/>
      <c r="AL36" s="338"/>
      <c r="AM36" s="338"/>
      <c r="AN36" s="324" t="s">
        <v>2314</v>
      </c>
      <c r="AO36" s="282"/>
      <c r="AP36" s="306"/>
      <c r="AQ36" s="282"/>
      <c r="AR36" s="282"/>
      <c r="AS36" s="282"/>
      <c r="AT36" s="281"/>
      <c r="AU36" s="281"/>
      <c r="AV36" s="281"/>
      <c r="AW36" s="281"/>
      <c r="AX36" s="281"/>
      <c r="AY36" s="281"/>
      <c r="AZ36" s="281"/>
    </row>
    <row r="37" spans="1:52" ht="15" customHeight="1" x14ac:dyDescent="0.3">
      <c r="A37" s="294">
        <v>45833</v>
      </c>
      <c r="B37" s="321" t="s">
        <v>47</v>
      </c>
      <c r="C37" s="321" t="s">
        <v>47</v>
      </c>
      <c r="D37" s="294" t="s">
        <v>48</v>
      </c>
      <c r="E37" s="321" t="s">
        <v>49</v>
      </c>
      <c r="F37" s="295">
        <v>16688615</v>
      </c>
      <c r="G37" s="296">
        <v>16688615</v>
      </c>
      <c r="H37" s="280" t="s">
        <v>50</v>
      </c>
      <c r="I37" s="323" t="s">
        <v>82</v>
      </c>
      <c r="J37" s="323" t="s">
        <v>2449</v>
      </c>
      <c r="K37" s="294">
        <v>46097</v>
      </c>
      <c r="L37" s="294">
        <v>46104</v>
      </c>
      <c r="M37" s="284">
        <f>Table1[[#This Row],[Dep Date]]-Table1[[#This Row],[Arr Date]]</f>
        <v>7</v>
      </c>
      <c r="N37" s="323" t="s">
        <v>65</v>
      </c>
      <c r="O37" s="321">
        <v>1</v>
      </c>
      <c r="P37" s="321">
        <v>1</v>
      </c>
      <c r="Q37" s="321">
        <v>1</v>
      </c>
      <c r="R37" s="321"/>
      <c r="S37" s="321" t="s">
        <v>53</v>
      </c>
      <c r="T37" s="326" t="s">
        <v>1656</v>
      </c>
      <c r="U37" s="297" t="s">
        <v>2224</v>
      </c>
      <c r="V37" s="294"/>
      <c r="W37" s="297">
        <v>0</v>
      </c>
      <c r="X37" s="294"/>
      <c r="Y37" s="329"/>
      <c r="Z37" s="329"/>
      <c r="AA37" s="332">
        <f>Table1[[#This Row],[Selling USD]]-Table1[[#This Row],[Cost USD]]</f>
        <v>0</v>
      </c>
      <c r="AB37" s="335">
        <f>149*5*0.57+149*2*0.79</f>
        <v>660.06999999999994</v>
      </c>
      <c r="AC37" s="298">
        <v>476</v>
      </c>
      <c r="AD37" s="299">
        <f>Table1[[#This Row],[Selling EUR]]-Table1[[#This Row],[Cost EUR]]</f>
        <v>-184.06999999999994</v>
      </c>
      <c r="AE37" s="321" t="s">
        <v>54</v>
      </c>
      <c r="AF37" s="294">
        <v>46092</v>
      </c>
      <c r="AG37" s="294"/>
      <c r="AH37" s="321"/>
      <c r="AI37" s="323"/>
      <c r="AJ37" s="338"/>
      <c r="AK37" s="323"/>
      <c r="AL37" s="338"/>
      <c r="AM37" s="338"/>
      <c r="AN37" s="324" t="s">
        <v>2315</v>
      </c>
      <c r="AO37" s="282"/>
      <c r="AP37" s="306"/>
      <c r="AQ37" s="282"/>
      <c r="AR37" s="282"/>
      <c r="AS37" s="282"/>
      <c r="AT37" s="281"/>
      <c r="AU37" s="281"/>
      <c r="AV37" s="281"/>
      <c r="AW37" s="281"/>
      <c r="AX37" s="281"/>
      <c r="AY37" s="281"/>
      <c r="AZ37" s="281"/>
    </row>
    <row r="38" spans="1:52" ht="15" customHeight="1" x14ac:dyDescent="0.3">
      <c r="A38" s="294">
        <v>45895</v>
      </c>
      <c r="B38" s="321" t="s">
        <v>47</v>
      </c>
      <c r="C38" s="321" t="s">
        <v>47</v>
      </c>
      <c r="D38" s="294" t="s">
        <v>79</v>
      </c>
      <c r="E38" s="321" t="s">
        <v>83</v>
      </c>
      <c r="F38" s="295">
        <v>13470322</v>
      </c>
      <c r="G38" s="296">
        <v>20243057</v>
      </c>
      <c r="H38" s="280" t="s">
        <v>84</v>
      </c>
      <c r="I38" s="323" t="s">
        <v>85</v>
      </c>
      <c r="J38" s="323" t="s">
        <v>2450</v>
      </c>
      <c r="K38" s="294">
        <v>45953</v>
      </c>
      <c r="L38" s="294">
        <v>45959</v>
      </c>
      <c r="M38" s="284">
        <f>Table1[[#This Row],[Dep Date]]-Table1[[#This Row],[Arr Date]]</f>
        <v>6</v>
      </c>
      <c r="N38" s="323" t="s">
        <v>52</v>
      </c>
      <c r="O38" s="321">
        <v>1</v>
      </c>
      <c r="P38" s="321">
        <v>2</v>
      </c>
      <c r="Q38" s="321"/>
      <c r="R38" s="321"/>
      <c r="S38" s="321" t="s">
        <v>53</v>
      </c>
      <c r="T38" s="327" t="s">
        <v>1657</v>
      </c>
      <c r="U38" s="297"/>
      <c r="V38" s="294"/>
      <c r="W38" s="297">
        <v>0</v>
      </c>
      <c r="X38" s="294"/>
      <c r="Y38" s="329">
        <f>185*2*6*0.85</f>
        <v>1887</v>
      </c>
      <c r="Z38" s="329">
        <v>1905.87</v>
      </c>
      <c r="AA38" s="332">
        <f>Table1[[#This Row],[Selling USD]]-Table1[[#This Row],[Cost USD]]</f>
        <v>18.869999999999891</v>
      </c>
      <c r="AB38" s="335"/>
      <c r="AC38" s="298"/>
      <c r="AD38" s="299">
        <f>Table1[[#This Row],[Selling EUR]]-Table1[[#This Row],[Cost EUR]]</f>
        <v>0</v>
      </c>
      <c r="AE38" s="321" t="s">
        <v>54</v>
      </c>
      <c r="AF38" s="294">
        <v>45942</v>
      </c>
      <c r="AG38" s="294"/>
      <c r="AH38" s="321"/>
      <c r="AI38" s="323"/>
      <c r="AJ38" s="338"/>
      <c r="AK38" s="323"/>
      <c r="AL38" s="338"/>
      <c r="AM38" s="338"/>
      <c r="AN38" s="323"/>
      <c r="AO38" s="282"/>
      <c r="AP38" s="306"/>
      <c r="AQ38" s="282"/>
      <c r="AR38" s="282"/>
      <c r="AS38" s="282"/>
      <c r="AT38" s="281"/>
      <c r="AU38" s="281"/>
      <c r="AV38" s="281"/>
      <c r="AW38" s="281"/>
      <c r="AX38" s="281"/>
      <c r="AY38" s="281"/>
      <c r="AZ38" s="281"/>
    </row>
    <row r="39" spans="1:52" ht="15" customHeight="1" x14ac:dyDescent="0.3">
      <c r="A39" s="294">
        <v>45854</v>
      </c>
      <c r="B39" s="321" t="s">
        <v>47</v>
      </c>
      <c r="C39" s="321" t="s">
        <v>47</v>
      </c>
      <c r="D39" s="294" t="s">
        <v>48</v>
      </c>
      <c r="E39" s="321" t="s">
        <v>49</v>
      </c>
      <c r="F39" s="295">
        <v>16754142</v>
      </c>
      <c r="G39" s="296"/>
      <c r="H39" s="280" t="s">
        <v>50</v>
      </c>
      <c r="I39" s="323" t="s">
        <v>86</v>
      </c>
      <c r="J39" s="323" t="s">
        <v>2451</v>
      </c>
      <c r="K39" s="294">
        <v>45972</v>
      </c>
      <c r="L39" s="294">
        <v>45981</v>
      </c>
      <c r="M39" s="284">
        <f>Table1[[#This Row],[Dep Date]]-Table1[[#This Row],[Arr Date]]</f>
        <v>9</v>
      </c>
      <c r="N39" s="323" t="s">
        <v>65</v>
      </c>
      <c r="O39" s="321">
        <v>1</v>
      </c>
      <c r="P39" s="321">
        <v>1</v>
      </c>
      <c r="Q39" s="321"/>
      <c r="R39" s="321"/>
      <c r="S39" s="321" t="s">
        <v>53</v>
      </c>
      <c r="T39" s="326" t="s">
        <v>1658</v>
      </c>
      <c r="U39" s="297"/>
      <c r="V39" s="294"/>
      <c r="W39" s="297">
        <v>0</v>
      </c>
      <c r="X39" s="294"/>
      <c r="Y39" s="329"/>
      <c r="Z39" s="329"/>
      <c r="AA39" s="332">
        <f>Table1[[#This Row],[Selling USD]]-Table1[[#This Row],[Cost USD]]</f>
        <v>0</v>
      </c>
      <c r="AB39" s="335">
        <f>395*7*0.7+363*2*0.7</f>
        <v>2443.6999999999998</v>
      </c>
      <c r="AC39" s="298">
        <v>2443.6999999999998</v>
      </c>
      <c r="AD39" s="299">
        <f>Table1[[#This Row],[Selling EUR]]-Table1[[#This Row],[Cost EUR]]</f>
        <v>0</v>
      </c>
      <c r="AE39" s="321" t="s">
        <v>54</v>
      </c>
      <c r="AF39" s="294">
        <v>45963</v>
      </c>
      <c r="AG39" s="294"/>
      <c r="AH39" s="321"/>
      <c r="AI39" s="323"/>
      <c r="AJ39" s="338"/>
      <c r="AK39" s="323"/>
      <c r="AL39" s="338"/>
      <c r="AM39" s="338"/>
      <c r="AN39" s="323" t="s">
        <v>2316</v>
      </c>
      <c r="AO39" s="282"/>
      <c r="AP39" s="306"/>
      <c r="AQ39" s="282"/>
      <c r="AR39" s="282"/>
      <c r="AS39" s="282"/>
      <c r="AT39" s="281"/>
      <c r="AU39" s="281"/>
      <c r="AV39" s="281"/>
      <c r="AW39" s="281"/>
      <c r="AX39" s="281"/>
      <c r="AY39" s="281"/>
      <c r="AZ39" s="281"/>
    </row>
    <row r="40" spans="1:52" ht="15" customHeight="1" x14ac:dyDescent="0.3">
      <c r="A40" s="294">
        <v>45855</v>
      </c>
      <c r="B40" s="321" t="s">
        <v>47</v>
      </c>
      <c r="C40" s="321" t="s">
        <v>47</v>
      </c>
      <c r="D40" s="294" t="s">
        <v>48</v>
      </c>
      <c r="E40" s="321" t="s">
        <v>49</v>
      </c>
      <c r="F40" s="295">
        <v>16757480</v>
      </c>
      <c r="G40" s="296">
        <v>20243002</v>
      </c>
      <c r="H40" s="280" t="s">
        <v>84</v>
      </c>
      <c r="I40" s="323" t="s">
        <v>87</v>
      </c>
      <c r="J40" s="323" t="s">
        <v>2452</v>
      </c>
      <c r="K40" s="294">
        <v>45975</v>
      </c>
      <c r="L40" s="294">
        <v>45976</v>
      </c>
      <c r="M40" s="284">
        <f>Table1[[#This Row],[Dep Date]]-Table1[[#This Row],[Arr Date]]</f>
        <v>1</v>
      </c>
      <c r="N40" s="323" t="s">
        <v>52</v>
      </c>
      <c r="O40" s="321">
        <v>1</v>
      </c>
      <c r="P40" s="321">
        <v>2</v>
      </c>
      <c r="Q40" s="321"/>
      <c r="R40" s="321"/>
      <c r="S40" s="321" t="s">
        <v>53</v>
      </c>
      <c r="T40" s="326" t="s">
        <v>1659</v>
      </c>
      <c r="U40" s="297"/>
      <c r="V40" s="294"/>
      <c r="W40" s="297">
        <v>0</v>
      </c>
      <c r="X40" s="294"/>
      <c r="Y40" s="329"/>
      <c r="Z40" s="329"/>
      <c r="AA40" s="332">
        <f>Table1[[#This Row],[Selling USD]]-Table1[[#This Row],[Cost USD]]</f>
        <v>0</v>
      </c>
      <c r="AB40" s="335">
        <f>140*2*0.75</f>
        <v>210</v>
      </c>
      <c r="AC40" s="298">
        <v>214</v>
      </c>
      <c r="AD40" s="299">
        <f>Table1[[#This Row],[Selling EUR]]-Table1[[#This Row],[Cost EUR]]</f>
        <v>4</v>
      </c>
      <c r="AE40" s="321" t="s">
        <v>54</v>
      </c>
      <c r="AF40" s="294">
        <v>45966</v>
      </c>
      <c r="AG40" s="294"/>
      <c r="AH40" s="321"/>
      <c r="AI40" s="323"/>
      <c r="AJ40" s="338"/>
      <c r="AK40" s="323"/>
      <c r="AL40" s="338"/>
      <c r="AM40" s="338"/>
      <c r="AN40" s="323"/>
      <c r="AO40" s="282"/>
      <c r="AP40" s="306"/>
      <c r="AQ40" s="282"/>
      <c r="AR40" s="282"/>
      <c r="AS40" s="282"/>
      <c r="AT40" s="281"/>
      <c r="AU40" s="281"/>
      <c r="AV40" s="281"/>
      <c r="AW40" s="281"/>
      <c r="AX40" s="281"/>
      <c r="AY40" s="281"/>
      <c r="AZ40" s="281"/>
    </row>
    <row r="41" spans="1:52" ht="15" customHeight="1" x14ac:dyDescent="0.3">
      <c r="A41" s="294">
        <v>45855</v>
      </c>
      <c r="B41" s="321" t="s">
        <v>47</v>
      </c>
      <c r="C41" s="321" t="s">
        <v>47</v>
      </c>
      <c r="D41" s="294" t="s">
        <v>48</v>
      </c>
      <c r="E41" s="321" t="s">
        <v>49</v>
      </c>
      <c r="F41" s="295">
        <v>16755353</v>
      </c>
      <c r="G41" s="296">
        <v>20243004</v>
      </c>
      <c r="H41" s="280" t="s">
        <v>50</v>
      </c>
      <c r="I41" s="323" t="s">
        <v>86</v>
      </c>
      <c r="J41" s="323" t="s">
        <v>2453</v>
      </c>
      <c r="K41" s="294">
        <v>45979</v>
      </c>
      <c r="L41" s="294">
        <v>45988</v>
      </c>
      <c r="M41" s="284">
        <f>Table1[[#This Row],[Dep Date]]-Table1[[#This Row],[Arr Date]]</f>
        <v>9</v>
      </c>
      <c r="N41" s="323" t="s">
        <v>52</v>
      </c>
      <c r="O41" s="321">
        <v>1</v>
      </c>
      <c r="P41" s="321">
        <v>2</v>
      </c>
      <c r="Q41" s="321"/>
      <c r="R41" s="321"/>
      <c r="S41" s="321" t="s">
        <v>53</v>
      </c>
      <c r="T41" s="326" t="s">
        <v>1660</v>
      </c>
      <c r="U41" s="297"/>
      <c r="V41" s="294"/>
      <c r="W41" s="297">
        <v>0</v>
      </c>
      <c r="X41" s="294"/>
      <c r="Y41" s="329"/>
      <c r="Z41" s="329"/>
      <c r="AA41" s="332">
        <f>Table1[[#This Row],[Selling USD]]-Table1[[#This Row],[Cost USD]]</f>
        <v>0</v>
      </c>
      <c r="AB41" s="335">
        <f>242*2*9*0.7</f>
        <v>3049.2</v>
      </c>
      <c r="AC41" s="298">
        <v>3049.2</v>
      </c>
      <c r="AD41" s="299">
        <f>Table1[[#This Row],[Selling EUR]]-Table1[[#This Row],[Cost EUR]]</f>
        <v>0</v>
      </c>
      <c r="AE41" s="321" t="s">
        <v>54</v>
      </c>
      <c r="AF41" s="294">
        <v>45970</v>
      </c>
      <c r="AG41" s="294" t="s">
        <v>2317</v>
      </c>
      <c r="AH41" s="321"/>
      <c r="AI41" s="323"/>
      <c r="AJ41" s="338"/>
      <c r="AK41" s="323"/>
      <c r="AL41" s="338"/>
      <c r="AM41" s="338"/>
      <c r="AN41" s="323" t="s">
        <v>2316</v>
      </c>
      <c r="AO41" s="282"/>
      <c r="AP41" s="306"/>
      <c r="AQ41" s="282"/>
      <c r="AR41" s="282"/>
      <c r="AS41" s="282"/>
      <c r="AT41" s="281"/>
      <c r="AU41" s="281"/>
      <c r="AV41" s="281"/>
      <c r="AW41" s="281"/>
      <c r="AX41" s="281"/>
      <c r="AY41" s="281"/>
      <c r="AZ41" s="281"/>
    </row>
    <row r="42" spans="1:52" ht="15" customHeight="1" x14ac:dyDescent="0.3">
      <c r="A42" s="294">
        <v>45855</v>
      </c>
      <c r="B42" s="321" t="s">
        <v>47</v>
      </c>
      <c r="C42" s="321" t="s">
        <v>47</v>
      </c>
      <c r="D42" s="294" t="s">
        <v>48</v>
      </c>
      <c r="E42" s="321" t="s">
        <v>49</v>
      </c>
      <c r="F42" s="295">
        <v>16758204</v>
      </c>
      <c r="G42" s="296">
        <v>20243012</v>
      </c>
      <c r="H42" s="280" t="s">
        <v>58</v>
      </c>
      <c r="I42" s="323" t="s">
        <v>64</v>
      </c>
      <c r="J42" s="323" t="s">
        <v>2454</v>
      </c>
      <c r="K42" s="294">
        <v>46014</v>
      </c>
      <c r="L42" s="294">
        <v>46021</v>
      </c>
      <c r="M42" s="284">
        <f>Table1[[#This Row],[Dep Date]]-Table1[[#This Row],[Arr Date]]</f>
        <v>7</v>
      </c>
      <c r="N42" s="323" t="s">
        <v>52</v>
      </c>
      <c r="O42" s="321">
        <v>1</v>
      </c>
      <c r="P42" s="321">
        <v>2</v>
      </c>
      <c r="Q42" s="321">
        <v>1</v>
      </c>
      <c r="R42" s="321"/>
      <c r="S42" s="321" t="s">
        <v>53</v>
      </c>
      <c r="T42" s="327" t="s">
        <v>1661</v>
      </c>
      <c r="U42" s="297">
        <v>13</v>
      </c>
      <c r="V42" s="294"/>
      <c r="W42" s="297">
        <v>0</v>
      </c>
      <c r="X42" s="294"/>
      <c r="Y42" s="329"/>
      <c r="Z42" s="329"/>
      <c r="AA42" s="332">
        <f>Table1[[#This Row],[Selling USD]]-Table1[[#This Row],[Cost USD]]</f>
        <v>0</v>
      </c>
      <c r="AB42" s="335">
        <f>(35*2*4+55*2*3)*0.9+225</f>
        <v>774</v>
      </c>
      <c r="AC42" s="298">
        <v>816</v>
      </c>
      <c r="AD42" s="299">
        <f>Table1[[#This Row],[Selling EUR]]-Table1[[#This Row],[Cost EUR]]</f>
        <v>42</v>
      </c>
      <c r="AE42" s="321" t="s">
        <v>54</v>
      </c>
      <c r="AF42" s="294">
        <v>46006</v>
      </c>
      <c r="AG42" s="294" t="s">
        <v>2291</v>
      </c>
      <c r="AH42" s="321"/>
      <c r="AI42" s="323"/>
      <c r="AJ42" s="338"/>
      <c r="AK42" s="323"/>
      <c r="AL42" s="338"/>
      <c r="AM42" s="338"/>
      <c r="AN42" s="323"/>
      <c r="AO42" s="282"/>
      <c r="AP42" s="306"/>
      <c r="AQ42" s="282"/>
      <c r="AR42" s="282"/>
      <c r="AS42" s="282"/>
      <c r="AT42" s="281"/>
      <c r="AU42" s="281"/>
      <c r="AV42" s="281"/>
      <c r="AW42" s="281"/>
      <c r="AX42" s="281"/>
      <c r="AY42" s="281"/>
      <c r="AZ42" s="281"/>
    </row>
    <row r="43" spans="1:52" ht="15" customHeight="1" x14ac:dyDescent="0.3">
      <c r="A43" s="294">
        <v>45855</v>
      </c>
      <c r="B43" s="321" t="s">
        <v>47</v>
      </c>
      <c r="C43" s="321" t="s">
        <v>47</v>
      </c>
      <c r="D43" s="294" t="s">
        <v>48</v>
      </c>
      <c r="E43" s="321" t="s">
        <v>49</v>
      </c>
      <c r="F43" s="295">
        <v>16786646</v>
      </c>
      <c r="G43" s="296">
        <v>20243008</v>
      </c>
      <c r="H43" s="280" t="s">
        <v>50</v>
      </c>
      <c r="I43" s="323" t="s">
        <v>88</v>
      </c>
      <c r="J43" s="323" t="s">
        <v>2455</v>
      </c>
      <c r="K43" s="294">
        <v>46119</v>
      </c>
      <c r="L43" s="294">
        <v>46130</v>
      </c>
      <c r="M43" s="284">
        <f>Table1[[#This Row],[Dep Date]]-Table1[[#This Row],[Arr Date]]</f>
        <v>11</v>
      </c>
      <c r="N43" s="323" t="s">
        <v>52</v>
      </c>
      <c r="O43" s="321">
        <v>1</v>
      </c>
      <c r="P43" s="321">
        <v>2</v>
      </c>
      <c r="Q43" s="321">
        <v>2</v>
      </c>
      <c r="R43" s="321"/>
      <c r="S43" s="321" t="s">
        <v>53</v>
      </c>
      <c r="T43" s="326" t="s">
        <v>2456</v>
      </c>
      <c r="U43" s="297" t="s">
        <v>2226</v>
      </c>
      <c r="V43" s="294"/>
      <c r="W43" s="297">
        <v>0</v>
      </c>
      <c r="X43" s="294"/>
      <c r="Y43" s="329"/>
      <c r="Z43" s="329"/>
      <c r="AA43" s="332">
        <f>Table1[[#This Row],[Selling USD]]-Table1[[#This Row],[Cost USD]]</f>
        <v>0</v>
      </c>
      <c r="AB43" s="335">
        <f>110*2.5*2*0.81+110*2.5*0.7*9+90</f>
        <v>2268</v>
      </c>
      <c r="AC43" s="298">
        <v>2532</v>
      </c>
      <c r="AD43" s="299">
        <f>Table1[[#This Row],[Selling EUR]]-Table1[[#This Row],[Cost EUR]]</f>
        <v>264</v>
      </c>
      <c r="AE43" s="321" t="s">
        <v>54</v>
      </c>
      <c r="AF43" s="294">
        <v>46113</v>
      </c>
      <c r="AG43" s="294"/>
      <c r="AH43" s="321"/>
      <c r="AI43" s="323"/>
      <c r="AJ43" s="338"/>
      <c r="AK43" s="323"/>
      <c r="AL43" s="338"/>
      <c r="AM43" s="338"/>
      <c r="AN43" s="323" t="s">
        <v>2318</v>
      </c>
      <c r="AO43" s="282"/>
      <c r="AP43" s="306"/>
      <c r="AQ43" s="282"/>
      <c r="AR43" s="282"/>
      <c r="AS43" s="282"/>
      <c r="AT43" s="281"/>
      <c r="AU43" s="281"/>
      <c r="AV43" s="281"/>
      <c r="AW43" s="281"/>
      <c r="AX43" s="281"/>
      <c r="AY43" s="281"/>
      <c r="AZ43" s="281"/>
    </row>
    <row r="44" spans="1:52" ht="15" customHeight="1" x14ac:dyDescent="0.3">
      <c r="A44" s="294">
        <v>45855</v>
      </c>
      <c r="B44" s="321" t="s">
        <v>47</v>
      </c>
      <c r="C44" s="321" t="s">
        <v>47</v>
      </c>
      <c r="D44" s="294" t="s">
        <v>48</v>
      </c>
      <c r="E44" s="321" t="s">
        <v>49</v>
      </c>
      <c r="F44" s="295">
        <v>16757520</v>
      </c>
      <c r="G44" s="296">
        <v>20243009</v>
      </c>
      <c r="H44" s="280" t="s">
        <v>50</v>
      </c>
      <c r="I44" s="323" t="s">
        <v>88</v>
      </c>
      <c r="J44" s="323" t="s">
        <v>2457</v>
      </c>
      <c r="K44" s="294">
        <v>46119</v>
      </c>
      <c r="L44" s="294">
        <v>46130</v>
      </c>
      <c r="M44" s="284">
        <f>Table1[[#This Row],[Dep Date]]-Table1[[#This Row],[Arr Date]]</f>
        <v>11</v>
      </c>
      <c r="N44" s="323" t="s">
        <v>52</v>
      </c>
      <c r="O44" s="321">
        <v>1</v>
      </c>
      <c r="P44" s="321">
        <v>2</v>
      </c>
      <c r="Q44" s="321"/>
      <c r="R44" s="321"/>
      <c r="S44" s="321" t="s">
        <v>53</v>
      </c>
      <c r="T44" s="326" t="s">
        <v>2458</v>
      </c>
      <c r="U44" s="297"/>
      <c r="V44" s="294"/>
      <c r="W44" s="297">
        <v>0</v>
      </c>
      <c r="X44" s="294"/>
      <c r="Y44" s="329"/>
      <c r="Z44" s="329"/>
      <c r="AA44" s="332">
        <f>Table1[[#This Row],[Selling USD]]-Table1[[#This Row],[Cost USD]]</f>
        <v>0</v>
      </c>
      <c r="AB44" s="335">
        <f>110*2*2*0.81+110*2*0.7*9+60</f>
        <v>1802.4</v>
      </c>
      <c r="AC44" s="298">
        <v>2018</v>
      </c>
      <c r="AD44" s="299">
        <f>Table1[[#This Row],[Selling EUR]]-Table1[[#This Row],[Cost EUR]]</f>
        <v>215.59999999999991</v>
      </c>
      <c r="AE44" s="321" t="s">
        <v>54</v>
      </c>
      <c r="AF44" s="294">
        <v>46113</v>
      </c>
      <c r="AG44" s="294"/>
      <c r="AH44" s="321"/>
      <c r="AI44" s="323"/>
      <c r="AJ44" s="338"/>
      <c r="AK44" s="323"/>
      <c r="AL44" s="338"/>
      <c r="AM44" s="338"/>
      <c r="AN44" s="323" t="s">
        <v>2319</v>
      </c>
      <c r="AO44" s="282"/>
      <c r="AP44" s="306"/>
      <c r="AQ44" s="282"/>
      <c r="AR44" s="282"/>
      <c r="AS44" s="282"/>
      <c r="AT44" s="281"/>
      <c r="AU44" s="281"/>
      <c r="AV44" s="281"/>
      <c r="AW44" s="281"/>
      <c r="AX44" s="281"/>
      <c r="AY44" s="281"/>
      <c r="AZ44" s="281"/>
    </row>
    <row r="45" spans="1:52" ht="15" customHeight="1" x14ac:dyDescent="0.3">
      <c r="A45" s="294">
        <v>45856</v>
      </c>
      <c r="B45" s="321" t="s">
        <v>47</v>
      </c>
      <c r="C45" s="321" t="s">
        <v>47</v>
      </c>
      <c r="D45" s="294" t="s">
        <v>48</v>
      </c>
      <c r="E45" s="321" t="s">
        <v>49</v>
      </c>
      <c r="F45" s="295">
        <v>16758885</v>
      </c>
      <c r="G45" s="296">
        <v>20243013</v>
      </c>
      <c r="H45" s="280" t="s">
        <v>50</v>
      </c>
      <c r="I45" s="323" t="s">
        <v>89</v>
      </c>
      <c r="J45" s="323" t="s">
        <v>2459</v>
      </c>
      <c r="K45" s="294">
        <v>45986</v>
      </c>
      <c r="L45" s="294">
        <v>45993</v>
      </c>
      <c r="M45" s="284">
        <f>Table1[[#This Row],[Dep Date]]-Table1[[#This Row],[Arr Date]]</f>
        <v>7</v>
      </c>
      <c r="N45" s="323" t="s">
        <v>65</v>
      </c>
      <c r="O45" s="321">
        <v>1</v>
      </c>
      <c r="P45" s="321">
        <v>1</v>
      </c>
      <c r="Q45" s="321"/>
      <c r="R45" s="321"/>
      <c r="S45" s="321" t="s">
        <v>53</v>
      </c>
      <c r="T45" s="326" t="s">
        <v>1662</v>
      </c>
      <c r="U45" s="297"/>
      <c r="V45" s="294"/>
      <c r="W45" s="297">
        <v>0</v>
      </c>
      <c r="X45" s="294"/>
      <c r="Y45" s="329"/>
      <c r="Z45" s="329"/>
      <c r="AA45" s="332">
        <f>Table1[[#This Row],[Selling USD]]-Table1[[#This Row],[Cost USD]]</f>
        <v>0</v>
      </c>
      <c r="AB45" s="335">
        <f>18*1.5*7</f>
        <v>189</v>
      </c>
      <c r="AC45" s="298">
        <v>196</v>
      </c>
      <c r="AD45" s="299">
        <f>Table1[[#This Row],[Selling EUR]]-Table1[[#This Row],[Cost EUR]]</f>
        <v>7</v>
      </c>
      <c r="AE45" s="321" t="s">
        <v>54</v>
      </c>
      <c r="AF45" s="294">
        <v>45979</v>
      </c>
      <c r="AG45" s="294"/>
      <c r="AH45" s="321"/>
      <c r="AI45" s="323"/>
      <c r="AJ45" s="338"/>
      <c r="AK45" s="323"/>
      <c r="AL45" s="338"/>
      <c r="AM45" s="338"/>
      <c r="AN45" s="323"/>
      <c r="AO45" s="282"/>
      <c r="AP45" s="306"/>
      <c r="AQ45" s="282"/>
      <c r="AR45" s="282"/>
      <c r="AS45" s="282"/>
      <c r="AT45" s="281"/>
      <c r="AU45" s="281"/>
      <c r="AV45" s="281"/>
      <c r="AW45" s="281"/>
      <c r="AX45" s="281"/>
      <c r="AY45" s="281"/>
      <c r="AZ45" s="281"/>
    </row>
    <row r="46" spans="1:52" ht="15" customHeight="1" x14ac:dyDescent="0.3">
      <c r="A46" s="294">
        <v>45858</v>
      </c>
      <c r="B46" s="321" t="s">
        <v>47</v>
      </c>
      <c r="C46" s="321" t="s">
        <v>47</v>
      </c>
      <c r="D46" s="294" t="s">
        <v>48</v>
      </c>
      <c r="E46" s="321" t="s">
        <v>49</v>
      </c>
      <c r="F46" s="295">
        <v>16763922</v>
      </c>
      <c r="G46" s="296"/>
      <c r="H46" s="280" t="s">
        <v>50</v>
      </c>
      <c r="I46" s="323" t="s">
        <v>90</v>
      </c>
      <c r="J46" s="323" t="s">
        <v>2460</v>
      </c>
      <c r="K46" s="294">
        <v>45951</v>
      </c>
      <c r="L46" s="294">
        <v>45958</v>
      </c>
      <c r="M46" s="284">
        <f>Table1[[#This Row],[Dep Date]]-Table1[[#This Row],[Arr Date]]</f>
        <v>7</v>
      </c>
      <c r="N46" s="323" t="s">
        <v>52</v>
      </c>
      <c r="O46" s="321">
        <v>1</v>
      </c>
      <c r="P46" s="321">
        <v>2</v>
      </c>
      <c r="Q46" s="321"/>
      <c r="R46" s="321"/>
      <c r="S46" s="321" t="s">
        <v>53</v>
      </c>
      <c r="T46" s="327" t="s">
        <v>1663</v>
      </c>
      <c r="U46" s="297"/>
      <c r="V46" s="294"/>
      <c r="W46" s="297">
        <v>0</v>
      </c>
      <c r="X46" s="294"/>
      <c r="Y46" s="329"/>
      <c r="Z46" s="329"/>
      <c r="AA46" s="332">
        <f>Table1[[#This Row],[Selling USD]]-Table1[[#This Row],[Cost USD]]</f>
        <v>0</v>
      </c>
      <c r="AB46" s="335">
        <f>48*2*7</f>
        <v>672</v>
      </c>
      <c r="AC46" s="298">
        <v>686</v>
      </c>
      <c r="AD46" s="299">
        <f>Table1[[#This Row],[Selling EUR]]-Table1[[#This Row],[Cost EUR]]</f>
        <v>14</v>
      </c>
      <c r="AE46" s="321" t="s">
        <v>54</v>
      </c>
      <c r="AF46" s="294">
        <v>45944</v>
      </c>
      <c r="AG46" s="294"/>
      <c r="AH46" s="321"/>
      <c r="AI46" s="323"/>
      <c r="AJ46" s="338"/>
      <c r="AK46" s="323"/>
      <c r="AL46" s="338"/>
      <c r="AM46" s="338"/>
      <c r="AN46" s="323" t="s">
        <v>2320</v>
      </c>
      <c r="AO46" s="282"/>
      <c r="AP46" s="306"/>
      <c r="AQ46" s="282"/>
      <c r="AR46" s="282"/>
      <c r="AS46" s="282"/>
      <c r="AT46" s="281"/>
      <c r="AU46" s="281"/>
      <c r="AV46" s="281"/>
      <c r="AW46" s="281"/>
      <c r="AX46" s="281"/>
      <c r="AY46" s="281"/>
      <c r="AZ46" s="281"/>
    </row>
    <row r="47" spans="1:52" ht="15" customHeight="1" x14ac:dyDescent="0.3">
      <c r="A47" s="294">
        <v>45858</v>
      </c>
      <c r="B47" s="321" t="s">
        <v>47</v>
      </c>
      <c r="C47" s="321" t="s">
        <v>47</v>
      </c>
      <c r="D47" s="294" t="s">
        <v>48</v>
      </c>
      <c r="E47" s="321" t="s">
        <v>61</v>
      </c>
      <c r="F47" s="295">
        <v>16764265</v>
      </c>
      <c r="G47" s="296"/>
      <c r="H47" s="280" t="s">
        <v>84</v>
      </c>
      <c r="I47" s="323" t="s">
        <v>91</v>
      </c>
      <c r="J47" s="323" t="s">
        <v>2461</v>
      </c>
      <c r="K47" s="294">
        <v>46109</v>
      </c>
      <c r="L47" s="294">
        <v>46116</v>
      </c>
      <c r="M47" s="284">
        <f>Table1[[#This Row],[Dep Date]]-Table1[[#This Row],[Arr Date]]</f>
        <v>7</v>
      </c>
      <c r="N47" s="323" t="s">
        <v>52</v>
      </c>
      <c r="O47" s="321">
        <v>1</v>
      </c>
      <c r="P47" s="321">
        <v>2</v>
      </c>
      <c r="Q47" s="321">
        <v>1</v>
      </c>
      <c r="R47" s="321"/>
      <c r="S47" s="321" t="s">
        <v>53</v>
      </c>
      <c r="T47" s="326" t="s">
        <v>1664</v>
      </c>
      <c r="U47" s="297" t="s">
        <v>2227</v>
      </c>
      <c r="V47" s="294"/>
      <c r="W47" s="297">
        <v>0</v>
      </c>
      <c r="X47" s="294"/>
      <c r="Y47" s="329"/>
      <c r="Z47" s="329"/>
      <c r="AA47" s="332">
        <f>Table1[[#This Row],[Selling USD]]-Table1[[#This Row],[Cost USD]]</f>
        <v>0</v>
      </c>
      <c r="AB47" s="335">
        <f>(70*2*7)</f>
        <v>980</v>
      </c>
      <c r="AC47" s="298">
        <v>761.6</v>
      </c>
      <c r="AD47" s="299">
        <f>Table1[[#This Row],[Selling EUR]]-Table1[[#This Row],[Cost EUR]]</f>
        <v>-218.39999999999998</v>
      </c>
      <c r="AE47" s="321" t="s">
        <v>54</v>
      </c>
      <c r="AF47" s="294">
        <v>46105</v>
      </c>
      <c r="AG47" s="294" t="s">
        <v>2321</v>
      </c>
      <c r="AH47" s="321"/>
      <c r="AI47" s="323"/>
      <c r="AJ47" s="338"/>
      <c r="AK47" s="323"/>
      <c r="AL47" s="338"/>
      <c r="AM47" s="338"/>
      <c r="AN47" s="323" t="s">
        <v>2322</v>
      </c>
      <c r="AO47" s="282"/>
      <c r="AP47" s="306"/>
      <c r="AQ47" s="282"/>
      <c r="AR47" s="282"/>
      <c r="AS47" s="282"/>
      <c r="AT47" s="281"/>
      <c r="AU47" s="281"/>
      <c r="AV47" s="281"/>
      <c r="AW47" s="281"/>
      <c r="AX47" s="281"/>
      <c r="AY47" s="281"/>
      <c r="AZ47" s="281"/>
    </row>
    <row r="48" spans="1:52" ht="15" customHeight="1" x14ac:dyDescent="0.3">
      <c r="A48" s="294">
        <v>45859</v>
      </c>
      <c r="B48" s="321" t="s">
        <v>47</v>
      </c>
      <c r="C48" s="321" t="s">
        <v>47</v>
      </c>
      <c r="D48" s="294" t="s">
        <v>48</v>
      </c>
      <c r="E48" s="321" t="s">
        <v>49</v>
      </c>
      <c r="F48" s="295">
        <v>16768602</v>
      </c>
      <c r="G48" s="296">
        <v>20303309</v>
      </c>
      <c r="H48" s="280" t="s">
        <v>50</v>
      </c>
      <c r="I48" s="323" t="s">
        <v>68</v>
      </c>
      <c r="J48" s="323" t="s">
        <v>75</v>
      </c>
      <c r="K48" s="294">
        <v>46021</v>
      </c>
      <c r="L48" s="294">
        <v>46028</v>
      </c>
      <c r="M48" s="284">
        <f>Table1[[#This Row],[Dep Date]]-Table1[[#This Row],[Arr Date]]</f>
        <v>7</v>
      </c>
      <c r="N48" s="323" t="s">
        <v>70</v>
      </c>
      <c r="O48" s="321">
        <v>1</v>
      </c>
      <c r="P48" s="321">
        <v>3</v>
      </c>
      <c r="Q48" s="321"/>
      <c r="R48" s="321"/>
      <c r="S48" s="321" t="s">
        <v>53</v>
      </c>
      <c r="T48" s="327" t="s">
        <v>1665</v>
      </c>
      <c r="U48" s="297"/>
      <c r="V48" s="294"/>
      <c r="W48" s="297">
        <v>0</v>
      </c>
      <c r="X48" s="294"/>
      <c r="Y48" s="329"/>
      <c r="Z48" s="329"/>
      <c r="AA48" s="332">
        <f>Table1[[#This Row],[Selling USD]]-Table1[[#This Row],[Cost USD]]</f>
        <v>0</v>
      </c>
      <c r="AB48" s="335">
        <f>(63*3*4+48*3*3)*0.9+330</f>
        <v>1399.2</v>
      </c>
      <c r="AC48" s="298">
        <v>1365.6</v>
      </c>
      <c r="AD48" s="299">
        <f>Table1[[#This Row],[Selling EUR]]-Table1[[#This Row],[Cost EUR]]</f>
        <v>-33.600000000000136</v>
      </c>
      <c r="AE48" s="321" t="s">
        <v>54</v>
      </c>
      <c r="AF48" s="294">
        <v>46012</v>
      </c>
      <c r="AG48" s="294"/>
      <c r="AH48" s="321"/>
      <c r="AI48" s="323"/>
      <c r="AJ48" s="338"/>
      <c r="AK48" s="323"/>
      <c r="AL48" s="338"/>
      <c r="AM48" s="338"/>
      <c r="AN48" s="323" t="s">
        <v>2323</v>
      </c>
      <c r="AO48" s="282"/>
      <c r="AP48" s="306"/>
      <c r="AQ48" s="282"/>
      <c r="AR48" s="282"/>
      <c r="AS48" s="282"/>
      <c r="AT48" s="281"/>
      <c r="AU48" s="281"/>
      <c r="AV48" s="281"/>
      <c r="AW48" s="281"/>
      <c r="AX48" s="281"/>
      <c r="AY48" s="281"/>
      <c r="AZ48" s="281"/>
    </row>
    <row r="49" spans="1:52" ht="15" customHeight="1" x14ac:dyDescent="0.3">
      <c r="A49" s="294">
        <v>45860</v>
      </c>
      <c r="B49" s="321" t="s">
        <v>47</v>
      </c>
      <c r="C49" s="321" t="s">
        <v>47</v>
      </c>
      <c r="D49" s="294" t="s">
        <v>48</v>
      </c>
      <c r="E49" s="321" t="s">
        <v>49</v>
      </c>
      <c r="F49" s="295">
        <v>16772266</v>
      </c>
      <c r="G49" s="296">
        <v>20303315</v>
      </c>
      <c r="H49" s="280" t="s">
        <v>50</v>
      </c>
      <c r="I49" s="323" t="s">
        <v>92</v>
      </c>
      <c r="J49" s="323" t="s">
        <v>2462</v>
      </c>
      <c r="K49" s="294">
        <v>46066</v>
      </c>
      <c r="L49" s="294">
        <v>46073</v>
      </c>
      <c r="M49" s="284">
        <f>Table1[[#This Row],[Dep Date]]-Table1[[#This Row],[Arr Date]]</f>
        <v>7</v>
      </c>
      <c r="N49" s="323" t="s">
        <v>65</v>
      </c>
      <c r="O49" s="321">
        <v>1</v>
      </c>
      <c r="P49" s="321">
        <v>2</v>
      </c>
      <c r="Q49" s="321"/>
      <c r="R49" s="321"/>
      <c r="S49" s="321" t="s">
        <v>53</v>
      </c>
      <c r="T49" s="327" t="s">
        <v>1666</v>
      </c>
      <c r="U49" s="297" t="s">
        <v>2228</v>
      </c>
      <c r="V49" s="294"/>
      <c r="W49" s="297">
        <v>0</v>
      </c>
      <c r="X49" s="294"/>
      <c r="Y49" s="329"/>
      <c r="Z49" s="329"/>
      <c r="AA49" s="332">
        <f>Table1[[#This Row],[Selling USD]]-Table1[[#This Row],[Cost USD]]</f>
        <v>0</v>
      </c>
      <c r="AB49" s="335">
        <f>202.5*7*0.5</f>
        <v>708.75</v>
      </c>
      <c r="AC49" s="298">
        <v>722.75</v>
      </c>
      <c r="AD49" s="299">
        <f>Table1[[#This Row],[Selling EUR]]-Table1[[#This Row],[Cost EUR]]</f>
        <v>14</v>
      </c>
      <c r="AE49" s="321" t="s">
        <v>54</v>
      </c>
      <c r="AF49" s="294">
        <v>46054</v>
      </c>
      <c r="AG49" s="294"/>
      <c r="AH49" s="321"/>
      <c r="AI49" s="323"/>
      <c r="AJ49" s="338"/>
      <c r="AK49" s="323"/>
      <c r="AL49" s="338"/>
      <c r="AM49" s="338"/>
      <c r="AN49" s="323"/>
      <c r="AO49" s="282"/>
      <c r="AP49" s="306"/>
      <c r="AQ49" s="282"/>
      <c r="AR49" s="282"/>
      <c r="AS49" s="282"/>
      <c r="AT49" s="281"/>
      <c r="AU49" s="281"/>
      <c r="AV49" s="281"/>
      <c r="AW49" s="281"/>
      <c r="AX49" s="281"/>
      <c r="AY49" s="281"/>
      <c r="AZ49" s="281"/>
    </row>
    <row r="50" spans="1:52" ht="15" customHeight="1" x14ac:dyDescent="0.3">
      <c r="A50" s="294">
        <v>45861</v>
      </c>
      <c r="B50" s="321" t="s">
        <v>47</v>
      </c>
      <c r="C50" s="321" t="s">
        <v>47</v>
      </c>
      <c r="D50" s="294" t="s">
        <v>48</v>
      </c>
      <c r="E50" s="321" t="s">
        <v>49</v>
      </c>
      <c r="F50" s="295">
        <v>16774424</v>
      </c>
      <c r="G50" s="296"/>
      <c r="H50" s="280" t="s">
        <v>50</v>
      </c>
      <c r="I50" s="323" t="s">
        <v>78</v>
      </c>
      <c r="J50" s="323" t="s">
        <v>69</v>
      </c>
      <c r="K50" s="294">
        <v>46102</v>
      </c>
      <c r="L50" s="294">
        <v>46109</v>
      </c>
      <c r="M50" s="284">
        <f>Table1[[#This Row],[Dep Date]]-Table1[[#This Row],[Arr Date]]</f>
        <v>7</v>
      </c>
      <c r="N50" s="323" t="s">
        <v>52</v>
      </c>
      <c r="O50" s="321">
        <v>1</v>
      </c>
      <c r="P50" s="321">
        <v>2</v>
      </c>
      <c r="Q50" s="321">
        <v>2</v>
      </c>
      <c r="R50" s="321">
        <v>1</v>
      </c>
      <c r="S50" s="321" t="s">
        <v>53</v>
      </c>
      <c r="T50" s="326" t="s">
        <v>1667</v>
      </c>
      <c r="U50" s="297" t="s">
        <v>2229</v>
      </c>
      <c r="V50" s="294"/>
      <c r="W50" s="297">
        <v>0</v>
      </c>
      <c r="X50" s="294"/>
      <c r="Y50" s="329"/>
      <c r="Z50" s="329"/>
      <c r="AA50" s="332">
        <f>Table1[[#This Row],[Selling USD]]-Table1[[#This Row],[Cost USD]]</f>
        <v>0</v>
      </c>
      <c r="AB50" s="335">
        <f>32*2*7</f>
        <v>448</v>
      </c>
      <c r="AC50" s="298">
        <v>588</v>
      </c>
      <c r="AD50" s="299">
        <f>Table1[[#This Row],[Selling EUR]]-Table1[[#This Row],[Cost EUR]]</f>
        <v>140</v>
      </c>
      <c r="AE50" s="321" t="s">
        <v>54</v>
      </c>
      <c r="AF50" s="294">
        <v>46096</v>
      </c>
      <c r="AG50" s="294" t="s">
        <v>2304</v>
      </c>
      <c r="AH50" s="321"/>
      <c r="AI50" s="323"/>
      <c r="AJ50" s="338"/>
      <c r="AK50" s="323"/>
      <c r="AL50" s="338"/>
      <c r="AM50" s="338"/>
      <c r="AN50" s="323"/>
      <c r="AO50" s="282"/>
      <c r="AP50" s="306"/>
      <c r="AQ50" s="282"/>
      <c r="AR50" s="282"/>
      <c r="AS50" s="282"/>
      <c r="AT50" s="281"/>
      <c r="AU50" s="281"/>
      <c r="AV50" s="281"/>
      <c r="AW50" s="281"/>
      <c r="AX50" s="281"/>
      <c r="AY50" s="281"/>
      <c r="AZ50" s="281"/>
    </row>
    <row r="51" spans="1:52" ht="15" customHeight="1" x14ac:dyDescent="0.3">
      <c r="A51" s="294">
        <v>45950</v>
      </c>
      <c r="B51" s="321" t="s">
        <v>47</v>
      </c>
      <c r="C51" s="321" t="s">
        <v>47</v>
      </c>
      <c r="D51" s="294" t="s">
        <v>79</v>
      </c>
      <c r="E51" s="321" t="s">
        <v>83</v>
      </c>
      <c r="F51" s="295">
        <v>14283032</v>
      </c>
      <c r="G51" s="296">
        <v>20303564</v>
      </c>
      <c r="H51" s="280" t="s">
        <v>84</v>
      </c>
      <c r="I51" s="323" t="s">
        <v>85</v>
      </c>
      <c r="J51" s="323" t="s">
        <v>2450</v>
      </c>
      <c r="K51" s="294">
        <v>45971</v>
      </c>
      <c r="L51" s="294">
        <v>45977</v>
      </c>
      <c r="M51" s="284">
        <f>Table1[[#This Row],[Dep Date]]-Table1[[#This Row],[Arr Date]]</f>
        <v>6</v>
      </c>
      <c r="N51" s="323" t="s">
        <v>65</v>
      </c>
      <c r="O51" s="321">
        <v>1</v>
      </c>
      <c r="P51" s="321">
        <v>1</v>
      </c>
      <c r="Q51" s="321"/>
      <c r="R51" s="321">
        <v>2</v>
      </c>
      <c r="S51" s="321" t="s">
        <v>53</v>
      </c>
      <c r="T51" s="326" t="s">
        <v>1668</v>
      </c>
      <c r="U51" s="297" t="s">
        <v>2230</v>
      </c>
      <c r="V51" s="294"/>
      <c r="W51" s="297">
        <v>0</v>
      </c>
      <c r="X51" s="294"/>
      <c r="Y51" s="329">
        <f>277*0.85*6</f>
        <v>1412.6999999999998</v>
      </c>
      <c r="Z51" s="329">
        <v>1905.87</v>
      </c>
      <c r="AA51" s="332">
        <f>Table1[[#This Row],[Selling USD]]-Table1[[#This Row],[Cost USD]]</f>
        <v>493.17000000000007</v>
      </c>
      <c r="AB51" s="335"/>
      <c r="AC51" s="298"/>
      <c r="AD51" s="299">
        <f>Table1[[#This Row],[Selling EUR]]-Table1[[#This Row],[Cost EUR]]</f>
        <v>0</v>
      </c>
      <c r="AE51" s="321" t="s">
        <v>54</v>
      </c>
      <c r="AF51" s="294">
        <v>45956</v>
      </c>
      <c r="AG51" s="294"/>
      <c r="AH51" s="321"/>
      <c r="AI51" s="323"/>
      <c r="AJ51" s="338"/>
      <c r="AK51" s="323"/>
      <c r="AL51" s="338"/>
      <c r="AM51" s="338"/>
      <c r="AN51" s="323"/>
      <c r="AO51" s="282"/>
      <c r="AP51" s="306"/>
      <c r="AQ51" s="282"/>
      <c r="AR51" s="282"/>
      <c r="AS51" s="282"/>
      <c r="AT51" s="281"/>
      <c r="AU51" s="281"/>
      <c r="AV51" s="281"/>
      <c r="AW51" s="281"/>
      <c r="AX51" s="281"/>
      <c r="AY51" s="281"/>
      <c r="AZ51" s="281"/>
    </row>
    <row r="52" spans="1:52" ht="15" customHeight="1" x14ac:dyDescent="0.3">
      <c r="A52" s="294">
        <v>45878</v>
      </c>
      <c r="B52" s="321" t="s">
        <v>47</v>
      </c>
      <c r="C52" s="321" t="s">
        <v>47</v>
      </c>
      <c r="D52" s="294" t="s">
        <v>48</v>
      </c>
      <c r="E52" s="321" t="s">
        <v>49</v>
      </c>
      <c r="F52" s="295">
        <v>16829486</v>
      </c>
      <c r="G52" s="296">
        <v>20303336</v>
      </c>
      <c r="H52" s="280" t="s">
        <v>50</v>
      </c>
      <c r="I52" s="323" t="s">
        <v>93</v>
      </c>
      <c r="J52" s="323" t="s">
        <v>2463</v>
      </c>
      <c r="K52" s="294">
        <v>45945</v>
      </c>
      <c r="L52" s="294">
        <v>45954</v>
      </c>
      <c r="M52" s="284">
        <f>Table1[[#This Row],[Dep Date]]-Table1[[#This Row],[Arr Date]]</f>
        <v>9</v>
      </c>
      <c r="N52" s="323" t="s">
        <v>65</v>
      </c>
      <c r="O52" s="321">
        <v>1</v>
      </c>
      <c r="P52" s="321">
        <v>1</v>
      </c>
      <c r="Q52" s="321"/>
      <c r="R52" s="321"/>
      <c r="S52" s="321" t="s">
        <v>53</v>
      </c>
      <c r="T52" s="326" t="s">
        <v>1669</v>
      </c>
      <c r="U52" s="297"/>
      <c r="V52" s="294"/>
      <c r="W52" s="297">
        <v>0</v>
      </c>
      <c r="X52" s="294"/>
      <c r="Y52" s="329"/>
      <c r="Z52" s="329"/>
      <c r="AA52" s="332">
        <f>Table1[[#This Row],[Selling USD]]-Table1[[#This Row],[Cost USD]]</f>
        <v>0</v>
      </c>
      <c r="AB52" s="335">
        <f>143*9*0.85+45</f>
        <v>1138.95</v>
      </c>
      <c r="AC52" s="298">
        <v>1073.93</v>
      </c>
      <c r="AD52" s="299">
        <f>Table1[[#This Row],[Selling EUR]]-Table1[[#This Row],[Cost EUR]]</f>
        <v>-65.019999999999982</v>
      </c>
      <c r="AE52" s="321" t="s">
        <v>54</v>
      </c>
      <c r="AF52" s="294">
        <v>45931</v>
      </c>
      <c r="AG52" s="294"/>
      <c r="AH52" s="321"/>
      <c r="AI52" s="323"/>
      <c r="AJ52" s="338"/>
      <c r="AK52" s="323"/>
      <c r="AL52" s="338"/>
      <c r="AM52" s="338"/>
      <c r="AN52" s="324" t="s">
        <v>2324</v>
      </c>
      <c r="AO52" s="282"/>
      <c r="AP52" s="306"/>
      <c r="AQ52" s="282"/>
      <c r="AR52" s="282"/>
      <c r="AS52" s="282"/>
      <c r="AT52" s="281"/>
      <c r="AU52" s="281"/>
      <c r="AV52" s="281"/>
      <c r="AW52" s="281"/>
      <c r="AX52" s="281"/>
      <c r="AY52" s="281"/>
      <c r="AZ52" s="281"/>
    </row>
    <row r="53" spans="1:52" ht="15" customHeight="1" x14ac:dyDescent="0.3">
      <c r="A53" s="294">
        <v>45868</v>
      </c>
      <c r="B53" s="321" t="s">
        <v>47</v>
      </c>
      <c r="C53" s="321" t="s">
        <v>47</v>
      </c>
      <c r="D53" s="294" t="s">
        <v>48</v>
      </c>
      <c r="E53" s="321" t="s">
        <v>61</v>
      </c>
      <c r="F53" s="295">
        <v>16797910</v>
      </c>
      <c r="G53" s="296">
        <v>20303338</v>
      </c>
      <c r="H53" s="280" t="s">
        <v>84</v>
      </c>
      <c r="I53" s="323" t="s">
        <v>94</v>
      </c>
      <c r="J53" s="323" t="s">
        <v>2446</v>
      </c>
      <c r="K53" s="294">
        <v>45992</v>
      </c>
      <c r="L53" s="294">
        <v>45996</v>
      </c>
      <c r="M53" s="284">
        <f>Table1[[#This Row],[Dep Date]]-Table1[[#This Row],[Arr Date]]</f>
        <v>4</v>
      </c>
      <c r="N53" s="323" t="s">
        <v>52</v>
      </c>
      <c r="O53" s="321">
        <v>1</v>
      </c>
      <c r="P53" s="321">
        <v>2</v>
      </c>
      <c r="Q53" s="321"/>
      <c r="R53" s="321"/>
      <c r="S53" s="321" t="s">
        <v>53</v>
      </c>
      <c r="T53" s="326" t="s">
        <v>1670</v>
      </c>
      <c r="U53" s="297"/>
      <c r="V53" s="294"/>
      <c r="W53" s="297">
        <v>0</v>
      </c>
      <c r="X53" s="294"/>
      <c r="Y53" s="329"/>
      <c r="Z53" s="329"/>
      <c r="AA53" s="332">
        <f>Table1[[#This Row],[Selling USD]]-Table1[[#This Row],[Cost USD]]</f>
        <v>0</v>
      </c>
      <c r="AB53" s="335">
        <f>71*2*4*0.65</f>
        <v>369.2</v>
      </c>
      <c r="AC53" s="298">
        <v>385.2</v>
      </c>
      <c r="AD53" s="299">
        <f>Table1[[#This Row],[Selling EUR]]-Table1[[#This Row],[Cost EUR]]</f>
        <v>16</v>
      </c>
      <c r="AE53" s="321" t="s">
        <v>54</v>
      </c>
      <c r="AF53" s="294">
        <v>45984</v>
      </c>
      <c r="AG53" s="294" t="s">
        <v>2321</v>
      </c>
      <c r="AH53" s="321"/>
      <c r="AI53" s="323"/>
      <c r="AJ53" s="338"/>
      <c r="AK53" s="323"/>
      <c r="AL53" s="338"/>
      <c r="AM53" s="338"/>
      <c r="AN53" s="323"/>
      <c r="AO53" s="282"/>
      <c r="AP53" s="306"/>
      <c r="AQ53" s="282"/>
      <c r="AR53" s="282"/>
      <c r="AS53" s="282"/>
      <c r="AT53" s="281"/>
      <c r="AU53" s="281"/>
      <c r="AV53" s="281"/>
      <c r="AW53" s="281"/>
      <c r="AX53" s="281"/>
      <c r="AY53" s="281"/>
      <c r="AZ53" s="281"/>
    </row>
    <row r="54" spans="1:52" ht="15" customHeight="1" x14ac:dyDescent="0.3">
      <c r="A54" s="294">
        <v>45868</v>
      </c>
      <c r="B54" s="321" t="s">
        <v>47</v>
      </c>
      <c r="C54" s="321" t="s">
        <v>47</v>
      </c>
      <c r="D54" s="294" t="s">
        <v>48</v>
      </c>
      <c r="E54" s="321" t="s">
        <v>49</v>
      </c>
      <c r="F54" s="295">
        <v>16798050</v>
      </c>
      <c r="G54" s="296">
        <v>20303340</v>
      </c>
      <c r="H54" s="280" t="s">
        <v>50</v>
      </c>
      <c r="I54" s="323" t="s">
        <v>95</v>
      </c>
      <c r="J54" s="323" t="s">
        <v>2442</v>
      </c>
      <c r="K54" s="294">
        <v>46011</v>
      </c>
      <c r="L54" s="294">
        <v>46018</v>
      </c>
      <c r="M54" s="284">
        <f>Table1[[#This Row],[Dep Date]]-Table1[[#This Row],[Arr Date]]</f>
        <v>7</v>
      </c>
      <c r="N54" s="323" t="s">
        <v>65</v>
      </c>
      <c r="O54" s="321">
        <v>1</v>
      </c>
      <c r="P54" s="321">
        <v>1</v>
      </c>
      <c r="Q54" s="321"/>
      <c r="R54" s="321"/>
      <c r="S54" s="321" t="s">
        <v>53</v>
      </c>
      <c r="T54" s="326" t="s">
        <v>1671</v>
      </c>
      <c r="U54" s="297"/>
      <c r="V54" s="294"/>
      <c r="W54" s="297">
        <v>0</v>
      </c>
      <c r="X54" s="294"/>
      <c r="Y54" s="329"/>
      <c r="Z54" s="329"/>
      <c r="AA54" s="332">
        <f>Table1[[#This Row],[Selling USD]]-Table1[[#This Row],[Cost USD]]</f>
        <v>0</v>
      </c>
      <c r="AB54" s="335">
        <f>(102*4*0.75+169.5*3*0.75)+110</f>
        <v>797.375</v>
      </c>
      <c r="AC54" s="298">
        <v>797.38</v>
      </c>
      <c r="AD54" s="299">
        <f>Table1[[#This Row],[Selling EUR]]-Table1[[#This Row],[Cost EUR]]</f>
        <v>4.9999999999954525E-3</v>
      </c>
      <c r="AE54" s="321" t="s">
        <v>54</v>
      </c>
      <c r="AF54" s="294">
        <v>46001</v>
      </c>
      <c r="AG54" s="294"/>
      <c r="AH54" s="321"/>
      <c r="AI54" s="323"/>
      <c r="AJ54" s="338"/>
      <c r="AK54" s="323"/>
      <c r="AL54" s="338"/>
      <c r="AM54" s="338"/>
      <c r="AN54" s="323"/>
      <c r="AO54" s="282"/>
      <c r="AP54" s="306"/>
      <c r="AQ54" s="282"/>
      <c r="AR54" s="282"/>
      <c r="AS54" s="282"/>
      <c r="AT54" s="281"/>
      <c r="AU54" s="281"/>
      <c r="AV54" s="281"/>
      <c r="AW54" s="281"/>
      <c r="AX54" s="281"/>
      <c r="AY54" s="281"/>
      <c r="AZ54" s="281"/>
    </row>
    <row r="55" spans="1:52" ht="15" customHeight="1" x14ac:dyDescent="0.3">
      <c r="A55" s="294">
        <v>45869</v>
      </c>
      <c r="B55" s="321" t="s">
        <v>47</v>
      </c>
      <c r="C55" s="321" t="s">
        <v>47</v>
      </c>
      <c r="D55" s="294" t="s">
        <v>48</v>
      </c>
      <c r="E55" s="321" t="s">
        <v>49</v>
      </c>
      <c r="F55" s="295">
        <v>16803819</v>
      </c>
      <c r="G55" s="296">
        <v>20303344</v>
      </c>
      <c r="H55" s="280" t="s">
        <v>50</v>
      </c>
      <c r="I55" s="323" t="s">
        <v>96</v>
      </c>
      <c r="J55" s="323" t="s">
        <v>2464</v>
      </c>
      <c r="K55" s="294">
        <v>46029</v>
      </c>
      <c r="L55" s="294">
        <v>46041</v>
      </c>
      <c r="M55" s="284">
        <f>Table1[[#This Row],[Dep Date]]-Table1[[#This Row],[Arr Date]]</f>
        <v>12</v>
      </c>
      <c r="N55" s="323" t="s">
        <v>65</v>
      </c>
      <c r="O55" s="321">
        <v>1</v>
      </c>
      <c r="P55" s="321">
        <v>1</v>
      </c>
      <c r="Q55" s="321"/>
      <c r="R55" s="321"/>
      <c r="S55" s="321" t="s">
        <v>53</v>
      </c>
      <c r="T55" s="326" t="s">
        <v>1672</v>
      </c>
      <c r="U55" s="297"/>
      <c r="V55" s="294"/>
      <c r="W55" s="297">
        <v>0</v>
      </c>
      <c r="X55" s="294"/>
      <c r="Y55" s="329"/>
      <c r="Z55" s="329"/>
      <c r="AA55" s="332">
        <f>Table1[[#This Row],[Selling USD]]-Table1[[#This Row],[Cost USD]]</f>
        <v>0</v>
      </c>
      <c r="AB55" s="335">
        <f>110.5*12*0.75</f>
        <v>994.5</v>
      </c>
      <c r="AC55" s="298">
        <v>585</v>
      </c>
      <c r="AD55" s="299">
        <f>Table1[[#This Row],[Selling EUR]]-Table1[[#This Row],[Cost EUR]]</f>
        <v>-409.5</v>
      </c>
      <c r="AE55" s="321" t="s">
        <v>54</v>
      </c>
      <c r="AF55" s="294">
        <v>46019</v>
      </c>
      <c r="AG55" s="294" t="s">
        <v>2325</v>
      </c>
      <c r="AH55" s="321"/>
      <c r="AI55" s="323"/>
      <c r="AJ55" s="338"/>
      <c r="AK55" s="323"/>
      <c r="AL55" s="338"/>
      <c r="AM55" s="338"/>
      <c r="AN55" s="323" t="s">
        <v>2326</v>
      </c>
      <c r="AO55" s="282"/>
      <c r="AP55" s="306"/>
      <c r="AQ55" s="282"/>
      <c r="AR55" s="282"/>
      <c r="AS55" s="282"/>
      <c r="AT55" s="281"/>
      <c r="AU55" s="281"/>
      <c r="AV55" s="281"/>
      <c r="AW55" s="281"/>
      <c r="AX55" s="281"/>
      <c r="AY55" s="281"/>
      <c r="AZ55" s="281"/>
    </row>
    <row r="56" spans="1:52" ht="15" customHeight="1" x14ac:dyDescent="0.3">
      <c r="A56" s="294">
        <v>45870</v>
      </c>
      <c r="B56" s="321" t="s">
        <v>73</v>
      </c>
      <c r="C56" s="321" t="s">
        <v>73</v>
      </c>
      <c r="D56" s="294" t="s">
        <v>48</v>
      </c>
      <c r="E56" s="321" t="s">
        <v>49</v>
      </c>
      <c r="F56" s="295">
        <v>16806564</v>
      </c>
      <c r="G56" s="296">
        <v>20303349</v>
      </c>
      <c r="H56" s="280"/>
      <c r="I56" s="323" t="s">
        <v>87</v>
      </c>
      <c r="J56" s="323" t="s">
        <v>2465</v>
      </c>
      <c r="K56" s="294">
        <v>45990</v>
      </c>
      <c r="L56" s="294">
        <v>45991</v>
      </c>
      <c r="M56" s="284">
        <f>Table1[[#This Row],[Dep Date]]-Table1[[#This Row],[Arr Date]]</f>
        <v>1</v>
      </c>
      <c r="N56" s="323" t="s">
        <v>52</v>
      </c>
      <c r="O56" s="321">
        <v>1</v>
      </c>
      <c r="P56" s="321">
        <v>2</v>
      </c>
      <c r="Q56" s="321"/>
      <c r="R56" s="321"/>
      <c r="S56" s="321" t="s">
        <v>53</v>
      </c>
      <c r="T56" s="326" t="s">
        <v>1673</v>
      </c>
      <c r="U56" s="297"/>
      <c r="V56" s="294"/>
      <c r="W56" s="297">
        <v>0</v>
      </c>
      <c r="X56" s="294"/>
      <c r="Y56" s="329"/>
      <c r="Z56" s="329"/>
      <c r="AA56" s="332">
        <f>Table1[[#This Row],[Selling USD]]-Table1[[#This Row],[Cost USD]]</f>
        <v>0</v>
      </c>
      <c r="AB56" s="335"/>
      <c r="AC56" s="298"/>
      <c r="AD56" s="299">
        <f>Table1[[#This Row],[Selling EUR]]-Table1[[#This Row],[Cost EUR]]</f>
        <v>0</v>
      </c>
      <c r="AE56" s="321"/>
      <c r="AF56" s="294"/>
      <c r="AG56" s="294" t="s">
        <v>2317</v>
      </c>
      <c r="AH56" s="321"/>
      <c r="AI56" s="323"/>
      <c r="AJ56" s="338"/>
      <c r="AK56" s="323"/>
      <c r="AL56" s="338"/>
      <c r="AM56" s="338"/>
      <c r="AN56" s="323"/>
      <c r="AO56" s="282"/>
      <c r="AP56" s="306"/>
      <c r="AQ56" s="282"/>
      <c r="AR56" s="282"/>
      <c r="AS56" s="282"/>
      <c r="AT56" s="281"/>
      <c r="AU56" s="281"/>
      <c r="AV56" s="281"/>
      <c r="AW56" s="281"/>
      <c r="AX56" s="281"/>
      <c r="AY56" s="281"/>
      <c r="AZ56" s="281"/>
    </row>
    <row r="57" spans="1:52" ht="15" customHeight="1" x14ac:dyDescent="0.3">
      <c r="A57" s="294">
        <v>45872</v>
      </c>
      <c r="B57" s="321" t="s">
        <v>47</v>
      </c>
      <c r="C57" s="321" t="s">
        <v>47</v>
      </c>
      <c r="D57" s="294" t="s">
        <v>48</v>
      </c>
      <c r="E57" s="321" t="s">
        <v>49</v>
      </c>
      <c r="F57" s="295">
        <v>16811703</v>
      </c>
      <c r="G57" s="296"/>
      <c r="H57" s="280" t="s">
        <v>58</v>
      </c>
      <c r="I57" s="323" t="s">
        <v>62</v>
      </c>
      <c r="J57" s="323" t="s">
        <v>72</v>
      </c>
      <c r="K57" s="294">
        <v>45961</v>
      </c>
      <c r="L57" s="294">
        <v>45973</v>
      </c>
      <c r="M57" s="284">
        <f>Table1[[#This Row],[Dep Date]]-Table1[[#This Row],[Arr Date]]</f>
        <v>12</v>
      </c>
      <c r="N57" s="323" t="s">
        <v>52</v>
      </c>
      <c r="O57" s="321">
        <v>1</v>
      </c>
      <c r="P57" s="321">
        <v>2</v>
      </c>
      <c r="Q57" s="321"/>
      <c r="R57" s="321"/>
      <c r="S57" s="321" t="s">
        <v>53</v>
      </c>
      <c r="T57" s="327" t="s">
        <v>1674</v>
      </c>
      <c r="U57" s="297"/>
      <c r="V57" s="294"/>
      <c r="W57" s="297">
        <v>0</v>
      </c>
      <c r="X57" s="294"/>
      <c r="Y57" s="329"/>
      <c r="Z57" s="329"/>
      <c r="AA57" s="332">
        <f>Table1[[#This Row],[Selling USD]]-Table1[[#This Row],[Cost USD]]</f>
        <v>0</v>
      </c>
      <c r="AB57" s="335">
        <f>(68*2)+(70*2*11*0.9)</f>
        <v>1522</v>
      </c>
      <c r="AC57" s="298">
        <v>1678</v>
      </c>
      <c r="AD57" s="299">
        <f>Table1[[#This Row],[Selling EUR]]-Table1[[#This Row],[Cost EUR]]</f>
        <v>156</v>
      </c>
      <c r="AE57" s="321" t="s">
        <v>54</v>
      </c>
      <c r="AF57" s="294">
        <v>45951</v>
      </c>
      <c r="AG57" s="294"/>
      <c r="AH57" s="321"/>
      <c r="AI57" s="323"/>
      <c r="AJ57" s="338"/>
      <c r="AK57" s="323"/>
      <c r="AL57" s="338"/>
      <c r="AM57" s="338"/>
      <c r="AN57" s="323"/>
      <c r="AO57" s="282"/>
      <c r="AP57" s="306"/>
      <c r="AQ57" s="282"/>
      <c r="AR57" s="282"/>
      <c r="AS57" s="282"/>
      <c r="AT57" s="281"/>
      <c r="AU57" s="281"/>
      <c r="AV57" s="281"/>
      <c r="AW57" s="281"/>
      <c r="AX57" s="281"/>
      <c r="AY57" s="281"/>
      <c r="AZ57" s="281"/>
    </row>
    <row r="58" spans="1:52" ht="15" customHeight="1" x14ac:dyDescent="0.3">
      <c r="A58" s="294">
        <v>45872</v>
      </c>
      <c r="B58" s="321" t="s">
        <v>47</v>
      </c>
      <c r="C58" s="321" t="s">
        <v>47</v>
      </c>
      <c r="D58" s="294" t="s">
        <v>48</v>
      </c>
      <c r="E58" s="321" t="s">
        <v>61</v>
      </c>
      <c r="F58" s="295">
        <v>16812373</v>
      </c>
      <c r="G58" s="296"/>
      <c r="H58" s="280" t="s">
        <v>84</v>
      </c>
      <c r="I58" s="323" t="s">
        <v>97</v>
      </c>
      <c r="J58" s="323" t="s">
        <v>2433</v>
      </c>
      <c r="K58" s="294">
        <v>46067</v>
      </c>
      <c r="L58" s="294">
        <v>46074</v>
      </c>
      <c r="M58" s="284">
        <f>Table1[[#This Row],[Dep Date]]-Table1[[#This Row],[Arr Date]]</f>
        <v>7</v>
      </c>
      <c r="N58" s="323" t="s">
        <v>65</v>
      </c>
      <c r="O58" s="321">
        <v>1</v>
      </c>
      <c r="P58" s="321">
        <v>1</v>
      </c>
      <c r="Q58" s="321">
        <v>1</v>
      </c>
      <c r="R58" s="321"/>
      <c r="S58" s="321" t="s">
        <v>53</v>
      </c>
      <c r="T58" s="326" t="s">
        <v>1675</v>
      </c>
      <c r="U58" s="297" t="s">
        <v>2227</v>
      </c>
      <c r="V58" s="294"/>
      <c r="W58" s="297">
        <v>0</v>
      </c>
      <c r="X58" s="294"/>
      <c r="Y58" s="329"/>
      <c r="Z58" s="329"/>
      <c r="AA58" s="332">
        <f>Table1[[#This Row],[Selling USD]]-Table1[[#This Row],[Cost USD]]</f>
        <v>0</v>
      </c>
      <c r="AB58" s="335">
        <f>138*7*0.7+45</f>
        <v>721.19999999999993</v>
      </c>
      <c r="AC58" s="298">
        <v>446.1</v>
      </c>
      <c r="AD58" s="299">
        <f>Table1[[#This Row],[Selling EUR]]-Table1[[#This Row],[Cost EUR]]</f>
        <v>-275.09999999999991</v>
      </c>
      <c r="AE58" s="321" t="s">
        <v>54</v>
      </c>
      <c r="AF58" s="294">
        <v>46061</v>
      </c>
      <c r="AG58" s="294" t="s">
        <v>2321</v>
      </c>
      <c r="AH58" s="321"/>
      <c r="AI58" s="323"/>
      <c r="AJ58" s="338"/>
      <c r="AK58" s="323"/>
      <c r="AL58" s="338"/>
      <c r="AM58" s="338"/>
      <c r="AN58" s="323" t="s">
        <v>2327</v>
      </c>
      <c r="AO58" s="282"/>
      <c r="AP58" s="306"/>
      <c r="AQ58" s="282"/>
      <c r="AR58" s="282"/>
      <c r="AS58" s="282"/>
      <c r="AT58" s="281"/>
      <c r="AU58" s="281"/>
      <c r="AV58" s="281"/>
      <c r="AW58" s="281"/>
      <c r="AX58" s="281"/>
      <c r="AY58" s="281"/>
      <c r="AZ58" s="281"/>
    </row>
    <row r="59" spans="1:52" ht="15" customHeight="1" x14ac:dyDescent="0.3">
      <c r="A59" s="294">
        <v>45873</v>
      </c>
      <c r="B59" s="321" t="s">
        <v>47</v>
      </c>
      <c r="C59" s="321" t="s">
        <v>47</v>
      </c>
      <c r="D59" s="294" t="s">
        <v>79</v>
      </c>
      <c r="E59" s="321" t="s">
        <v>49</v>
      </c>
      <c r="F59" s="295">
        <v>13121391</v>
      </c>
      <c r="G59" s="296">
        <v>20243032</v>
      </c>
      <c r="H59" s="280" t="s">
        <v>50</v>
      </c>
      <c r="I59" s="323" t="s">
        <v>57</v>
      </c>
      <c r="J59" s="323" t="s">
        <v>98</v>
      </c>
      <c r="K59" s="294">
        <v>45943</v>
      </c>
      <c r="L59" s="294">
        <v>45948</v>
      </c>
      <c r="M59" s="284">
        <f>Table1[[#This Row],[Dep Date]]-Table1[[#This Row],[Arr Date]]</f>
        <v>5</v>
      </c>
      <c r="N59" s="323" t="s">
        <v>52</v>
      </c>
      <c r="O59" s="321">
        <v>1</v>
      </c>
      <c r="P59" s="321">
        <v>2</v>
      </c>
      <c r="Q59" s="321">
        <v>2</v>
      </c>
      <c r="R59" s="321"/>
      <c r="S59" s="321" t="s">
        <v>53</v>
      </c>
      <c r="T59" s="327" t="s">
        <v>1676</v>
      </c>
      <c r="U59" s="297" t="s">
        <v>2231</v>
      </c>
      <c r="V59" s="294"/>
      <c r="W59" s="297">
        <v>0</v>
      </c>
      <c r="X59" s="294"/>
      <c r="Y59" s="329"/>
      <c r="Z59" s="329"/>
      <c r="AA59" s="332">
        <f>Table1[[#This Row],[Selling USD]]-Table1[[#This Row],[Cost USD]]</f>
        <v>0</v>
      </c>
      <c r="AB59" s="335">
        <f>82*2*5</f>
        <v>820</v>
      </c>
      <c r="AC59" s="298">
        <v>808</v>
      </c>
      <c r="AD59" s="299">
        <f>Table1[[#This Row],[Selling EUR]]-Table1[[#This Row],[Cost EUR]]</f>
        <v>-12</v>
      </c>
      <c r="AE59" s="321" t="s">
        <v>54</v>
      </c>
      <c r="AF59" s="294">
        <v>45935</v>
      </c>
      <c r="AG59" s="294"/>
      <c r="AH59" s="321"/>
      <c r="AI59" s="323"/>
      <c r="AJ59" s="338"/>
      <c r="AK59" s="323"/>
      <c r="AL59" s="338"/>
      <c r="AM59" s="338"/>
      <c r="AN59" s="323" t="s">
        <v>2328</v>
      </c>
      <c r="AO59" s="282"/>
      <c r="AP59" s="306"/>
      <c r="AQ59" s="282"/>
      <c r="AR59" s="282"/>
      <c r="AS59" s="282"/>
      <c r="AT59" s="281"/>
      <c r="AU59" s="281"/>
      <c r="AV59" s="281"/>
      <c r="AW59" s="281"/>
      <c r="AX59" s="281"/>
      <c r="AY59" s="281"/>
      <c r="AZ59" s="281"/>
    </row>
    <row r="60" spans="1:52" ht="15" customHeight="1" x14ac:dyDescent="0.3">
      <c r="A60" s="294">
        <v>45873</v>
      </c>
      <c r="B60" s="321" t="s">
        <v>47</v>
      </c>
      <c r="C60" s="321" t="s">
        <v>47</v>
      </c>
      <c r="D60" s="294" t="s">
        <v>48</v>
      </c>
      <c r="E60" s="321" t="s">
        <v>49</v>
      </c>
      <c r="F60" s="295">
        <v>16814150</v>
      </c>
      <c r="G60" s="296"/>
      <c r="H60" s="280" t="s">
        <v>50</v>
      </c>
      <c r="I60" s="323" t="s">
        <v>90</v>
      </c>
      <c r="J60" s="323" t="s">
        <v>2466</v>
      </c>
      <c r="K60" s="294">
        <v>45956</v>
      </c>
      <c r="L60" s="294">
        <v>45963</v>
      </c>
      <c r="M60" s="284">
        <f>Table1[[#This Row],[Dep Date]]-Table1[[#This Row],[Arr Date]]</f>
        <v>7</v>
      </c>
      <c r="N60" s="323" t="s">
        <v>70</v>
      </c>
      <c r="O60" s="321">
        <v>1</v>
      </c>
      <c r="P60" s="321">
        <v>3</v>
      </c>
      <c r="Q60" s="321"/>
      <c r="R60" s="321"/>
      <c r="S60" s="321" t="s">
        <v>53</v>
      </c>
      <c r="T60" s="327" t="s">
        <v>1677</v>
      </c>
      <c r="U60" s="297"/>
      <c r="V60" s="294"/>
      <c r="W60" s="297">
        <v>0</v>
      </c>
      <c r="X60" s="294"/>
      <c r="Y60" s="329"/>
      <c r="Z60" s="329"/>
      <c r="AA60" s="332">
        <f>Table1[[#This Row],[Selling USD]]-Table1[[#This Row],[Cost USD]]</f>
        <v>0</v>
      </c>
      <c r="AB60" s="335">
        <f>47*3*6+42*3</f>
        <v>972</v>
      </c>
      <c r="AC60" s="298">
        <v>1017</v>
      </c>
      <c r="AD60" s="299">
        <f>Table1[[#This Row],[Selling EUR]]-Table1[[#This Row],[Cost EUR]]</f>
        <v>45</v>
      </c>
      <c r="AE60" s="321" t="s">
        <v>54</v>
      </c>
      <c r="AF60" s="294">
        <v>45949</v>
      </c>
      <c r="AG60" s="294"/>
      <c r="AH60" s="321"/>
      <c r="AI60" s="323"/>
      <c r="AJ60" s="338"/>
      <c r="AK60" s="323"/>
      <c r="AL60" s="338"/>
      <c r="AM60" s="338"/>
      <c r="AN60" s="323"/>
      <c r="AO60" s="282"/>
      <c r="AP60" s="306"/>
      <c r="AQ60" s="282"/>
      <c r="AR60" s="282"/>
      <c r="AS60" s="282"/>
      <c r="AT60" s="281"/>
      <c r="AU60" s="281"/>
      <c r="AV60" s="281"/>
      <c r="AW60" s="281"/>
      <c r="AX60" s="281"/>
      <c r="AY60" s="281"/>
      <c r="AZ60" s="281"/>
    </row>
    <row r="61" spans="1:52" ht="15" customHeight="1" x14ac:dyDescent="0.3">
      <c r="A61" s="294">
        <v>45873</v>
      </c>
      <c r="B61" s="321" t="s">
        <v>47</v>
      </c>
      <c r="C61" s="321" t="s">
        <v>47</v>
      </c>
      <c r="D61" s="294" t="s">
        <v>48</v>
      </c>
      <c r="E61" s="321" t="s">
        <v>49</v>
      </c>
      <c r="F61" s="295">
        <v>16813642</v>
      </c>
      <c r="G61" s="296"/>
      <c r="H61" s="280" t="s">
        <v>58</v>
      </c>
      <c r="I61" s="323" t="s">
        <v>62</v>
      </c>
      <c r="J61" s="323" t="s">
        <v>63</v>
      </c>
      <c r="K61" s="294">
        <v>45970</v>
      </c>
      <c r="L61" s="294">
        <v>45977</v>
      </c>
      <c r="M61" s="284">
        <f>Table1[[#This Row],[Dep Date]]-Table1[[#This Row],[Arr Date]]</f>
        <v>7</v>
      </c>
      <c r="N61" s="323" t="s">
        <v>65</v>
      </c>
      <c r="O61" s="321">
        <v>1</v>
      </c>
      <c r="P61" s="321">
        <v>1</v>
      </c>
      <c r="Q61" s="321"/>
      <c r="R61" s="321"/>
      <c r="S61" s="321" t="s">
        <v>53</v>
      </c>
      <c r="T61" s="326" t="s">
        <v>1678</v>
      </c>
      <c r="U61" s="297"/>
      <c r="V61" s="294"/>
      <c r="W61" s="297">
        <v>0</v>
      </c>
      <c r="X61" s="294"/>
      <c r="Y61" s="329"/>
      <c r="Z61" s="329"/>
      <c r="AA61" s="332">
        <f>Table1[[#This Row],[Selling USD]]-Table1[[#This Row],[Cost USD]]</f>
        <v>0</v>
      </c>
      <c r="AB61" s="335">
        <f>90*7*0.9</f>
        <v>567</v>
      </c>
      <c r="AC61" s="298">
        <v>581</v>
      </c>
      <c r="AD61" s="299">
        <f>Table1[[#This Row],[Selling EUR]]-Table1[[#This Row],[Cost EUR]]</f>
        <v>14</v>
      </c>
      <c r="AE61" s="321" t="s">
        <v>54</v>
      </c>
      <c r="AF61" s="294">
        <v>45974</v>
      </c>
      <c r="AG61" s="294"/>
      <c r="AH61" s="321"/>
      <c r="AI61" s="323"/>
      <c r="AJ61" s="338"/>
      <c r="AK61" s="323"/>
      <c r="AL61" s="338"/>
      <c r="AM61" s="338"/>
      <c r="AN61" s="323"/>
      <c r="AO61" s="282"/>
      <c r="AP61" s="306"/>
      <c r="AQ61" s="282"/>
      <c r="AR61" s="282"/>
      <c r="AS61" s="282"/>
      <c r="AT61" s="281"/>
      <c r="AU61" s="281"/>
      <c r="AV61" s="281"/>
      <c r="AW61" s="281"/>
      <c r="AX61" s="281"/>
      <c r="AY61" s="281"/>
      <c r="AZ61" s="281"/>
    </row>
    <row r="62" spans="1:52" ht="15" customHeight="1" x14ac:dyDescent="0.3">
      <c r="A62" s="294">
        <v>45874</v>
      </c>
      <c r="B62" s="321" t="s">
        <v>47</v>
      </c>
      <c r="C62" s="321" t="s">
        <v>47</v>
      </c>
      <c r="D62" s="294" t="s">
        <v>79</v>
      </c>
      <c r="E62" s="321" t="s">
        <v>61</v>
      </c>
      <c r="F62" s="295">
        <v>13129082</v>
      </c>
      <c r="G62" s="296">
        <v>20243035</v>
      </c>
      <c r="H62" s="280" t="s">
        <v>50</v>
      </c>
      <c r="I62" s="323" t="s">
        <v>55</v>
      </c>
      <c r="J62" s="323" t="s">
        <v>99</v>
      </c>
      <c r="K62" s="294">
        <v>45975</v>
      </c>
      <c r="L62" s="294">
        <v>45982</v>
      </c>
      <c r="M62" s="284">
        <f>Table1[[#This Row],[Dep Date]]-Table1[[#This Row],[Arr Date]]</f>
        <v>7</v>
      </c>
      <c r="N62" s="323" t="s">
        <v>65</v>
      </c>
      <c r="O62" s="321">
        <v>1</v>
      </c>
      <c r="P62" s="321">
        <v>1</v>
      </c>
      <c r="Q62" s="321">
        <v>1</v>
      </c>
      <c r="R62" s="321"/>
      <c r="S62" s="321" t="s">
        <v>53</v>
      </c>
      <c r="T62" s="327" t="s">
        <v>1679</v>
      </c>
      <c r="U62" s="297">
        <v>5</v>
      </c>
      <c r="V62" s="294"/>
      <c r="W62" s="297">
        <v>0</v>
      </c>
      <c r="X62" s="294"/>
      <c r="Y62" s="329">
        <f>79*7*0.8</f>
        <v>442.40000000000003</v>
      </c>
      <c r="Z62" s="329">
        <v>446.82</v>
      </c>
      <c r="AA62" s="332">
        <f>Table1[[#This Row],[Selling USD]]-Table1[[#This Row],[Cost USD]]</f>
        <v>4.4199999999999591</v>
      </c>
      <c r="AB62" s="335"/>
      <c r="AC62" s="298"/>
      <c r="AD62" s="299">
        <f>Table1[[#This Row],[Selling EUR]]-Table1[[#This Row],[Cost EUR]]</f>
        <v>0</v>
      </c>
      <c r="AE62" s="321" t="s">
        <v>54</v>
      </c>
      <c r="AF62" s="294">
        <v>45967</v>
      </c>
      <c r="AG62" s="294"/>
      <c r="AH62" s="321"/>
      <c r="AI62" s="323"/>
      <c r="AJ62" s="338"/>
      <c r="AK62" s="323"/>
      <c r="AL62" s="338"/>
      <c r="AM62" s="338"/>
      <c r="AN62" s="323"/>
      <c r="AO62" s="282"/>
      <c r="AP62" s="306"/>
      <c r="AQ62" s="282"/>
      <c r="AR62" s="282"/>
      <c r="AS62" s="282"/>
      <c r="AT62" s="281"/>
      <c r="AU62" s="281"/>
      <c r="AV62" s="281"/>
      <c r="AW62" s="281"/>
      <c r="AX62" s="281"/>
      <c r="AY62" s="281"/>
      <c r="AZ62" s="281"/>
    </row>
    <row r="63" spans="1:52" ht="15" customHeight="1" x14ac:dyDescent="0.3">
      <c r="A63" s="294">
        <v>45874</v>
      </c>
      <c r="B63" s="321" t="s">
        <v>47</v>
      </c>
      <c r="C63" s="321" t="s">
        <v>47</v>
      </c>
      <c r="D63" s="294" t="s">
        <v>48</v>
      </c>
      <c r="E63" s="321" t="s">
        <v>61</v>
      </c>
      <c r="F63" s="295">
        <v>16815812</v>
      </c>
      <c r="G63" s="296">
        <v>20303362</v>
      </c>
      <c r="H63" s="280" t="s">
        <v>84</v>
      </c>
      <c r="I63" s="323" t="s">
        <v>91</v>
      </c>
      <c r="J63" s="324" t="s">
        <v>2467</v>
      </c>
      <c r="K63" s="294">
        <v>46006</v>
      </c>
      <c r="L63" s="294">
        <v>46012</v>
      </c>
      <c r="M63" s="284">
        <f>Table1[[#This Row],[Dep Date]]-Table1[[#This Row],[Arr Date]]</f>
        <v>6</v>
      </c>
      <c r="N63" s="323" t="s">
        <v>1616</v>
      </c>
      <c r="O63" s="321">
        <v>2</v>
      </c>
      <c r="P63" s="321">
        <v>3</v>
      </c>
      <c r="Q63" s="321"/>
      <c r="R63" s="321"/>
      <c r="S63" s="321" t="s">
        <v>53</v>
      </c>
      <c r="T63" s="327" t="s">
        <v>1680</v>
      </c>
      <c r="U63" s="297"/>
      <c r="V63" s="294"/>
      <c r="W63" s="297">
        <v>0</v>
      </c>
      <c r="X63" s="294"/>
      <c r="Y63" s="329"/>
      <c r="Z63" s="329"/>
      <c r="AA63" s="332">
        <f>Table1[[#This Row],[Selling USD]]-Table1[[#This Row],[Cost USD]]</f>
        <v>0</v>
      </c>
      <c r="AB63" s="335">
        <f>76*2*6*0.65+147*2*0.65</f>
        <v>783.90000000000009</v>
      </c>
      <c r="AC63" s="298">
        <v>1205.3800000000001</v>
      </c>
      <c r="AD63" s="299">
        <f>Table1[[#This Row],[Selling EUR]]-Table1[[#This Row],[Cost EUR]]</f>
        <v>421.48</v>
      </c>
      <c r="AE63" s="321" t="s">
        <v>54</v>
      </c>
      <c r="AF63" s="294">
        <v>45998</v>
      </c>
      <c r="AG63" s="294" t="s">
        <v>2321</v>
      </c>
      <c r="AH63" s="321"/>
      <c r="AI63" s="323"/>
      <c r="AJ63" s="338"/>
      <c r="AK63" s="323"/>
      <c r="AL63" s="338"/>
      <c r="AM63" s="338"/>
      <c r="AN63" s="323"/>
      <c r="AO63" s="282"/>
      <c r="AP63" s="306"/>
      <c r="AQ63" s="282"/>
      <c r="AR63" s="282"/>
      <c r="AS63" s="282"/>
      <c r="AT63" s="281"/>
      <c r="AU63" s="281"/>
      <c r="AV63" s="281"/>
      <c r="AW63" s="281"/>
      <c r="AX63" s="281"/>
      <c r="AY63" s="281"/>
      <c r="AZ63" s="281"/>
    </row>
    <row r="64" spans="1:52" ht="15" customHeight="1" x14ac:dyDescent="0.3">
      <c r="A64" s="294">
        <v>45875</v>
      </c>
      <c r="B64" s="321" t="s">
        <v>47</v>
      </c>
      <c r="C64" s="321" t="s">
        <v>47</v>
      </c>
      <c r="D64" s="294" t="s">
        <v>79</v>
      </c>
      <c r="E64" s="321" t="s">
        <v>61</v>
      </c>
      <c r="F64" s="295">
        <v>13144803</v>
      </c>
      <c r="G64" s="296">
        <v>20243036</v>
      </c>
      <c r="H64" s="280" t="s">
        <v>50</v>
      </c>
      <c r="I64" s="323" t="s">
        <v>101</v>
      </c>
      <c r="J64" s="323" t="s">
        <v>1522</v>
      </c>
      <c r="K64" s="294">
        <v>45959</v>
      </c>
      <c r="L64" s="294">
        <v>45967</v>
      </c>
      <c r="M64" s="284">
        <f>Table1[[#This Row],[Dep Date]]-Table1[[#This Row],[Arr Date]]</f>
        <v>8</v>
      </c>
      <c r="N64" s="323" t="s">
        <v>52</v>
      </c>
      <c r="O64" s="321">
        <v>1</v>
      </c>
      <c r="P64" s="321">
        <v>2</v>
      </c>
      <c r="Q64" s="321">
        <v>2</v>
      </c>
      <c r="R64" s="321"/>
      <c r="S64" s="321" t="s">
        <v>53</v>
      </c>
      <c r="T64" s="326" t="s">
        <v>1681</v>
      </c>
      <c r="U64" s="297" t="s">
        <v>2232</v>
      </c>
      <c r="V64" s="294"/>
      <c r="W64" s="297">
        <v>0</v>
      </c>
      <c r="X64" s="294"/>
      <c r="Y64" s="329">
        <f>(43*2*3)+(42*2*5)</f>
        <v>678</v>
      </c>
      <c r="Z64" s="329">
        <v>694</v>
      </c>
      <c r="AA64" s="332">
        <f>Table1[[#This Row],[Selling USD]]-Table1[[#This Row],[Cost USD]]</f>
        <v>16</v>
      </c>
      <c r="AB64" s="335"/>
      <c r="AC64" s="298"/>
      <c r="AD64" s="299">
        <f>Table1[[#This Row],[Selling EUR]]-Table1[[#This Row],[Cost EUR]]</f>
        <v>0</v>
      </c>
      <c r="AE64" s="321" t="s">
        <v>54</v>
      </c>
      <c r="AF64" s="294">
        <v>45953</v>
      </c>
      <c r="AG64" s="294"/>
      <c r="AH64" s="321"/>
      <c r="AI64" s="323"/>
      <c r="AJ64" s="338"/>
      <c r="AK64" s="323"/>
      <c r="AL64" s="338"/>
      <c r="AM64" s="338"/>
      <c r="AN64" s="323" t="s">
        <v>2329</v>
      </c>
      <c r="AO64" s="282"/>
      <c r="AP64" s="306"/>
      <c r="AQ64" s="282"/>
      <c r="AR64" s="282"/>
      <c r="AS64" s="282"/>
      <c r="AT64" s="281"/>
      <c r="AU64" s="281"/>
      <c r="AV64" s="281"/>
      <c r="AW64" s="281"/>
      <c r="AX64" s="281"/>
      <c r="AY64" s="281"/>
      <c r="AZ64" s="281"/>
    </row>
    <row r="65" spans="1:52" ht="15" customHeight="1" x14ac:dyDescent="0.3">
      <c r="A65" s="294">
        <v>45875</v>
      </c>
      <c r="B65" s="321" t="s">
        <v>47</v>
      </c>
      <c r="C65" s="321" t="s">
        <v>47</v>
      </c>
      <c r="D65" s="294" t="s">
        <v>48</v>
      </c>
      <c r="E65" s="321" t="s">
        <v>49</v>
      </c>
      <c r="F65" s="295">
        <v>16820383</v>
      </c>
      <c r="G65" s="296"/>
      <c r="H65" s="280" t="s">
        <v>50</v>
      </c>
      <c r="I65" s="323" t="s">
        <v>93</v>
      </c>
      <c r="J65" s="323" t="s">
        <v>2468</v>
      </c>
      <c r="K65" s="294">
        <v>45972</v>
      </c>
      <c r="L65" s="294">
        <v>45981</v>
      </c>
      <c r="M65" s="284">
        <f>Table1[[#This Row],[Dep Date]]-Table1[[#This Row],[Arr Date]]</f>
        <v>9</v>
      </c>
      <c r="N65" s="323" t="s">
        <v>52</v>
      </c>
      <c r="O65" s="321">
        <v>1</v>
      </c>
      <c r="P65" s="321">
        <v>2</v>
      </c>
      <c r="Q65" s="321"/>
      <c r="R65" s="321"/>
      <c r="S65" s="321" t="s">
        <v>53</v>
      </c>
      <c r="T65" s="326" t="s">
        <v>1682</v>
      </c>
      <c r="U65" s="297"/>
      <c r="V65" s="294"/>
      <c r="W65" s="297">
        <v>0</v>
      </c>
      <c r="X65" s="294"/>
      <c r="Y65" s="329"/>
      <c r="Z65" s="329"/>
      <c r="AA65" s="332">
        <f>Table1[[#This Row],[Selling USD]]-Table1[[#This Row],[Cost USD]]</f>
        <v>0</v>
      </c>
      <c r="AB65" s="335">
        <f>75*2*9*0.75+100</f>
        <v>1112.5</v>
      </c>
      <c r="AC65" s="298">
        <v>1112.5</v>
      </c>
      <c r="AD65" s="299">
        <f>Table1[[#This Row],[Selling EUR]]-Table1[[#This Row],[Cost EUR]]</f>
        <v>0</v>
      </c>
      <c r="AE65" s="321" t="s">
        <v>54</v>
      </c>
      <c r="AF65" s="294">
        <v>45963</v>
      </c>
      <c r="AG65" s="294" t="s">
        <v>2330</v>
      </c>
      <c r="AH65" s="321"/>
      <c r="AI65" s="323"/>
      <c r="AJ65" s="338"/>
      <c r="AK65" s="323"/>
      <c r="AL65" s="338"/>
      <c r="AM65" s="338"/>
      <c r="AN65" s="323" t="s">
        <v>2331</v>
      </c>
      <c r="AO65" s="282"/>
      <c r="AP65" s="306"/>
      <c r="AQ65" s="282"/>
      <c r="AR65" s="282"/>
      <c r="AS65" s="282"/>
      <c r="AT65" s="281"/>
      <c r="AU65" s="281"/>
      <c r="AV65" s="281"/>
      <c r="AW65" s="281"/>
      <c r="AX65" s="281"/>
      <c r="AY65" s="281"/>
      <c r="AZ65" s="281"/>
    </row>
    <row r="66" spans="1:52" ht="15" customHeight="1" x14ac:dyDescent="0.3">
      <c r="A66" s="294">
        <v>45875</v>
      </c>
      <c r="B66" s="321" t="s">
        <v>73</v>
      </c>
      <c r="C66" s="321" t="s">
        <v>73</v>
      </c>
      <c r="D66" s="294" t="s">
        <v>79</v>
      </c>
      <c r="E66" s="321" t="s">
        <v>83</v>
      </c>
      <c r="F66" s="295">
        <v>13146081</v>
      </c>
      <c r="G66" s="296">
        <v>20243037</v>
      </c>
      <c r="H66" s="280" t="s">
        <v>50</v>
      </c>
      <c r="I66" s="323" t="s">
        <v>102</v>
      </c>
      <c r="J66" s="323" t="s">
        <v>2469</v>
      </c>
      <c r="K66" s="294">
        <v>46100</v>
      </c>
      <c r="L66" s="294">
        <v>46104</v>
      </c>
      <c r="M66" s="284">
        <f>Table1[[#This Row],[Dep Date]]-Table1[[#This Row],[Arr Date]]</f>
        <v>4</v>
      </c>
      <c r="N66" s="323" t="s">
        <v>52</v>
      </c>
      <c r="O66" s="321">
        <v>1</v>
      </c>
      <c r="P66" s="321">
        <v>2</v>
      </c>
      <c r="Q66" s="321">
        <v>1</v>
      </c>
      <c r="R66" s="321"/>
      <c r="S66" s="321" t="s">
        <v>53</v>
      </c>
      <c r="T66" s="326" t="s">
        <v>1683</v>
      </c>
      <c r="U66" s="297">
        <v>6</v>
      </c>
      <c r="V66" s="294"/>
      <c r="W66" s="297">
        <v>0</v>
      </c>
      <c r="X66" s="294"/>
      <c r="Y66" s="329"/>
      <c r="Z66" s="329"/>
      <c r="AA66" s="332">
        <f>Table1[[#This Row],[Selling USD]]-Table1[[#This Row],[Cost USD]]</f>
        <v>0</v>
      </c>
      <c r="AB66" s="335"/>
      <c r="AC66" s="298"/>
      <c r="AD66" s="299">
        <f>Table1[[#This Row],[Selling EUR]]-Table1[[#This Row],[Cost EUR]]</f>
        <v>0</v>
      </c>
      <c r="AE66" s="321"/>
      <c r="AF66" s="294"/>
      <c r="AG66" s="294"/>
      <c r="AH66" s="321"/>
      <c r="AI66" s="323"/>
      <c r="AJ66" s="338"/>
      <c r="AK66" s="323"/>
      <c r="AL66" s="338"/>
      <c r="AM66" s="338"/>
      <c r="AN66" s="323"/>
      <c r="AO66" s="282"/>
      <c r="AP66" s="306"/>
      <c r="AQ66" s="282"/>
      <c r="AR66" s="282"/>
      <c r="AS66" s="282"/>
      <c r="AT66" s="281"/>
      <c r="AU66" s="281"/>
      <c r="AV66" s="281"/>
      <c r="AW66" s="281"/>
      <c r="AX66" s="281"/>
      <c r="AY66" s="281"/>
      <c r="AZ66" s="281"/>
    </row>
    <row r="67" spans="1:52" ht="15" customHeight="1" x14ac:dyDescent="0.3">
      <c r="A67" s="294">
        <v>45876</v>
      </c>
      <c r="B67" s="321" t="s">
        <v>47</v>
      </c>
      <c r="C67" s="321" t="s">
        <v>47</v>
      </c>
      <c r="D67" s="294" t="s">
        <v>48</v>
      </c>
      <c r="E67" s="321" t="s">
        <v>49</v>
      </c>
      <c r="F67" s="295">
        <v>16823575</v>
      </c>
      <c r="G67" s="296"/>
      <c r="H67" s="280" t="s">
        <v>50</v>
      </c>
      <c r="I67" s="323" t="s">
        <v>57</v>
      </c>
      <c r="J67" s="323" t="s">
        <v>2470</v>
      </c>
      <c r="K67" s="294">
        <v>45945</v>
      </c>
      <c r="L67" s="294">
        <v>45953</v>
      </c>
      <c r="M67" s="284">
        <f>Table1[[#This Row],[Dep Date]]-Table1[[#This Row],[Arr Date]]</f>
        <v>8</v>
      </c>
      <c r="N67" s="323" t="s">
        <v>52</v>
      </c>
      <c r="O67" s="321">
        <v>1</v>
      </c>
      <c r="P67" s="321">
        <v>2</v>
      </c>
      <c r="Q67" s="321">
        <v>1</v>
      </c>
      <c r="R67" s="321"/>
      <c r="S67" s="321" t="s">
        <v>53</v>
      </c>
      <c r="T67" s="326" t="s">
        <v>1684</v>
      </c>
      <c r="U67" s="297" t="s">
        <v>2233</v>
      </c>
      <c r="V67" s="294"/>
      <c r="W67" s="297">
        <v>0</v>
      </c>
      <c r="X67" s="294"/>
      <c r="Y67" s="329"/>
      <c r="Z67" s="329"/>
      <c r="AA67" s="332">
        <f>Table1[[#This Row],[Selling USD]]-Table1[[#This Row],[Cost USD]]</f>
        <v>0</v>
      </c>
      <c r="AB67" s="335">
        <f>82*2*8</f>
        <v>1312</v>
      </c>
      <c r="AC67" s="298">
        <v>1328</v>
      </c>
      <c r="AD67" s="299">
        <f>Table1[[#This Row],[Selling EUR]]-Table1[[#This Row],[Cost EUR]]</f>
        <v>16</v>
      </c>
      <c r="AE67" s="321" t="s">
        <v>54</v>
      </c>
      <c r="AF67" s="294">
        <v>45945</v>
      </c>
      <c r="AG67" s="294"/>
      <c r="AH67" s="321"/>
      <c r="AI67" s="323"/>
      <c r="AJ67" s="338"/>
      <c r="AK67" s="323"/>
      <c r="AL67" s="338"/>
      <c r="AM67" s="338"/>
      <c r="AN67" s="323"/>
      <c r="AO67" s="282"/>
      <c r="AP67" s="306"/>
      <c r="AQ67" s="282"/>
      <c r="AR67" s="282"/>
      <c r="AS67" s="282"/>
      <c r="AT67" s="281"/>
      <c r="AU67" s="281"/>
      <c r="AV67" s="281"/>
      <c r="AW67" s="281"/>
      <c r="AX67" s="281"/>
      <c r="AY67" s="281"/>
      <c r="AZ67" s="281"/>
    </row>
    <row r="68" spans="1:52" ht="15" customHeight="1" x14ac:dyDescent="0.3">
      <c r="A68" s="294">
        <v>45944</v>
      </c>
      <c r="B68" s="321" t="s">
        <v>47</v>
      </c>
      <c r="C68" s="321" t="s">
        <v>47</v>
      </c>
      <c r="D68" s="294" t="s">
        <v>79</v>
      </c>
      <c r="E68" s="321" t="s">
        <v>49</v>
      </c>
      <c r="F68" s="295">
        <v>14191542</v>
      </c>
      <c r="G68" s="296">
        <v>20303546</v>
      </c>
      <c r="H68" s="280" t="s">
        <v>50</v>
      </c>
      <c r="I68" s="323" t="s">
        <v>103</v>
      </c>
      <c r="J68" s="323" t="s">
        <v>1481</v>
      </c>
      <c r="K68" s="294">
        <v>45964</v>
      </c>
      <c r="L68" s="294">
        <v>45970</v>
      </c>
      <c r="M68" s="284">
        <f>Table1[[#This Row],[Dep Date]]-Table1[[#This Row],[Arr Date]]</f>
        <v>6</v>
      </c>
      <c r="N68" s="323" t="s">
        <v>52</v>
      </c>
      <c r="O68" s="321">
        <v>1</v>
      </c>
      <c r="P68" s="321">
        <v>2</v>
      </c>
      <c r="Q68" s="321"/>
      <c r="R68" s="321"/>
      <c r="S68" s="321" t="s">
        <v>53</v>
      </c>
      <c r="T68" s="326" t="s">
        <v>1685</v>
      </c>
      <c r="U68" s="297"/>
      <c r="V68" s="294"/>
      <c r="W68" s="297">
        <v>0</v>
      </c>
      <c r="X68" s="294"/>
      <c r="Y68" s="329"/>
      <c r="Z68" s="329"/>
      <c r="AA68" s="332">
        <f>Table1[[#This Row],[Selling USD]]-Table1[[#This Row],[Cost USD]]</f>
        <v>0</v>
      </c>
      <c r="AB68" s="335">
        <f>95*2*6</f>
        <v>1140</v>
      </c>
      <c r="AC68" s="298">
        <v>1151.4000000000001</v>
      </c>
      <c r="AD68" s="299">
        <f>Table1[[#This Row],[Selling EUR]]-Table1[[#This Row],[Cost EUR]]</f>
        <v>11.400000000000091</v>
      </c>
      <c r="AE68" s="321" t="s">
        <v>54</v>
      </c>
      <c r="AF68" s="294">
        <v>45953</v>
      </c>
      <c r="AG68" s="294"/>
      <c r="AH68" s="321"/>
      <c r="AI68" s="323"/>
      <c r="AJ68" s="338"/>
      <c r="AK68" s="323"/>
      <c r="AL68" s="338"/>
      <c r="AM68" s="338"/>
      <c r="AN68" s="323"/>
      <c r="AO68" s="282"/>
      <c r="AP68" s="306"/>
      <c r="AQ68" s="282"/>
      <c r="AR68" s="282"/>
      <c r="AS68" s="282"/>
      <c r="AT68" s="281"/>
      <c r="AU68" s="281"/>
      <c r="AV68" s="281"/>
      <c r="AW68" s="281"/>
      <c r="AX68" s="281"/>
      <c r="AY68" s="281"/>
      <c r="AZ68" s="281"/>
    </row>
    <row r="69" spans="1:52" ht="15" customHeight="1" x14ac:dyDescent="0.3">
      <c r="A69" s="294">
        <v>45878</v>
      </c>
      <c r="B69" s="321" t="s">
        <v>47</v>
      </c>
      <c r="C69" s="321" t="s">
        <v>47</v>
      </c>
      <c r="D69" s="294" t="s">
        <v>48</v>
      </c>
      <c r="E69" s="321" t="s">
        <v>49</v>
      </c>
      <c r="F69" s="295">
        <v>16829694</v>
      </c>
      <c r="G69" s="296"/>
      <c r="H69" s="280" t="s">
        <v>50</v>
      </c>
      <c r="I69" s="323" t="s">
        <v>90</v>
      </c>
      <c r="J69" s="323" t="s">
        <v>2471</v>
      </c>
      <c r="K69" s="294">
        <v>45953</v>
      </c>
      <c r="L69" s="294">
        <v>45961</v>
      </c>
      <c r="M69" s="284">
        <f>Table1[[#This Row],[Dep Date]]-Table1[[#This Row],[Arr Date]]</f>
        <v>8</v>
      </c>
      <c r="N69" s="323" t="s">
        <v>65</v>
      </c>
      <c r="O69" s="321">
        <v>1</v>
      </c>
      <c r="P69" s="321">
        <v>1</v>
      </c>
      <c r="Q69" s="321"/>
      <c r="R69" s="321"/>
      <c r="S69" s="321" t="s">
        <v>53</v>
      </c>
      <c r="T69" s="326" t="s">
        <v>1686</v>
      </c>
      <c r="U69" s="297"/>
      <c r="V69" s="294"/>
      <c r="W69" s="297">
        <v>0</v>
      </c>
      <c r="X69" s="294"/>
      <c r="Y69" s="329"/>
      <c r="Z69" s="329"/>
      <c r="AA69" s="332">
        <f>Table1[[#This Row],[Selling USD]]-Table1[[#This Row],[Cost USD]]</f>
        <v>0</v>
      </c>
      <c r="AB69" s="335">
        <f>50*1.5*8</f>
        <v>600</v>
      </c>
      <c r="AC69" s="298">
        <v>608</v>
      </c>
      <c r="AD69" s="299">
        <f>Table1[[#This Row],[Selling EUR]]-Table1[[#This Row],[Cost EUR]]</f>
        <v>8</v>
      </c>
      <c r="AE69" s="321" t="s">
        <v>54</v>
      </c>
      <c r="AF69" s="294">
        <v>45945</v>
      </c>
      <c r="AG69" s="294"/>
      <c r="AH69" s="321"/>
      <c r="AI69" s="323"/>
      <c r="AJ69" s="338"/>
      <c r="AK69" s="323"/>
      <c r="AL69" s="338"/>
      <c r="AM69" s="338"/>
      <c r="AN69" s="323" t="s">
        <v>2332</v>
      </c>
      <c r="AO69" s="282"/>
      <c r="AP69" s="306"/>
      <c r="AQ69" s="282"/>
      <c r="AR69" s="282"/>
      <c r="AS69" s="282"/>
      <c r="AT69" s="281"/>
      <c r="AU69" s="281"/>
      <c r="AV69" s="281"/>
      <c r="AW69" s="281"/>
      <c r="AX69" s="281"/>
      <c r="AY69" s="281"/>
      <c r="AZ69" s="281"/>
    </row>
    <row r="70" spans="1:52" ht="15" customHeight="1" x14ac:dyDescent="0.3">
      <c r="A70" s="294">
        <v>45878</v>
      </c>
      <c r="B70" s="321" t="s">
        <v>47</v>
      </c>
      <c r="C70" s="321" t="s">
        <v>47</v>
      </c>
      <c r="D70" s="294" t="s">
        <v>48</v>
      </c>
      <c r="E70" s="321" t="s">
        <v>49</v>
      </c>
      <c r="F70" s="295">
        <v>16828550</v>
      </c>
      <c r="G70" s="296"/>
      <c r="H70" s="280" t="s">
        <v>50</v>
      </c>
      <c r="I70" s="323" t="s">
        <v>96</v>
      </c>
      <c r="J70" s="323" t="s">
        <v>2472</v>
      </c>
      <c r="K70" s="294">
        <v>45963</v>
      </c>
      <c r="L70" s="294">
        <v>45973</v>
      </c>
      <c r="M70" s="284">
        <f>Table1[[#This Row],[Dep Date]]-Table1[[#This Row],[Arr Date]]</f>
        <v>10</v>
      </c>
      <c r="N70" s="323" t="s">
        <v>65</v>
      </c>
      <c r="O70" s="321">
        <v>1</v>
      </c>
      <c r="P70" s="321">
        <v>1</v>
      </c>
      <c r="Q70" s="321"/>
      <c r="R70" s="321"/>
      <c r="S70" s="321" t="s">
        <v>53</v>
      </c>
      <c r="T70" s="326" t="s">
        <v>1687</v>
      </c>
      <c r="U70" s="297"/>
      <c r="V70" s="294"/>
      <c r="W70" s="297">
        <v>0</v>
      </c>
      <c r="X70" s="294"/>
      <c r="Y70" s="329"/>
      <c r="Z70" s="329"/>
      <c r="AA70" s="332">
        <f>Table1[[#This Row],[Selling USD]]-Table1[[#This Row],[Cost USD]]</f>
        <v>0</v>
      </c>
      <c r="AB70" s="335">
        <f>127.5*10*0.8</f>
        <v>1020</v>
      </c>
      <c r="AC70" s="298">
        <v>1083.75</v>
      </c>
      <c r="AD70" s="299">
        <f>Table1[[#This Row],[Selling EUR]]-Table1[[#This Row],[Cost EUR]]</f>
        <v>63.75</v>
      </c>
      <c r="AE70" s="321" t="s">
        <v>54</v>
      </c>
      <c r="AF70" s="294">
        <v>45956</v>
      </c>
      <c r="AG70" s="294"/>
      <c r="AH70" s="321"/>
      <c r="AI70" s="323"/>
      <c r="AJ70" s="338"/>
      <c r="AK70" s="323"/>
      <c r="AL70" s="338"/>
      <c r="AM70" s="338"/>
      <c r="AN70" s="324" t="s">
        <v>2333</v>
      </c>
      <c r="AO70" s="282"/>
      <c r="AP70" s="306"/>
      <c r="AQ70" s="282"/>
      <c r="AR70" s="282"/>
      <c r="AS70" s="282"/>
      <c r="AT70" s="281"/>
      <c r="AU70" s="281"/>
      <c r="AV70" s="281"/>
      <c r="AW70" s="281"/>
      <c r="AX70" s="281"/>
      <c r="AY70" s="281"/>
      <c r="AZ70" s="281"/>
    </row>
    <row r="71" spans="1:52" ht="15" customHeight="1" x14ac:dyDescent="0.3">
      <c r="A71" s="294">
        <v>45892</v>
      </c>
      <c r="B71" s="321" t="s">
        <v>47</v>
      </c>
      <c r="C71" s="321" t="s">
        <v>47</v>
      </c>
      <c r="D71" s="294" t="s">
        <v>1603</v>
      </c>
      <c r="E71" s="321" t="s">
        <v>61</v>
      </c>
      <c r="F71" s="295">
        <v>13439400</v>
      </c>
      <c r="G71" s="296">
        <v>20243053</v>
      </c>
      <c r="H71" s="280" t="s">
        <v>84</v>
      </c>
      <c r="I71" s="323" t="s">
        <v>85</v>
      </c>
      <c r="J71" s="323" t="s">
        <v>2473</v>
      </c>
      <c r="K71" s="294">
        <v>46005</v>
      </c>
      <c r="L71" s="294">
        <v>46010</v>
      </c>
      <c r="M71" s="284">
        <f>Table1[[#This Row],[Dep Date]]-Table1[[#This Row],[Arr Date]]</f>
        <v>5</v>
      </c>
      <c r="N71" s="323" t="s">
        <v>52</v>
      </c>
      <c r="O71" s="321">
        <v>1</v>
      </c>
      <c r="P71" s="321">
        <v>2</v>
      </c>
      <c r="Q71" s="321"/>
      <c r="R71" s="321"/>
      <c r="S71" s="321" t="s">
        <v>53</v>
      </c>
      <c r="T71" s="326" t="s">
        <v>1688</v>
      </c>
      <c r="U71" s="297"/>
      <c r="V71" s="294"/>
      <c r="W71" s="297">
        <v>0</v>
      </c>
      <c r="X71" s="294"/>
      <c r="Y71" s="329"/>
      <c r="Z71" s="329"/>
      <c r="AA71" s="332">
        <f>Table1[[#This Row],[Selling USD]]-Table1[[#This Row],[Cost USD]]</f>
        <v>0</v>
      </c>
      <c r="AB71" s="335">
        <f>185*2*5</f>
        <v>1850</v>
      </c>
      <c r="AC71" s="298">
        <v>1401.38</v>
      </c>
      <c r="AD71" s="299">
        <f>Table1[[#This Row],[Selling EUR]]-Table1[[#This Row],[Cost EUR]]</f>
        <v>-448.61999999999989</v>
      </c>
      <c r="AE71" s="321" t="s">
        <v>54</v>
      </c>
      <c r="AF71" s="294">
        <v>45992</v>
      </c>
      <c r="AG71" s="294" t="s">
        <v>2317</v>
      </c>
      <c r="AH71" s="321"/>
      <c r="AI71" s="323"/>
      <c r="AJ71" s="338"/>
      <c r="AK71" s="323"/>
      <c r="AL71" s="338"/>
      <c r="AM71" s="338"/>
      <c r="AN71" s="323"/>
      <c r="AO71" s="282"/>
      <c r="AP71" s="306"/>
      <c r="AQ71" s="282"/>
      <c r="AR71" s="282"/>
      <c r="AS71" s="282"/>
      <c r="AT71" s="281"/>
      <c r="AU71" s="281"/>
      <c r="AV71" s="281"/>
      <c r="AW71" s="281"/>
      <c r="AX71" s="281"/>
      <c r="AY71" s="281"/>
      <c r="AZ71" s="281"/>
    </row>
    <row r="72" spans="1:52" ht="15" customHeight="1" x14ac:dyDescent="0.3">
      <c r="A72" s="294">
        <v>45879</v>
      </c>
      <c r="B72" s="321" t="s">
        <v>47</v>
      </c>
      <c r="C72" s="321" t="s">
        <v>47</v>
      </c>
      <c r="D72" s="294" t="s">
        <v>48</v>
      </c>
      <c r="E72" s="321" t="s">
        <v>49</v>
      </c>
      <c r="F72" s="295">
        <v>16831964</v>
      </c>
      <c r="G72" s="296"/>
      <c r="H72" s="280" t="s">
        <v>50</v>
      </c>
      <c r="I72" s="323" t="s">
        <v>90</v>
      </c>
      <c r="J72" s="323" t="s">
        <v>2474</v>
      </c>
      <c r="K72" s="294">
        <v>45922</v>
      </c>
      <c r="L72" s="294">
        <v>45932</v>
      </c>
      <c r="M72" s="284">
        <f>Table1[[#This Row],[Dep Date]]-Table1[[#This Row],[Arr Date]]</f>
        <v>10</v>
      </c>
      <c r="N72" s="323" t="s">
        <v>52</v>
      </c>
      <c r="O72" s="321">
        <v>1</v>
      </c>
      <c r="P72" s="321">
        <v>2</v>
      </c>
      <c r="Q72" s="321"/>
      <c r="R72" s="321"/>
      <c r="S72" s="321" t="s">
        <v>53</v>
      </c>
      <c r="T72" s="327" t="s">
        <v>1689</v>
      </c>
      <c r="U72" s="297"/>
      <c r="V72" s="294"/>
      <c r="W72" s="297">
        <v>0</v>
      </c>
      <c r="X72" s="294"/>
      <c r="Y72" s="329"/>
      <c r="Z72" s="329"/>
      <c r="AA72" s="332">
        <f>Table1[[#This Row],[Selling USD]]-Table1[[#This Row],[Cost USD]]</f>
        <v>0</v>
      </c>
      <c r="AB72" s="335">
        <f>59*2*9+55*2</f>
        <v>1172</v>
      </c>
      <c r="AC72" s="298">
        <v>1192</v>
      </c>
      <c r="AD72" s="299">
        <f>Table1[[#This Row],[Selling EUR]]-Table1[[#This Row],[Cost EUR]]</f>
        <v>20</v>
      </c>
      <c r="AE72" s="321" t="s">
        <v>54</v>
      </c>
      <c r="AF72" s="294">
        <v>45915</v>
      </c>
      <c r="AG72" s="294"/>
      <c r="AH72" s="321"/>
      <c r="AI72" s="323"/>
      <c r="AJ72" s="338"/>
      <c r="AK72" s="323"/>
      <c r="AL72" s="338"/>
      <c r="AM72" s="338"/>
      <c r="AN72" s="323"/>
      <c r="AO72" s="282"/>
      <c r="AP72" s="306"/>
      <c r="AQ72" s="282"/>
      <c r="AR72" s="282"/>
      <c r="AS72" s="282"/>
      <c r="AT72" s="281"/>
      <c r="AU72" s="281"/>
      <c r="AV72" s="281"/>
      <c r="AW72" s="281"/>
      <c r="AX72" s="281"/>
      <c r="AY72" s="281"/>
      <c r="AZ72" s="281"/>
    </row>
    <row r="73" spans="1:52" ht="15" customHeight="1" x14ac:dyDescent="0.3">
      <c r="A73" s="294">
        <v>45879</v>
      </c>
      <c r="B73" s="321" t="s">
        <v>47</v>
      </c>
      <c r="C73" s="321" t="s">
        <v>47</v>
      </c>
      <c r="D73" s="294" t="s">
        <v>48</v>
      </c>
      <c r="E73" s="321" t="s">
        <v>49</v>
      </c>
      <c r="F73" s="295">
        <v>16831220</v>
      </c>
      <c r="G73" s="296"/>
      <c r="H73" s="280" t="s">
        <v>50</v>
      </c>
      <c r="I73" s="323" t="s">
        <v>104</v>
      </c>
      <c r="J73" s="323" t="s">
        <v>2475</v>
      </c>
      <c r="K73" s="294">
        <v>46016</v>
      </c>
      <c r="L73" s="294">
        <v>46023</v>
      </c>
      <c r="M73" s="284">
        <f>Table1[[#This Row],[Dep Date]]-Table1[[#This Row],[Arr Date]]</f>
        <v>7</v>
      </c>
      <c r="N73" s="323" t="s">
        <v>65</v>
      </c>
      <c r="O73" s="321">
        <v>1</v>
      </c>
      <c r="P73" s="321">
        <v>1</v>
      </c>
      <c r="Q73" s="321"/>
      <c r="R73" s="321"/>
      <c r="S73" s="321" t="s">
        <v>53</v>
      </c>
      <c r="T73" s="326" t="s">
        <v>1690</v>
      </c>
      <c r="U73" s="297"/>
      <c r="V73" s="294"/>
      <c r="W73" s="297">
        <v>0</v>
      </c>
      <c r="X73" s="294"/>
      <c r="Y73" s="329"/>
      <c r="Z73" s="329"/>
      <c r="AA73" s="332">
        <f>Table1[[#This Row],[Selling USD]]-Table1[[#This Row],[Cost USD]]</f>
        <v>0</v>
      </c>
      <c r="AB73" s="335">
        <f>195*7+265.2</f>
        <v>1630.2</v>
      </c>
      <c r="AC73" s="298">
        <v>889.95</v>
      </c>
      <c r="AD73" s="299">
        <f>Table1[[#This Row],[Selling EUR]]-Table1[[#This Row],[Cost EUR]]</f>
        <v>-740.25</v>
      </c>
      <c r="AE73" s="321" t="s">
        <v>54</v>
      </c>
      <c r="AF73" s="294">
        <v>46005</v>
      </c>
      <c r="AG73" s="294" t="s">
        <v>2334</v>
      </c>
      <c r="AH73" s="321"/>
      <c r="AI73" s="323"/>
      <c r="AJ73" s="338"/>
      <c r="AK73" s="323"/>
      <c r="AL73" s="338"/>
      <c r="AM73" s="338"/>
      <c r="AN73" s="323" t="s">
        <v>2335</v>
      </c>
      <c r="AO73" s="282"/>
      <c r="AP73" s="306"/>
      <c r="AQ73" s="282"/>
      <c r="AR73" s="282"/>
      <c r="AS73" s="282"/>
      <c r="AT73" s="281"/>
      <c r="AU73" s="281"/>
      <c r="AV73" s="281"/>
      <c r="AW73" s="281"/>
      <c r="AX73" s="281"/>
      <c r="AY73" s="281"/>
      <c r="AZ73" s="281"/>
    </row>
    <row r="74" spans="1:52" ht="15" customHeight="1" x14ac:dyDescent="0.3">
      <c r="A74" s="294">
        <v>45880</v>
      </c>
      <c r="B74" s="321" t="s">
        <v>47</v>
      </c>
      <c r="C74" s="321" t="s">
        <v>47</v>
      </c>
      <c r="D74" s="294" t="s">
        <v>48</v>
      </c>
      <c r="E74" s="321" t="s">
        <v>49</v>
      </c>
      <c r="F74" s="295">
        <v>16837874</v>
      </c>
      <c r="G74" s="296"/>
      <c r="H74" s="280" t="s">
        <v>50</v>
      </c>
      <c r="I74" s="323" t="s">
        <v>93</v>
      </c>
      <c r="J74" s="323" t="s">
        <v>2468</v>
      </c>
      <c r="K74" s="294">
        <v>45968</v>
      </c>
      <c r="L74" s="294">
        <v>45978</v>
      </c>
      <c r="M74" s="284">
        <f>Table1[[#This Row],[Dep Date]]-Table1[[#This Row],[Arr Date]]</f>
        <v>10</v>
      </c>
      <c r="N74" s="323" t="s">
        <v>52</v>
      </c>
      <c r="O74" s="321">
        <v>1</v>
      </c>
      <c r="P74" s="321">
        <v>2</v>
      </c>
      <c r="Q74" s="321"/>
      <c r="R74" s="321"/>
      <c r="S74" s="321" t="s">
        <v>53</v>
      </c>
      <c r="T74" s="327" t="s">
        <v>1691</v>
      </c>
      <c r="U74" s="297"/>
      <c r="V74" s="294"/>
      <c r="W74" s="297">
        <v>0</v>
      </c>
      <c r="X74" s="294"/>
      <c r="Y74" s="329"/>
      <c r="Z74" s="329"/>
      <c r="AA74" s="332">
        <f>Table1[[#This Row],[Selling USD]]-Table1[[#This Row],[Cost USD]]</f>
        <v>0</v>
      </c>
      <c r="AB74" s="335">
        <f>75*2*10*0.75+100</f>
        <v>1225</v>
      </c>
      <c r="AC74" s="298">
        <v>1245</v>
      </c>
      <c r="AD74" s="299">
        <f>Table1[[#This Row],[Selling EUR]]-Table1[[#This Row],[Cost EUR]]</f>
        <v>20</v>
      </c>
      <c r="AE74" s="321" t="s">
        <v>54</v>
      </c>
      <c r="AF74" s="294">
        <v>45963</v>
      </c>
      <c r="AG74" s="294" t="s">
        <v>2330</v>
      </c>
      <c r="AH74" s="321"/>
      <c r="AI74" s="323"/>
      <c r="AJ74" s="338"/>
      <c r="AK74" s="323"/>
      <c r="AL74" s="338"/>
      <c r="AM74" s="338"/>
      <c r="AN74" s="323" t="s">
        <v>2336</v>
      </c>
      <c r="AO74" s="282"/>
      <c r="AP74" s="306"/>
      <c r="AQ74" s="282"/>
      <c r="AR74" s="282"/>
      <c r="AS74" s="282"/>
      <c r="AT74" s="281"/>
      <c r="AU74" s="281"/>
      <c r="AV74" s="281"/>
      <c r="AW74" s="281"/>
      <c r="AX74" s="281"/>
      <c r="AY74" s="281"/>
      <c r="AZ74" s="281"/>
    </row>
    <row r="75" spans="1:52" ht="15" customHeight="1" x14ac:dyDescent="0.3">
      <c r="A75" s="294">
        <v>45881</v>
      </c>
      <c r="B75" s="321" t="s">
        <v>47</v>
      </c>
      <c r="C75" s="321" t="s">
        <v>47</v>
      </c>
      <c r="D75" s="294" t="s">
        <v>48</v>
      </c>
      <c r="E75" s="321" t="s">
        <v>49</v>
      </c>
      <c r="F75" s="295">
        <v>16837990</v>
      </c>
      <c r="G75" s="296">
        <v>20303389</v>
      </c>
      <c r="H75" s="280" t="s">
        <v>50</v>
      </c>
      <c r="I75" s="323" t="s">
        <v>95</v>
      </c>
      <c r="J75" s="323" t="s">
        <v>2442</v>
      </c>
      <c r="K75" s="294">
        <v>45964</v>
      </c>
      <c r="L75" s="294">
        <v>45975</v>
      </c>
      <c r="M75" s="284">
        <f>Table1[[#This Row],[Dep Date]]-Table1[[#This Row],[Arr Date]]</f>
        <v>11</v>
      </c>
      <c r="N75" s="323" t="s">
        <v>52</v>
      </c>
      <c r="O75" s="321">
        <v>1</v>
      </c>
      <c r="P75" s="321">
        <v>2</v>
      </c>
      <c r="Q75" s="321"/>
      <c r="R75" s="321"/>
      <c r="S75" s="321" t="s">
        <v>53</v>
      </c>
      <c r="T75" s="326" t="s">
        <v>1692</v>
      </c>
      <c r="U75" s="297"/>
      <c r="V75" s="294"/>
      <c r="W75" s="297">
        <v>0</v>
      </c>
      <c r="X75" s="294"/>
      <c r="Y75" s="329"/>
      <c r="Z75" s="329"/>
      <c r="AA75" s="332">
        <f>Table1[[#This Row],[Selling USD]]-Table1[[#This Row],[Cost USD]]</f>
        <v>0</v>
      </c>
      <c r="AB75" s="335">
        <f>88*2*11*0.85</f>
        <v>1645.6</v>
      </c>
      <c r="AC75" s="298">
        <v>1645.6</v>
      </c>
      <c r="AD75" s="299">
        <f>Table1[[#This Row],[Selling EUR]]-Table1[[#This Row],[Cost EUR]]</f>
        <v>0</v>
      </c>
      <c r="AE75" s="321" t="s">
        <v>54</v>
      </c>
      <c r="AF75" s="294">
        <v>45957</v>
      </c>
      <c r="AG75" s="294" t="s">
        <v>2289</v>
      </c>
      <c r="AH75" s="321"/>
      <c r="AI75" s="323"/>
      <c r="AJ75" s="338"/>
      <c r="AK75" s="323"/>
      <c r="AL75" s="338"/>
      <c r="AM75" s="338"/>
      <c r="AN75" s="323"/>
      <c r="AO75" s="282"/>
      <c r="AP75" s="306"/>
      <c r="AQ75" s="282"/>
      <c r="AR75" s="282"/>
      <c r="AS75" s="282"/>
      <c r="AT75" s="281"/>
      <c r="AU75" s="281"/>
      <c r="AV75" s="281"/>
      <c r="AW75" s="281"/>
      <c r="AX75" s="281"/>
      <c r="AY75" s="281"/>
      <c r="AZ75" s="281"/>
    </row>
    <row r="76" spans="1:52" ht="15" customHeight="1" x14ac:dyDescent="0.3">
      <c r="A76" s="294">
        <v>45881</v>
      </c>
      <c r="B76" s="321" t="s">
        <v>73</v>
      </c>
      <c r="C76" s="321" t="s">
        <v>73</v>
      </c>
      <c r="D76" s="294" t="s">
        <v>48</v>
      </c>
      <c r="E76" s="321" t="s">
        <v>49</v>
      </c>
      <c r="F76" s="295">
        <v>16839063</v>
      </c>
      <c r="G76" s="296"/>
      <c r="H76" s="280" t="s">
        <v>84</v>
      </c>
      <c r="I76" s="323" t="s">
        <v>87</v>
      </c>
      <c r="J76" s="323" t="s">
        <v>2465</v>
      </c>
      <c r="K76" s="294">
        <v>46001</v>
      </c>
      <c r="L76" s="294">
        <v>46002</v>
      </c>
      <c r="M76" s="284">
        <f>Table1[[#This Row],[Dep Date]]-Table1[[#This Row],[Arr Date]]</f>
        <v>1</v>
      </c>
      <c r="N76" s="323" t="s">
        <v>52</v>
      </c>
      <c r="O76" s="321">
        <v>1</v>
      </c>
      <c r="P76" s="321">
        <v>2</v>
      </c>
      <c r="Q76" s="321"/>
      <c r="R76" s="321"/>
      <c r="S76" s="321" t="s">
        <v>53</v>
      </c>
      <c r="T76" s="326" t="s">
        <v>1693</v>
      </c>
      <c r="U76" s="297"/>
      <c r="V76" s="294"/>
      <c r="W76" s="297">
        <v>0</v>
      </c>
      <c r="X76" s="294"/>
      <c r="Y76" s="329"/>
      <c r="Z76" s="329"/>
      <c r="AA76" s="332">
        <f>Table1[[#This Row],[Selling USD]]-Table1[[#This Row],[Cost USD]]</f>
        <v>0</v>
      </c>
      <c r="AB76" s="335"/>
      <c r="AC76" s="298"/>
      <c r="AD76" s="299">
        <f>Table1[[#This Row],[Selling EUR]]-Table1[[#This Row],[Cost EUR]]</f>
        <v>0</v>
      </c>
      <c r="AE76" s="321" t="s">
        <v>54</v>
      </c>
      <c r="AF76" s="294"/>
      <c r="AG76" s="294"/>
      <c r="AH76" s="321"/>
      <c r="AI76" s="323"/>
      <c r="AJ76" s="338"/>
      <c r="AK76" s="323"/>
      <c r="AL76" s="338"/>
      <c r="AM76" s="338"/>
      <c r="AN76" s="323"/>
      <c r="AO76" s="282"/>
      <c r="AP76" s="306"/>
      <c r="AQ76" s="282"/>
      <c r="AR76" s="282"/>
      <c r="AS76" s="282"/>
      <c r="AT76" s="281"/>
      <c r="AU76" s="281"/>
      <c r="AV76" s="281"/>
      <c r="AW76" s="281"/>
      <c r="AX76" s="281"/>
      <c r="AY76" s="281"/>
      <c r="AZ76" s="281"/>
    </row>
    <row r="77" spans="1:52" ht="15" customHeight="1" x14ac:dyDescent="0.3">
      <c r="A77" s="294">
        <v>45881</v>
      </c>
      <c r="B77" s="321" t="s">
        <v>73</v>
      </c>
      <c r="C77" s="321" t="s">
        <v>73</v>
      </c>
      <c r="D77" s="294" t="s">
        <v>48</v>
      </c>
      <c r="E77" s="321" t="s">
        <v>61</v>
      </c>
      <c r="F77" s="295">
        <v>16838005</v>
      </c>
      <c r="G77" s="296">
        <v>20303388</v>
      </c>
      <c r="H77" s="280" t="s">
        <v>84</v>
      </c>
      <c r="I77" s="323" t="s">
        <v>105</v>
      </c>
      <c r="J77" s="323" t="s">
        <v>2476</v>
      </c>
      <c r="K77" s="294">
        <v>46021</v>
      </c>
      <c r="L77" s="294">
        <v>46024</v>
      </c>
      <c r="M77" s="284">
        <f>Table1[[#This Row],[Dep Date]]-Table1[[#This Row],[Arr Date]]</f>
        <v>3</v>
      </c>
      <c r="N77" s="323" t="s">
        <v>52</v>
      </c>
      <c r="O77" s="321">
        <v>1</v>
      </c>
      <c r="P77" s="321">
        <v>2</v>
      </c>
      <c r="Q77" s="321"/>
      <c r="R77" s="321"/>
      <c r="S77" s="321" t="s">
        <v>53</v>
      </c>
      <c r="T77" s="326" t="s">
        <v>1694</v>
      </c>
      <c r="U77" s="297"/>
      <c r="V77" s="294"/>
      <c r="W77" s="297">
        <v>0</v>
      </c>
      <c r="X77" s="294"/>
      <c r="Y77" s="329"/>
      <c r="Z77" s="329"/>
      <c r="AA77" s="332">
        <f>Table1[[#This Row],[Selling USD]]-Table1[[#This Row],[Cost USD]]</f>
        <v>0</v>
      </c>
      <c r="AB77" s="335"/>
      <c r="AC77" s="298"/>
      <c r="AD77" s="299">
        <f>Table1[[#This Row],[Selling EUR]]-Table1[[#This Row],[Cost EUR]]</f>
        <v>0</v>
      </c>
      <c r="AE77" s="321"/>
      <c r="AF77" s="294"/>
      <c r="AG77" s="294"/>
      <c r="AH77" s="321"/>
      <c r="AI77" s="323"/>
      <c r="AJ77" s="338"/>
      <c r="AK77" s="323"/>
      <c r="AL77" s="338"/>
      <c r="AM77" s="338"/>
      <c r="AN77" s="323" t="s">
        <v>2337</v>
      </c>
      <c r="AO77" s="282"/>
      <c r="AP77" s="306"/>
      <c r="AQ77" s="282"/>
      <c r="AR77" s="282"/>
      <c r="AS77" s="282"/>
      <c r="AT77" s="281"/>
      <c r="AU77" s="281"/>
      <c r="AV77" s="281"/>
      <c r="AW77" s="281"/>
      <c r="AX77" s="281"/>
      <c r="AY77" s="281"/>
      <c r="AZ77" s="281"/>
    </row>
    <row r="78" spans="1:52" ht="15" customHeight="1" x14ac:dyDescent="0.3">
      <c r="A78" s="294">
        <v>45882</v>
      </c>
      <c r="B78" s="321" t="s">
        <v>47</v>
      </c>
      <c r="C78" s="321" t="s">
        <v>47</v>
      </c>
      <c r="D78" s="294" t="s">
        <v>79</v>
      </c>
      <c r="E78" s="321" t="s">
        <v>106</v>
      </c>
      <c r="F78" s="295">
        <v>13274406</v>
      </c>
      <c r="G78" s="296">
        <v>20243041</v>
      </c>
      <c r="H78" s="280" t="s">
        <v>84</v>
      </c>
      <c r="I78" s="323" t="s">
        <v>107</v>
      </c>
      <c r="J78" s="323" t="s">
        <v>2477</v>
      </c>
      <c r="K78" s="294">
        <v>45923</v>
      </c>
      <c r="L78" s="294">
        <v>45929</v>
      </c>
      <c r="M78" s="284">
        <f>Table1[[#This Row],[Dep Date]]-Table1[[#This Row],[Arr Date]]</f>
        <v>6</v>
      </c>
      <c r="N78" s="323" t="s">
        <v>52</v>
      </c>
      <c r="O78" s="321">
        <v>1</v>
      </c>
      <c r="P78" s="321">
        <v>2</v>
      </c>
      <c r="Q78" s="321"/>
      <c r="R78" s="321"/>
      <c r="S78" s="321" t="s">
        <v>53</v>
      </c>
      <c r="T78" s="326" t="s">
        <v>1695</v>
      </c>
      <c r="U78" s="297"/>
      <c r="V78" s="294"/>
      <c r="W78" s="297">
        <v>0</v>
      </c>
      <c r="X78" s="294"/>
      <c r="Y78" s="329">
        <f>101*2*6*0.65</f>
        <v>787.80000000000007</v>
      </c>
      <c r="Z78" s="329">
        <v>803.56</v>
      </c>
      <c r="AA78" s="332">
        <f>Table1[[#This Row],[Selling USD]]-Table1[[#This Row],[Cost USD]]</f>
        <v>15.759999999999877</v>
      </c>
      <c r="AB78" s="335"/>
      <c r="AC78" s="298"/>
      <c r="AD78" s="299">
        <f>Table1[[#This Row],[Selling EUR]]-Table1[[#This Row],[Cost EUR]]</f>
        <v>0</v>
      </c>
      <c r="AE78" s="321" t="s">
        <v>54</v>
      </c>
      <c r="AF78" s="294">
        <v>45910</v>
      </c>
      <c r="AG78" s="294"/>
      <c r="AH78" s="321"/>
      <c r="AI78" s="323"/>
      <c r="AJ78" s="338"/>
      <c r="AK78" s="323"/>
      <c r="AL78" s="338"/>
      <c r="AM78" s="338"/>
      <c r="AN78" s="323"/>
      <c r="AO78" s="282"/>
      <c r="AP78" s="306"/>
      <c r="AQ78" s="282"/>
      <c r="AR78" s="282"/>
      <c r="AS78" s="282"/>
      <c r="AT78" s="281"/>
      <c r="AU78" s="281"/>
      <c r="AV78" s="281"/>
      <c r="AW78" s="281"/>
      <c r="AX78" s="281"/>
      <c r="AY78" s="281"/>
      <c r="AZ78" s="281"/>
    </row>
    <row r="79" spans="1:52" ht="15" customHeight="1" x14ac:dyDescent="0.3">
      <c r="A79" s="294">
        <v>45882</v>
      </c>
      <c r="B79" s="321" t="s">
        <v>47</v>
      </c>
      <c r="C79" s="321" t="s">
        <v>47</v>
      </c>
      <c r="D79" s="294" t="s">
        <v>48</v>
      </c>
      <c r="E79" s="321" t="s">
        <v>61</v>
      </c>
      <c r="F79" s="295">
        <v>16841614</v>
      </c>
      <c r="G79" s="296"/>
      <c r="H79" s="280" t="s">
        <v>50</v>
      </c>
      <c r="I79" s="323" t="s">
        <v>108</v>
      </c>
      <c r="J79" s="323" t="s">
        <v>2478</v>
      </c>
      <c r="K79" s="294">
        <v>45930</v>
      </c>
      <c r="L79" s="294">
        <v>45937</v>
      </c>
      <c r="M79" s="284">
        <f>Table1[[#This Row],[Dep Date]]-Table1[[#This Row],[Arr Date]]</f>
        <v>7</v>
      </c>
      <c r="N79" s="323" t="s">
        <v>65</v>
      </c>
      <c r="O79" s="321">
        <v>1</v>
      </c>
      <c r="P79" s="321">
        <v>1</v>
      </c>
      <c r="Q79" s="321"/>
      <c r="R79" s="321"/>
      <c r="S79" s="321" t="s">
        <v>53</v>
      </c>
      <c r="T79" s="326" t="s">
        <v>1696</v>
      </c>
      <c r="U79" s="297"/>
      <c r="V79" s="294"/>
      <c r="W79" s="297">
        <v>0</v>
      </c>
      <c r="X79" s="294"/>
      <c r="Y79" s="329">
        <f>48*1.6+44*1.6*6</f>
        <v>499.20000000000005</v>
      </c>
      <c r="Z79" s="329">
        <v>506.2</v>
      </c>
      <c r="AA79" s="332">
        <f>Table1[[#This Row],[Selling USD]]-Table1[[#This Row],[Cost USD]]</f>
        <v>6.9999999999999432</v>
      </c>
      <c r="AB79" s="335"/>
      <c r="AC79" s="298"/>
      <c r="AD79" s="299">
        <f>Table1[[#This Row],[Selling EUR]]-Table1[[#This Row],[Cost EUR]]</f>
        <v>0</v>
      </c>
      <c r="AE79" s="321" t="s">
        <v>54</v>
      </c>
      <c r="AF79" s="294">
        <v>45921</v>
      </c>
      <c r="AG79" s="294"/>
      <c r="AH79" s="321"/>
      <c r="AI79" s="323"/>
      <c r="AJ79" s="338"/>
      <c r="AK79" s="323"/>
      <c r="AL79" s="338"/>
      <c r="AM79" s="338"/>
      <c r="AN79" s="323"/>
      <c r="AO79" s="282"/>
      <c r="AP79" s="306"/>
      <c r="AQ79" s="282"/>
      <c r="AR79" s="282"/>
      <c r="AS79" s="282"/>
      <c r="AT79" s="281"/>
      <c r="AU79" s="281"/>
      <c r="AV79" s="281"/>
      <c r="AW79" s="281"/>
      <c r="AX79" s="281"/>
      <c r="AY79" s="281"/>
      <c r="AZ79" s="281"/>
    </row>
    <row r="80" spans="1:52" ht="15" customHeight="1" x14ac:dyDescent="0.3">
      <c r="A80" s="294">
        <v>45882</v>
      </c>
      <c r="B80" s="321" t="s">
        <v>47</v>
      </c>
      <c r="C80" s="321" t="s">
        <v>47</v>
      </c>
      <c r="D80" s="294" t="s">
        <v>48</v>
      </c>
      <c r="E80" s="321" t="s">
        <v>61</v>
      </c>
      <c r="F80" s="295">
        <v>16839972</v>
      </c>
      <c r="G80" s="296"/>
      <c r="H80" s="280" t="s">
        <v>50</v>
      </c>
      <c r="I80" s="323" t="s">
        <v>109</v>
      </c>
      <c r="J80" s="323" t="s">
        <v>56</v>
      </c>
      <c r="K80" s="294">
        <v>45962</v>
      </c>
      <c r="L80" s="294">
        <v>45969</v>
      </c>
      <c r="M80" s="284">
        <f>Table1[[#This Row],[Dep Date]]-Table1[[#This Row],[Arr Date]]</f>
        <v>7</v>
      </c>
      <c r="N80" s="323" t="s">
        <v>52</v>
      </c>
      <c r="O80" s="321">
        <v>1</v>
      </c>
      <c r="P80" s="321">
        <v>2</v>
      </c>
      <c r="Q80" s="321">
        <v>2</v>
      </c>
      <c r="R80" s="321"/>
      <c r="S80" s="321" t="s">
        <v>53</v>
      </c>
      <c r="T80" s="327" t="s">
        <v>1697</v>
      </c>
      <c r="U80" s="297" t="s">
        <v>2234</v>
      </c>
      <c r="V80" s="294"/>
      <c r="W80" s="297">
        <v>0</v>
      </c>
      <c r="X80" s="294"/>
      <c r="Y80" s="329">
        <f>77*2*7</f>
        <v>1078</v>
      </c>
      <c r="Z80" s="329">
        <v>840</v>
      </c>
      <c r="AA80" s="332">
        <f>Table1[[#This Row],[Selling USD]]-Table1[[#This Row],[Cost USD]]</f>
        <v>-238</v>
      </c>
      <c r="AB80" s="335"/>
      <c r="AC80" s="298"/>
      <c r="AD80" s="299">
        <f>Table1[[#This Row],[Selling EUR]]-Table1[[#This Row],[Cost EUR]]</f>
        <v>0</v>
      </c>
      <c r="AE80" s="321" t="s">
        <v>54</v>
      </c>
      <c r="AF80" s="294">
        <v>45952</v>
      </c>
      <c r="AG80" s="294"/>
      <c r="AH80" s="321"/>
      <c r="AI80" s="323"/>
      <c r="AJ80" s="338"/>
      <c r="AK80" s="323"/>
      <c r="AL80" s="338"/>
      <c r="AM80" s="338"/>
      <c r="AN80" s="323" t="s">
        <v>2338</v>
      </c>
      <c r="AO80" s="282"/>
      <c r="AP80" s="306"/>
      <c r="AQ80" s="282"/>
      <c r="AR80" s="282"/>
      <c r="AS80" s="282"/>
      <c r="AT80" s="281"/>
      <c r="AU80" s="281"/>
      <c r="AV80" s="281"/>
      <c r="AW80" s="281"/>
      <c r="AX80" s="281"/>
      <c r="AY80" s="281"/>
      <c r="AZ80" s="281"/>
    </row>
    <row r="81" spans="1:52" ht="15" customHeight="1" x14ac:dyDescent="0.3">
      <c r="A81" s="294">
        <v>45882</v>
      </c>
      <c r="B81" s="321" t="s">
        <v>47</v>
      </c>
      <c r="C81" s="321" t="s">
        <v>47</v>
      </c>
      <c r="D81" s="294" t="s">
        <v>48</v>
      </c>
      <c r="E81" s="321" t="s">
        <v>61</v>
      </c>
      <c r="F81" s="295">
        <v>16839709</v>
      </c>
      <c r="G81" s="296">
        <v>20303390</v>
      </c>
      <c r="H81" s="280" t="s">
        <v>50</v>
      </c>
      <c r="I81" s="323" t="s">
        <v>51</v>
      </c>
      <c r="J81" s="323" t="s">
        <v>2436</v>
      </c>
      <c r="K81" s="294">
        <v>46035</v>
      </c>
      <c r="L81" s="294">
        <v>46049</v>
      </c>
      <c r="M81" s="284">
        <f>Table1[[#This Row],[Dep Date]]-Table1[[#This Row],[Arr Date]]</f>
        <v>14</v>
      </c>
      <c r="N81" s="323" t="s">
        <v>52</v>
      </c>
      <c r="O81" s="321">
        <v>1</v>
      </c>
      <c r="P81" s="321">
        <v>2</v>
      </c>
      <c r="Q81" s="321"/>
      <c r="R81" s="321"/>
      <c r="S81" s="321" t="s">
        <v>53</v>
      </c>
      <c r="T81" s="326" t="s">
        <v>1698</v>
      </c>
      <c r="U81" s="297"/>
      <c r="V81" s="294"/>
      <c r="W81" s="297">
        <v>0</v>
      </c>
      <c r="X81" s="294"/>
      <c r="Y81" s="329">
        <f>79*2*14*0.65</f>
        <v>1437.8</v>
      </c>
      <c r="Z81" s="329">
        <v>1530.2</v>
      </c>
      <c r="AA81" s="332">
        <f>Table1[[#This Row],[Selling USD]]-Table1[[#This Row],[Cost USD]]</f>
        <v>92.400000000000091</v>
      </c>
      <c r="AB81" s="335"/>
      <c r="AC81" s="298"/>
      <c r="AD81" s="299">
        <f>Table1[[#This Row],[Selling EUR]]-Table1[[#This Row],[Cost EUR]]</f>
        <v>0</v>
      </c>
      <c r="AE81" s="321" t="s">
        <v>54</v>
      </c>
      <c r="AF81" s="294">
        <v>46030</v>
      </c>
      <c r="AG81" s="294"/>
      <c r="AH81" s="321"/>
      <c r="AI81" s="323"/>
      <c r="AJ81" s="338"/>
      <c r="AK81" s="323"/>
      <c r="AL81" s="338"/>
      <c r="AM81" s="338"/>
      <c r="AN81" s="323"/>
      <c r="AO81" s="282"/>
      <c r="AP81" s="306"/>
      <c r="AQ81" s="282"/>
      <c r="AR81" s="282"/>
      <c r="AS81" s="282"/>
      <c r="AT81" s="281"/>
      <c r="AU81" s="281"/>
      <c r="AV81" s="281"/>
      <c r="AW81" s="281"/>
      <c r="AX81" s="281"/>
      <c r="AY81" s="281"/>
      <c r="AZ81" s="281"/>
    </row>
    <row r="82" spans="1:52" ht="15" customHeight="1" x14ac:dyDescent="0.3">
      <c r="A82" s="294">
        <v>45883</v>
      </c>
      <c r="B82" s="321" t="s">
        <v>47</v>
      </c>
      <c r="C82" s="321" t="s">
        <v>47</v>
      </c>
      <c r="D82" s="294" t="s">
        <v>48</v>
      </c>
      <c r="E82" s="321" t="s">
        <v>49</v>
      </c>
      <c r="F82" s="295">
        <v>16836655</v>
      </c>
      <c r="G82" s="296">
        <v>16844557</v>
      </c>
      <c r="H82" s="280" t="s">
        <v>50</v>
      </c>
      <c r="I82" s="323" t="s">
        <v>92</v>
      </c>
      <c r="J82" s="323" t="s">
        <v>2462</v>
      </c>
      <c r="K82" s="294">
        <v>45944</v>
      </c>
      <c r="L82" s="294">
        <v>45953</v>
      </c>
      <c r="M82" s="284">
        <f>Table1[[#This Row],[Dep Date]]-Table1[[#This Row],[Arr Date]]</f>
        <v>9</v>
      </c>
      <c r="N82" s="323" t="s">
        <v>65</v>
      </c>
      <c r="O82" s="321">
        <v>1</v>
      </c>
      <c r="P82" s="321">
        <v>1</v>
      </c>
      <c r="Q82" s="321">
        <v>1</v>
      </c>
      <c r="R82" s="321"/>
      <c r="S82" s="321" t="s">
        <v>53</v>
      </c>
      <c r="T82" s="327" t="s">
        <v>1699</v>
      </c>
      <c r="U82" s="297" t="s">
        <v>2235</v>
      </c>
      <c r="V82" s="294"/>
      <c r="W82" s="297">
        <v>0</v>
      </c>
      <c r="X82" s="294"/>
      <c r="Y82" s="329"/>
      <c r="Z82" s="329"/>
      <c r="AA82" s="332">
        <f>Table1[[#This Row],[Selling USD]]-Table1[[#This Row],[Cost USD]]</f>
        <v>0</v>
      </c>
      <c r="AB82" s="335">
        <f>270*9*0.63</f>
        <v>1530.9</v>
      </c>
      <c r="AC82" s="298">
        <v>1539.9</v>
      </c>
      <c r="AD82" s="299">
        <f>Table1[[#This Row],[Selling EUR]]-Table1[[#This Row],[Cost EUR]]</f>
        <v>9</v>
      </c>
      <c r="AE82" s="321" t="s">
        <v>54</v>
      </c>
      <c r="AF82" s="294">
        <v>45935</v>
      </c>
      <c r="AG82" s="294"/>
      <c r="AH82" s="321"/>
      <c r="AI82" s="323"/>
      <c r="AJ82" s="338"/>
      <c r="AK82" s="323"/>
      <c r="AL82" s="338"/>
      <c r="AM82" s="338"/>
      <c r="AN82" s="324" t="s">
        <v>2339</v>
      </c>
      <c r="AO82" s="282"/>
      <c r="AP82" s="306"/>
      <c r="AQ82" s="282"/>
      <c r="AR82" s="282"/>
      <c r="AS82" s="282"/>
      <c r="AT82" s="281"/>
      <c r="AU82" s="281"/>
      <c r="AV82" s="281"/>
      <c r="AW82" s="281"/>
      <c r="AX82" s="281"/>
      <c r="AY82" s="281"/>
      <c r="AZ82" s="281"/>
    </row>
    <row r="83" spans="1:52" ht="15" customHeight="1" x14ac:dyDescent="0.3">
      <c r="A83" s="294">
        <v>45883</v>
      </c>
      <c r="B83" s="321" t="s">
        <v>47</v>
      </c>
      <c r="C83" s="321" t="s">
        <v>47</v>
      </c>
      <c r="D83" s="294" t="s">
        <v>48</v>
      </c>
      <c r="E83" s="321" t="s">
        <v>61</v>
      </c>
      <c r="F83" s="295">
        <v>16844095</v>
      </c>
      <c r="G83" s="296">
        <v>20303400</v>
      </c>
      <c r="H83" s="280" t="s">
        <v>84</v>
      </c>
      <c r="I83" s="323" t="s">
        <v>110</v>
      </c>
      <c r="J83" s="323" t="s">
        <v>2479</v>
      </c>
      <c r="K83" s="294">
        <v>46089</v>
      </c>
      <c r="L83" s="294">
        <v>46096</v>
      </c>
      <c r="M83" s="284">
        <f>Table1[[#This Row],[Dep Date]]-Table1[[#This Row],[Arr Date]]</f>
        <v>7</v>
      </c>
      <c r="N83" s="323" t="s">
        <v>70</v>
      </c>
      <c r="O83" s="321">
        <v>1</v>
      </c>
      <c r="P83" s="321">
        <v>3</v>
      </c>
      <c r="Q83" s="321"/>
      <c r="R83" s="321"/>
      <c r="S83" s="321" t="s">
        <v>53</v>
      </c>
      <c r="T83" s="327" t="s">
        <v>1700</v>
      </c>
      <c r="U83" s="297"/>
      <c r="V83" s="294"/>
      <c r="W83" s="297">
        <v>0</v>
      </c>
      <c r="X83" s="294"/>
      <c r="Y83" s="329">
        <f>33*3*7</f>
        <v>693</v>
      </c>
      <c r="Z83" s="329">
        <v>693</v>
      </c>
      <c r="AA83" s="332">
        <f>Table1[[#This Row],[Selling USD]]-Table1[[#This Row],[Cost USD]]</f>
        <v>0</v>
      </c>
      <c r="AB83" s="335"/>
      <c r="AC83" s="298"/>
      <c r="AD83" s="299">
        <f>Table1[[#This Row],[Selling EUR]]-Table1[[#This Row],[Cost EUR]]</f>
        <v>0</v>
      </c>
      <c r="AE83" s="321" t="s">
        <v>54</v>
      </c>
      <c r="AF83" s="294">
        <v>46068</v>
      </c>
      <c r="AG83" s="294"/>
      <c r="AH83" s="321"/>
      <c r="AI83" s="323"/>
      <c r="AJ83" s="338"/>
      <c r="AK83" s="323"/>
      <c r="AL83" s="338"/>
      <c r="AM83" s="338"/>
      <c r="AN83" s="323"/>
      <c r="AO83" s="282"/>
      <c r="AP83" s="306"/>
      <c r="AQ83" s="282"/>
      <c r="AR83" s="282"/>
      <c r="AS83" s="282"/>
      <c r="AT83" s="281"/>
      <c r="AU83" s="281"/>
      <c r="AV83" s="281"/>
      <c r="AW83" s="281"/>
      <c r="AX83" s="281"/>
      <c r="AY83" s="281"/>
      <c r="AZ83" s="281"/>
    </row>
    <row r="84" spans="1:52" ht="15" customHeight="1" x14ac:dyDescent="0.3">
      <c r="A84" s="294">
        <v>45884</v>
      </c>
      <c r="B84" s="321" t="s">
        <v>47</v>
      </c>
      <c r="C84" s="321" t="s">
        <v>47</v>
      </c>
      <c r="D84" s="294" t="s">
        <v>79</v>
      </c>
      <c r="E84" s="321" t="s">
        <v>83</v>
      </c>
      <c r="F84" s="295">
        <v>13307759</v>
      </c>
      <c r="G84" s="296">
        <v>20243045</v>
      </c>
      <c r="H84" s="280" t="s">
        <v>50</v>
      </c>
      <c r="I84" s="323" t="s">
        <v>111</v>
      </c>
      <c r="J84" s="323" t="s">
        <v>2480</v>
      </c>
      <c r="K84" s="294">
        <v>45967</v>
      </c>
      <c r="L84" s="294">
        <v>45974</v>
      </c>
      <c r="M84" s="284">
        <f>Table1[[#This Row],[Dep Date]]-Table1[[#This Row],[Arr Date]]</f>
        <v>7</v>
      </c>
      <c r="N84" s="323" t="s">
        <v>52</v>
      </c>
      <c r="O84" s="321">
        <v>1</v>
      </c>
      <c r="P84" s="321">
        <v>2</v>
      </c>
      <c r="Q84" s="321">
        <v>2</v>
      </c>
      <c r="R84" s="321"/>
      <c r="S84" s="321" t="s">
        <v>53</v>
      </c>
      <c r="T84" s="326" t="s">
        <v>1701</v>
      </c>
      <c r="U84" s="297" t="s">
        <v>2236</v>
      </c>
      <c r="V84" s="294"/>
      <c r="W84" s="297">
        <v>0</v>
      </c>
      <c r="X84" s="294"/>
      <c r="Y84" s="329">
        <f>34*2*7</f>
        <v>476</v>
      </c>
      <c r="Z84" s="329">
        <v>485.52</v>
      </c>
      <c r="AA84" s="332">
        <f>Table1[[#This Row],[Selling USD]]-Table1[[#This Row],[Cost USD]]</f>
        <v>9.5199999999999818</v>
      </c>
      <c r="AB84" s="335"/>
      <c r="AC84" s="298"/>
      <c r="AD84" s="299">
        <f>Table1[[#This Row],[Selling EUR]]-Table1[[#This Row],[Cost EUR]]</f>
        <v>0</v>
      </c>
      <c r="AE84" s="321" t="s">
        <v>54</v>
      </c>
      <c r="AF84" s="294">
        <v>45959</v>
      </c>
      <c r="AG84" s="294" t="s">
        <v>2289</v>
      </c>
      <c r="AH84" s="321"/>
      <c r="AI84" s="323"/>
      <c r="AJ84" s="338"/>
      <c r="AK84" s="323"/>
      <c r="AL84" s="338"/>
      <c r="AM84" s="338"/>
      <c r="AN84" s="323"/>
      <c r="AO84" s="282"/>
      <c r="AP84" s="306"/>
      <c r="AQ84" s="282"/>
      <c r="AR84" s="282"/>
      <c r="AS84" s="282"/>
      <c r="AT84" s="281"/>
      <c r="AU84" s="281"/>
      <c r="AV84" s="281"/>
      <c r="AW84" s="281"/>
      <c r="AX84" s="281"/>
      <c r="AY84" s="281"/>
      <c r="AZ84" s="281"/>
    </row>
    <row r="85" spans="1:52" ht="15" customHeight="1" x14ac:dyDescent="0.3">
      <c r="A85" s="294">
        <v>45885</v>
      </c>
      <c r="B85" s="321" t="s">
        <v>47</v>
      </c>
      <c r="C85" s="321" t="s">
        <v>47</v>
      </c>
      <c r="D85" s="294" t="s">
        <v>79</v>
      </c>
      <c r="E85" s="321" t="s">
        <v>83</v>
      </c>
      <c r="F85" s="295">
        <v>13323194</v>
      </c>
      <c r="G85" s="296">
        <v>20243046</v>
      </c>
      <c r="H85" s="280" t="s">
        <v>50</v>
      </c>
      <c r="I85" s="323" t="s">
        <v>92</v>
      </c>
      <c r="J85" s="323" t="s">
        <v>2481</v>
      </c>
      <c r="K85" s="294">
        <v>45923</v>
      </c>
      <c r="L85" s="294">
        <v>45927</v>
      </c>
      <c r="M85" s="284">
        <f>Table1[[#This Row],[Dep Date]]-Table1[[#This Row],[Arr Date]]</f>
        <v>4</v>
      </c>
      <c r="N85" s="323" t="s">
        <v>52</v>
      </c>
      <c r="O85" s="321">
        <v>1</v>
      </c>
      <c r="P85" s="321">
        <v>2</v>
      </c>
      <c r="Q85" s="321">
        <v>1</v>
      </c>
      <c r="R85" s="321"/>
      <c r="S85" s="321" t="s">
        <v>53</v>
      </c>
      <c r="T85" s="326" t="s">
        <v>1702</v>
      </c>
      <c r="U85" s="297" t="s">
        <v>2237</v>
      </c>
      <c r="V85" s="294"/>
      <c r="W85" s="297">
        <v>0</v>
      </c>
      <c r="X85" s="294"/>
      <c r="Y85" s="329"/>
      <c r="Z85" s="329"/>
      <c r="AA85" s="332">
        <f>Table1[[#This Row],[Selling USD]]-Table1[[#This Row],[Cost USD]]</f>
        <v>0</v>
      </c>
      <c r="AB85" s="335">
        <f>170*2*4*0.6</f>
        <v>816</v>
      </c>
      <c r="AC85" s="298">
        <v>872.64</v>
      </c>
      <c r="AD85" s="299">
        <f>Table1[[#This Row],[Selling EUR]]-Table1[[#This Row],[Cost EUR]]</f>
        <v>56.639999999999986</v>
      </c>
      <c r="AE85" s="321" t="s">
        <v>54</v>
      </c>
      <c r="AF85" s="294">
        <v>45914</v>
      </c>
      <c r="AG85" s="294"/>
      <c r="AH85" s="321"/>
      <c r="AI85" s="323"/>
      <c r="AJ85" s="338"/>
      <c r="AK85" s="323"/>
      <c r="AL85" s="338"/>
      <c r="AM85" s="338"/>
      <c r="AN85" s="323"/>
      <c r="AO85" s="282"/>
      <c r="AP85" s="306"/>
      <c r="AQ85" s="282"/>
      <c r="AR85" s="282"/>
      <c r="AS85" s="282"/>
      <c r="AT85" s="281"/>
      <c r="AU85" s="281"/>
      <c r="AV85" s="281"/>
      <c r="AW85" s="281"/>
      <c r="AX85" s="281"/>
      <c r="AY85" s="281"/>
      <c r="AZ85" s="281"/>
    </row>
    <row r="86" spans="1:52" ht="15" customHeight="1" x14ac:dyDescent="0.3">
      <c r="A86" s="294">
        <v>45885</v>
      </c>
      <c r="B86" s="321" t="s">
        <v>47</v>
      </c>
      <c r="C86" s="321" t="s">
        <v>47</v>
      </c>
      <c r="D86" s="294" t="s">
        <v>48</v>
      </c>
      <c r="E86" s="321" t="s">
        <v>49</v>
      </c>
      <c r="F86" s="295">
        <v>16849279</v>
      </c>
      <c r="G86" s="296"/>
      <c r="H86" s="280" t="s">
        <v>50</v>
      </c>
      <c r="I86" s="323" t="s">
        <v>92</v>
      </c>
      <c r="J86" s="323" t="s">
        <v>2462</v>
      </c>
      <c r="K86" s="294">
        <v>45951</v>
      </c>
      <c r="L86" s="294">
        <v>45956</v>
      </c>
      <c r="M86" s="284">
        <f>Table1[[#This Row],[Dep Date]]-Table1[[#This Row],[Arr Date]]</f>
        <v>5</v>
      </c>
      <c r="N86" s="323" t="s">
        <v>65</v>
      </c>
      <c r="O86" s="321">
        <v>1</v>
      </c>
      <c r="P86" s="321">
        <v>1</v>
      </c>
      <c r="Q86" s="321">
        <v>2</v>
      </c>
      <c r="R86" s="321"/>
      <c r="S86" s="321" t="s">
        <v>53</v>
      </c>
      <c r="T86" s="327" t="s">
        <v>1703</v>
      </c>
      <c r="U86" s="297" t="s">
        <v>2238</v>
      </c>
      <c r="V86" s="294"/>
      <c r="W86" s="297">
        <v>0</v>
      </c>
      <c r="X86" s="294"/>
      <c r="Y86" s="329"/>
      <c r="Z86" s="329"/>
      <c r="AA86" s="332">
        <f>Table1[[#This Row],[Selling USD]]-Table1[[#This Row],[Cost USD]]</f>
        <v>0</v>
      </c>
      <c r="AB86" s="335">
        <f>360*5*0.6</f>
        <v>1080</v>
      </c>
      <c r="AC86" s="298">
        <v>815</v>
      </c>
      <c r="AD86" s="299">
        <f>Table1[[#This Row],[Selling EUR]]-Table1[[#This Row],[Cost EUR]]</f>
        <v>-265</v>
      </c>
      <c r="AE86" s="321" t="s">
        <v>54</v>
      </c>
      <c r="AF86" s="294">
        <v>45942</v>
      </c>
      <c r="AG86" s="294"/>
      <c r="AH86" s="321"/>
      <c r="AI86" s="323"/>
      <c r="AJ86" s="338"/>
      <c r="AK86" s="323"/>
      <c r="AL86" s="338"/>
      <c r="AM86" s="338"/>
      <c r="AN86" s="323" t="s">
        <v>2340</v>
      </c>
      <c r="AO86" s="282"/>
      <c r="AP86" s="306"/>
      <c r="AQ86" s="282"/>
      <c r="AR86" s="282"/>
      <c r="AS86" s="282"/>
      <c r="AT86" s="281"/>
      <c r="AU86" s="281"/>
      <c r="AV86" s="281"/>
      <c r="AW86" s="281"/>
      <c r="AX86" s="281"/>
      <c r="AY86" s="281"/>
      <c r="AZ86" s="281"/>
    </row>
    <row r="87" spans="1:52" ht="15" customHeight="1" x14ac:dyDescent="0.3">
      <c r="A87" s="294">
        <v>45887</v>
      </c>
      <c r="B87" s="321" t="s">
        <v>47</v>
      </c>
      <c r="C87" s="321" t="s">
        <v>47</v>
      </c>
      <c r="D87" s="294" t="s">
        <v>48</v>
      </c>
      <c r="E87" s="321" t="s">
        <v>61</v>
      </c>
      <c r="F87" s="295">
        <v>16852168</v>
      </c>
      <c r="G87" s="296">
        <v>20303409</v>
      </c>
      <c r="H87" s="280" t="s">
        <v>50</v>
      </c>
      <c r="I87" s="323" t="s">
        <v>112</v>
      </c>
      <c r="J87" s="323" t="s">
        <v>2482</v>
      </c>
      <c r="K87" s="294">
        <v>45998</v>
      </c>
      <c r="L87" s="294">
        <v>46005</v>
      </c>
      <c r="M87" s="284">
        <f>Table1[[#This Row],[Dep Date]]-Table1[[#This Row],[Arr Date]]</f>
        <v>7</v>
      </c>
      <c r="N87" s="323" t="s">
        <v>52</v>
      </c>
      <c r="O87" s="321">
        <v>1</v>
      </c>
      <c r="P87" s="321">
        <v>2</v>
      </c>
      <c r="Q87" s="321">
        <v>2</v>
      </c>
      <c r="R87" s="321"/>
      <c r="S87" s="321" t="s">
        <v>53</v>
      </c>
      <c r="T87" s="326" t="s">
        <v>1704</v>
      </c>
      <c r="U87" s="297" t="s">
        <v>2239</v>
      </c>
      <c r="V87" s="294"/>
      <c r="W87" s="297">
        <v>0</v>
      </c>
      <c r="X87" s="294"/>
      <c r="Y87" s="329"/>
      <c r="Z87" s="329"/>
      <c r="AA87" s="332">
        <f>Table1[[#This Row],[Selling USD]]-Table1[[#This Row],[Cost USD]]</f>
        <v>0</v>
      </c>
      <c r="AB87" s="335">
        <f>128*2*7*0.66</f>
        <v>1182.72</v>
      </c>
      <c r="AC87" s="298">
        <v>952</v>
      </c>
      <c r="AD87" s="299">
        <f>Table1[[#This Row],[Selling EUR]]-Table1[[#This Row],[Cost EUR]]</f>
        <v>-230.72000000000003</v>
      </c>
      <c r="AE87" s="321" t="s">
        <v>54</v>
      </c>
      <c r="AF87" s="294">
        <v>45992</v>
      </c>
      <c r="AG87" s="294" t="s">
        <v>2341</v>
      </c>
      <c r="AH87" s="321"/>
      <c r="AI87" s="323"/>
      <c r="AJ87" s="338"/>
      <c r="AK87" s="323"/>
      <c r="AL87" s="338"/>
      <c r="AM87" s="338"/>
      <c r="AN87" s="324" t="s">
        <v>2342</v>
      </c>
      <c r="AO87" s="282"/>
      <c r="AP87" s="306"/>
      <c r="AQ87" s="282"/>
      <c r="AR87" s="282"/>
      <c r="AS87" s="282"/>
      <c r="AT87" s="281"/>
      <c r="AU87" s="281"/>
      <c r="AV87" s="281"/>
      <c r="AW87" s="281"/>
      <c r="AX87" s="281"/>
      <c r="AY87" s="281"/>
      <c r="AZ87" s="281"/>
    </row>
    <row r="88" spans="1:52" ht="15" customHeight="1" x14ac:dyDescent="0.3">
      <c r="A88" s="294">
        <v>45888</v>
      </c>
      <c r="B88" s="321" t="s">
        <v>47</v>
      </c>
      <c r="C88" s="321" t="s">
        <v>47</v>
      </c>
      <c r="D88" s="294" t="s">
        <v>79</v>
      </c>
      <c r="E88" s="321" t="s">
        <v>106</v>
      </c>
      <c r="F88" s="295">
        <v>13373233</v>
      </c>
      <c r="G88" s="296">
        <v>20243050</v>
      </c>
      <c r="H88" s="280" t="s">
        <v>50</v>
      </c>
      <c r="I88" s="323" t="s">
        <v>78</v>
      </c>
      <c r="J88" s="323" t="s">
        <v>1402</v>
      </c>
      <c r="K88" s="294">
        <v>45921</v>
      </c>
      <c r="L88" s="294">
        <v>45930</v>
      </c>
      <c r="M88" s="284">
        <f>Table1[[#This Row],[Dep Date]]-Table1[[#This Row],[Arr Date]]</f>
        <v>9</v>
      </c>
      <c r="N88" s="323" t="s">
        <v>52</v>
      </c>
      <c r="O88" s="321">
        <v>1</v>
      </c>
      <c r="P88" s="321">
        <v>2</v>
      </c>
      <c r="Q88" s="321"/>
      <c r="R88" s="321"/>
      <c r="S88" s="321" t="s">
        <v>53</v>
      </c>
      <c r="T88" s="327" t="s">
        <v>1705</v>
      </c>
      <c r="U88" s="297"/>
      <c r="V88" s="294"/>
      <c r="W88" s="297">
        <v>0</v>
      </c>
      <c r="X88" s="294"/>
      <c r="Y88" s="329">
        <f>34*2*9</f>
        <v>612</v>
      </c>
      <c r="Z88" s="329">
        <v>618.12</v>
      </c>
      <c r="AA88" s="332">
        <f>Table1[[#This Row],[Selling USD]]-Table1[[#This Row],[Cost USD]]</f>
        <v>6.1200000000000045</v>
      </c>
      <c r="AB88" s="335"/>
      <c r="AC88" s="298"/>
      <c r="AD88" s="299">
        <f>Table1[[#This Row],[Selling EUR]]-Table1[[#This Row],[Cost EUR]]</f>
        <v>0</v>
      </c>
      <c r="AE88" s="321" t="s">
        <v>54</v>
      </c>
      <c r="AF88" s="294">
        <v>45914</v>
      </c>
      <c r="AG88" s="294"/>
      <c r="AH88" s="321"/>
      <c r="AI88" s="323"/>
      <c r="AJ88" s="338"/>
      <c r="AK88" s="323"/>
      <c r="AL88" s="338"/>
      <c r="AM88" s="338"/>
      <c r="AN88" s="323"/>
      <c r="AO88" s="282"/>
      <c r="AP88" s="306"/>
      <c r="AQ88" s="282"/>
      <c r="AR88" s="282"/>
      <c r="AS88" s="282"/>
      <c r="AT88" s="281"/>
      <c r="AU88" s="281"/>
      <c r="AV88" s="281"/>
      <c r="AW88" s="281"/>
      <c r="AX88" s="281"/>
      <c r="AY88" s="281"/>
      <c r="AZ88" s="281"/>
    </row>
    <row r="89" spans="1:52" ht="15" customHeight="1" x14ac:dyDescent="0.3">
      <c r="A89" s="294">
        <v>45888</v>
      </c>
      <c r="B89" s="321" t="s">
        <v>47</v>
      </c>
      <c r="C89" s="321" t="s">
        <v>47</v>
      </c>
      <c r="D89" s="294" t="s">
        <v>79</v>
      </c>
      <c r="E89" s="321" t="s">
        <v>106</v>
      </c>
      <c r="F89" s="295">
        <v>13358619</v>
      </c>
      <c r="G89" s="296">
        <v>20243048</v>
      </c>
      <c r="H89" s="280" t="s">
        <v>84</v>
      </c>
      <c r="I89" s="323" t="s">
        <v>113</v>
      </c>
      <c r="J89" s="323" t="s">
        <v>1470</v>
      </c>
      <c r="K89" s="294">
        <v>45957</v>
      </c>
      <c r="L89" s="294">
        <v>45964</v>
      </c>
      <c r="M89" s="284">
        <f>Table1[[#This Row],[Dep Date]]-Table1[[#This Row],[Arr Date]]</f>
        <v>7</v>
      </c>
      <c r="N89" s="323" t="s">
        <v>52</v>
      </c>
      <c r="O89" s="321">
        <v>1</v>
      </c>
      <c r="P89" s="321">
        <v>2</v>
      </c>
      <c r="Q89" s="321"/>
      <c r="R89" s="321"/>
      <c r="S89" s="321" t="s">
        <v>53</v>
      </c>
      <c r="T89" s="326" t="s">
        <v>1706</v>
      </c>
      <c r="U89" s="297"/>
      <c r="V89" s="294"/>
      <c r="W89" s="297">
        <v>0</v>
      </c>
      <c r="X89" s="294"/>
      <c r="Y89" s="329">
        <f>125*2*5+205*2*2*0.55</f>
        <v>1701</v>
      </c>
      <c r="Z89" s="329">
        <v>1718.01</v>
      </c>
      <c r="AA89" s="332">
        <f>Table1[[#This Row],[Selling USD]]-Table1[[#This Row],[Cost USD]]</f>
        <v>17.009999999999991</v>
      </c>
      <c r="AB89" s="335"/>
      <c r="AC89" s="298"/>
      <c r="AD89" s="299">
        <f>Table1[[#This Row],[Selling EUR]]-Table1[[#This Row],[Cost EUR]]</f>
        <v>0</v>
      </c>
      <c r="AE89" s="321" t="s">
        <v>54</v>
      </c>
      <c r="AF89" s="294">
        <v>45942</v>
      </c>
      <c r="AG89" s="294"/>
      <c r="AH89" s="321"/>
      <c r="AI89" s="323"/>
      <c r="AJ89" s="338"/>
      <c r="AK89" s="323"/>
      <c r="AL89" s="338"/>
      <c r="AM89" s="338"/>
      <c r="AN89" s="323"/>
      <c r="AO89" s="282"/>
      <c r="AP89" s="306"/>
      <c r="AQ89" s="282"/>
      <c r="AR89" s="282"/>
      <c r="AS89" s="282"/>
      <c r="AT89" s="281"/>
      <c r="AU89" s="281"/>
      <c r="AV89" s="281"/>
      <c r="AW89" s="281"/>
      <c r="AX89" s="281"/>
      <c r="AY89" s="281"/>
      <c r="AZ89" s="281"/>
    </row>
    <row r="90" spans="1:52" ht="15" customHeight="1" x14ac:dyDescent="0.3">
      <c r="A90" s="294">
        <v>45888</v>
      </c>
      <c r="B90" s="321" t="s">
        <v>47</v>
      </c>
      <c r="C90" s="321" t="s">
        <v>47</v>
      </c>
      <c r="D90" s="294" t="s">
        <v>48</v>
      </c>
      <c r="E90" s="321" t="s">
        <v>49</v>
      </c>
      <c r="F90" s="295">
        <v>16856541</v>
      </c>
      <c r="G90" s="296"/>
      <c r="H90" s="280" t="s">
        <v>50</v>
      </c>
      <c r="I90" s="323" t="s">
        <v>101</v>
      </c>
      <c r="J90" s="323" t="s">
        <v>2483</v>
      </c>
      <c r="K90" s="294">
        <v>45959</v>
      </c>
      <c r="L90" s="294">
        <v>45961</v>
      </c>
      <c r="M90" s="284">
        <f>Table1[[#This Row],[Dep Date]]-Table1[[#This Row],[Arr Date]]</f>
        <v>2</v>
      </c>
      <c r="N90" s="323" t="s">
        <v>70</v>
      </c>
      <c r="O90" s="321">
        <v>1</v>
      </c>
      <c r="P90" s="321">
        <v>3</v>
      </c>
      <c r="Q90" s="321"/>
      <c r="R90" s="321"/>
      <c r="S90" s="321" t="s">
        <v>53</v>
      </c>
      <c r="T90" s="327" t="s">
        <v>1707</v>
      </c>
      <c r="U90" s="297"/>
      <c r="V90" s="294"/>
      <c r="W90" s="297">
        <v>0</v>
      </c>
      <c r="X90" s="294"/>
      <c r="Y90" s="329"/>
      <c r="Z90" s="329"/>
      <c r="AA90" s="332">
        <f>Table1[[#This Row],[Selling USD]]-Table1[[#This Row],[Cost USD]]</f>
        <v>0</v>
      </c>
      <c r="AB90" s="335">
        <f>25*3*2</f>
        <v>150</v>
      </c>
      <c r="AC90" s="298">
        <v>168</v>
      </c>
      <c r="AD90" s="299">
        <f>Table1[[#This Row],[Selling EUR]]-Table1[[#This Row],[Cost EUR]]</f>
        <v>18</v>
      </c>
      <c r="AE90" s="321" t="s">
        <v>54</v>
      </c>
      <c r="AF90" s="294">
        <v>45953</v>
      </c>
      <c r="AG90" s="294"/>
      <c r="AH90" s="321"/>
      <c r="AI90" s="323"/>
      <c r="AJ90" s="338"/>
      <c r="AK90" s="323"/>
      <c r="AL90" s="338"/>
      <c r="AM90" s="338"/>
      <c r="AN90" s="323"/>
      <c r="AO90" s="282"/>
      <c r="AP90" s="306"/>
      <c r="AQ90" s="282"/>
      <c r="AR90" s="282"/>
      <c r="AS90" s="282"/>
      <c r="AT90" s="281"/>
      <c r="AU90" s="281"/>
      <c r="AV90" s="281"/>
      <c r="AW90" s="281"/>
      <c r="AX90" s="281"/>
      <c r="AY90" s="281"/>
      <c r="AZ90" s="281"/>
    </row>
    <row r="91" spans="1:52" ht="15" customHeight="1" x14ac:dyDescent="0.3">
      <c r="A91" s="294">
        <v>45888</v>
      </c>
      <c r="B91" s="321" t="s">
        <v>47</v>
      </c>
      <c r="C91" s="321" t="s">
        <v>47</v>
      </c>
      <c r="D91" s="294" t="s">
        <v>48</v>
      </c>
      <c r="E91" s="321" t="s">
        <v>49</v>
      </c>
      <c r="F91" s="295">
        <v>16865209</v>
      </c>
      <c r="G91" s="296"/>
      <c r="H91" s="280" t="s">
        <v>50</v>
      </c>
      <c r="I91" s="323" t="s">
        <v>51</v>
      </c>
      <c r="J91" s="323" t="s">
        <v>2484</v>
      </c>
      <c r="K91" s="294">
        <v>45962</v>
      </c>
      <c r="L91" s="294">
        <v>45969</v>
      </c>
      <c r="M91" s="284">
        <f>Table1[[#This Row],[Dep Date]]-Table1[[#This Row],[Arr Date]]</f>
        <v>7</v>
      </c>
      <c r="N91" s="323" t="s">
        <v>52</v>
      </c>
      <c r="O91" s="321">
        <v>1</v>
      </c>
      <c r="P91" s="321">
        <v>2</v>
      </c>
      <c r="Q91" s="321"/>
      <c r="R91" s="321"/>
      <c r="S91" s="321" t="s">
        <v>53</v>
      </c>
      <c r="T91" s="327" t="s">
        <v>1708</v>
      </c>
      <c r="U91" s="297"/>
      <c r="V91" s="294"/>
      <c r="W91" s="297">
        <v>0</v>
      </c>
      <c r="X91" s="294"/>
      <c r="Y91" s="329"/>
      <c r="Z91" s="329"/>
      <c r="AA91" s="332">
        <f>Table1[[#This Row],[Selling USD]]-Table1[[#This Row],[Cost USD]]</f>
        <v>0</v>
      </c>
      <c r="AB91" s="335">
        <f>87*2*7*0.6</f>
        <v>730.8</v>
      </c>
      <c r="AC91" s="298">
        <v>767.2</v>
      </c>
      <c r="AD91" s="299">
        <f>Table1[[#This Row],[Selling EUR]]-Table1[[#This Row],[Cost EUR]]</f>
        <v>36.400000000000091</v>
      </c>
      <c r="AE91" s="321" t="s">
        <v>54</v>
      </c>
      <c r="AF91" s="294">
        <v>45956</v>
      </c>
      <c r="AG91" s="294" t="s">
        <v>2296</v>
      </c>
      <c r="AH91" s="321"/>
      <c r="AI91" s="323"/>
      <c r="AJ91" s="338"/>
      <c r="AK91" s="323"/>
      <c r="AL91" s="338"/>
      <c r="AM91" s="338"/>
      <c r="AN91" s="323"/>
      <c r="AO91" s="282"/>
      <c r="AP91" s="306"/>
      <c r="AQ91" s="282"/>
      <c r="AR91" s="282"/>
      <c r="AS91" s="282"/>
      <c r="AT91" s="281"/>
      <c r="AU91" s="281"/>
      <c r="AV91" s="281"/>
      <c r="AW91" s="281"/>
      <c r="AX91" s="281"/>
      <c r="AY91" s="281"/>
      <c r="AZ91" s="281"/>
    </row>
    <row r="92" spans="1:52" ht="15" customHeight="1" x14ac:dyDescent="0.3">
      <c r="A92" s="294">
        <v>45888</v>
      </c>
      <c r="B92" s="321" t="s">
        <v>47</v>
      </c>
      <c r="C92" s="321" t="s">
        <v>47</v>
      </c>
      <c r="D92" s="294" t="s">
        <v>48</v>
      </c>
      <c r="E92" s="321" t="s">
        <v>49</v>
      </c>
      <c r="F92" s="295">
        <v>16856236</v>
      </c>
      <c r="G92" s="296">
        <v>20303419</v>
      </c>
      <c r="H92" s="280" t="s">
        <v>50</v>
      </c>
      <c r="I92" s="323" t="s">
        <v>57</v>
      </c>
      <c r="J92" s="323" t="s">
        <v>2434</v>
      </c>
      <c r="K92" s="294">
        <v>45978</v>
      </c>
      <c r="L92" s="294">
        <v>45985</v>
      </c>
      <c r="M92" s="284">
        <f>Table1[[#This Row],[Dep Date]]-Table1[[#This Row],[Arr Date]]</f>
        <v>7</v>
      </c>
      <c r="N92" s="323" t="s">
        <v>52</v>
      </c>
      <c r="O92" s="321">
        <v>1</v>
      </c>
      <c r="P92" s="321">
        <v>2</v>
      </c>
      <c r="Q92" s="321"/>
      <c r="R92" s="321"/>
      <c r="S92" s="321" t="s">
        <v>53</v>
      </c>
      <c r="T92" s="327" t="s">
        <v>1709</v>
      </c>
      <c r="U92" s="297"/>
      <c r="V92" s="294"/>
      <c r="W92" s="297">
        <v>0</v>
      </c>
      <c r="X92" s="294"/>
      <c r="Y92" s="329"/>
      <c r="Z92" s="329"/>
      <c r="AA92" s="332">
        <f>Table1[[#This Row],[Selling USD]]-Table1[[#This Row],[Cost USD]]</f>
        <v>0</v>
      </c>
      <c r="AB92" s="335">
        <f>(127*2*3+107*2*4)*0.73</f>
        <v>1181.1399999999999</v>
      </c>
      <c r="AC92" s="298">
        <v>1209.1400000000001</v>
      </c>
      <c r="AD92" s="299">
        <f>Table1[[#This Row],[Selling EUR]]-Table1[[#This Row],[Cost EUR]]</f>
        <v>28.000000000000227</v>
      </c>
      <c r="AE92" s="321" t="s">
        <v>54</v>
      </c>
      <c r="AF92" s="294">
        <v>45967</v>
      </c>
      <c r="AG92" s="294"/>
      <c r="AH92" s="321"/>
      <c r="AI92" s="323"/>
      <c r="AJ92" s="338"/>
      <c r="AK92" s="323"/>
      <c r="AL92" s="338"/>
      <c r="AM92" s="338"/>
      <c r="AN92" s="323"/>
      <c r="AO92" s="282"/>
      <c r="AP92" s="306"/>
      <c r="AQ92" s="282"/>
      <c r="AR92" s="282"/>
      <c r="AS92" s="282"/>
      <c r="AT92" s="281"/>
      <c r="AU92" s="281"/>
      <c r="AV92" s="281"/>
      <c r="AW92" s="281"/>
      <c r="AX92" s="281"/>
      <c r="AY92" s="281"/>
      <c r="AZ92" s="281"/>
    </row>
    <row r="93" spans="1:52" ht="15" customHeight="1" x14ac:dyDescent="0.3">
      <c r="A93" s="294">
        <v>45889</v>
      </c>
      <c r="B93" s="321" t="s">
        <v>47</v>
      </c>
      <c r="C93" s="321" t="s">
        <v>47</v>
      </c>
      <c r="D93" s="294" t="s">
        <v>48</v>
      </c>
      <c r="E93" s="321" t="s">
        <v>49</v>
      </c>
      <c r="F93" s="295">
        <v>16863024</v>
      </c>
      <c r="G93" s="296"/>
      <c r="H93" s="280" t="s">
        <v>50</v>
      </c>
      <c r="I93" s="323" t="s">
        <v>109</v>
      </c>
      <c r="J93" s="323" t="s">
        <v>2485</v>
      </c>
      <c r="K93" s="294">
        <v>45935</v>
      </c>
      <c r="L93" s="294">
        <v>45942</v>
      </c>
      <c r="M93" s="284">
        <f>Table1[[#This Row],[Dep Date]]-Table1[[#This Row],[Arr Date]]</f>
        <v>7</v>
      </c>
      <c r="N93" s="323" t="s">
        <v>52</v>
      </c>
      <c r="O93" s="321">
        <v>1</v>
      </c>
      <c r="P93" s="321">
        <v>2</v>
      </c>
      <c r="Q93" s="321">
        <v>2</v>
      </c>
      <c r="R93" s="321"/>
      <c r="S93" s="321" t="s">
        <v>53</v>
      </c>
      <c r="T93" s="327" t="s">
        <v>1710</v>
      </c>
      <c r="U93" s="297" t="s">
        <v>2238</v>
      </c>
      <c r="V93" s="294"/>
      <c r="W93" s="297">
        <v>0</v>
      </c>
      <c r="X93" s="294"/>
      <c r="Y93" s="329"/>
      <c r="Z93" s="329"/>
      <c r="AA93" s="332">
        <f>Table1[[#This Row],[Selling USD]]-Table1[[#This Row],[Cost USD]]</f>
        <v>0</v>
      </c>
      <c r="AB93" s="335">
        <f>76*2*7</f>
        <v>1064</v>
      </c>
      <c r="AC93" s="298">
        <v>1078</v>
      </c>
      <c r="AD93" s="299">
        <f>Table1[[#This Row],[Selling EUR]]-Table1[[#This Row],[Cost EUR]]</f>
        <v>14</v>
      </c>
      <c r="AE93" s="321" t="s">
        <v>54</v>
      </c>
      <c r="AF93" s="294">
        <v>45928</v>
      </c>
      <c r="AG93" s="294"/>
      <c r="AH93" s="321"/>
      <c r="AI93" s="323"/>
      <c r="AJ93" s="338"/>
      <c r="AK93" s="323"/>
      <c r="AL93" s="338"/>
      <c r="AM93" s="338"/>
      <c r="AN93" s="323" t="s">
        <v>2343</v>
      </c>
      <c r="AO93" s="282"/>
      <c r="AP93" s="306"/>
      <c r="AQ93" s="282"/>
      <c r="AR93" s="282"/>
      <c r="AS93" s="282"/>
      <c r="AT93" s="281"/>
      <c r="AU93" s="281"/>
      <c r="AV93" s="281"/>
      <c r="AW93" s="281"/>
      <c r="AX93" s="281"/>
      <c r="AY93" s="281"/>
      <c r="AZ93" s="281"/>
    </row>
    <row r="94" spans="1:52" ht="15" customHeight="1" x14ac:dyDescent="0.3">
      <c r="A94" s="294">
        <v>45889</v>
      </c>
      <c r="B94" s="321" t="s">
        <v>47</v>
      </c>
      <c r="C94" s="321" t="s">
        <v>47</v>
      </c>
      <c r="D94" s="294" t="s">
        <v>48</v>
      </c>
      <c r="E94" s="321" t="s">
        <v>2486</v>
      </c>
      <c r="F94" s="295">
        <v>16861173</v>
      </c>
      <c r="G94" s="296"/>
      <c r="H94" s="280" t="s">
        <v>50</v>
      </c>
      <c r="I94" s="323" t="s">
        <v>109</v>
      </c>
      <c r="J94" s="323" t="s">
        <v>2487</v>
      </c>
      <c r="K94" s="294">
        <v>45955</v>
      </c>
      <c r="L94" s="294">
        <v>45963</v>
      </c>
      <c r="M94" s="284">
        <f>Table1[[#This Row],[Dep Date]]-Table1[[#This Row],[Arr Date]]</f>
        <v>8</v>
      </c>
      <c r="N94" s="323" t="s">
        <v>52</v>
      </c>
      <c r="O94" s="321">
        <v>1</v>
      </c>
      <c r="P94" s="321">
        <v>2</v>
      </c>
      <c r="Q94" s="321">
        <v>1</v>
      </c>
      <c r="R94" s="321"/>
      <c r="S94" s="321" t="s">
        <v>53</v>
      </c>
      <c r="T94" s="327" t="s">
        <v>1711</v>
      </c>
      <c r="U94" s="297" t="s">
        <v>2237</v>
      </c>
      <c r="V94" s="294"/>
      <c r="W94" s="297">
        <v>0</v>
      </c>
      <c r="X94" s="294"/>
      <c r="Y94" s="329"/>
      <c r="Z94" s="329"/>
      <c r="AA94" s="332">
        <f>Table1[[#This Row],[Selling USD]]-Table1[[#This Row],[Cost USD]]</f>
        <v>0</v>
      </c>
      <c r="AB94" s="335">
        <f>57*2*7+49*2</f>
        <v>896</v>
      </c>
      <c r="AC94" s="298">
        <v>912</v>
      </c>
      <c r="AD94" s="299">
        <f>Table1[[#This Row],[Selling EUR]]-Table1[[#This Row],[Cost EUR]]</f>
        <v>16</v>
      </c>
      <c r="AE94" s="321" t="s">
        <v>54</v>
      </c>
      <c r="AF94" s="294">
        <v>45942</v>
      </c>
      <c r="AG94" s="294"/>
      <c r="AH94" s="321"/>
      <c r="AI94" s="323"/>
      <c r="AJ94" s="338"/>
      <c r="AK94" s="323"/>
      <c r="AL94" s="338"/>
      <c r="AM94" s="338"/>
      <c r="AN94" s="323"/>
      <c r="AO94" s="282"/>
      <c r="AP94" s="306"/>
      <c r="AQ94" s="282"/>
      <c r="AR94" s="282"/>
      <c r="AS94" s="282"/>
      <c r="AT94" s="281"/>
      <c r="AU94" s="281"/>
      <c r="AV94" s="281"/>
      <c r="AW94" s="281"/>
      <c r="AX94" s="281"/>
      <c r="AY94" s="281"/>
      <c r="AZ94" s="281"/>
    </row>
    <row r="95" spans="1:52" ht="15" customHeight="1" x14ac:dyDescent="0.3">
      <c r="A95" s="294">
        <v>45889</v>
      </c>
      <c r="B95" s="321" t="s">
        <v>47</v>
      </c>
      <c r="C95" s="321" t="s">
        <v>47</v>
      </c>
      <c r="D95" s="294" t="s">
        <v>48</v>
      </c>
      <c r="E95" s="321" t="s">
        <v>49</v>
      </c>
      <c r="F95" s="295">
        <v>16862078</v>
      </c>
      <c r="G95" s="296"/>
      <c r="H95" s="280" t="s">
        <v>50</v>
      </c>
      <c r="I95" s="323" t="s">
        <v>101</v>
      </c>
      <c r="J95" s="323" t="s">
        <v>2432</v>
      </c>
      <c r="K95" s="294">
        <v>45959</v>
      </c>
      <c r="L95" s="294">
        <v>45961</v>
      </c>
      <c r="M95" s="284">
        <f>Table1[[#This Row],[Dep Date]]-Table1[[#This Row],[Arr Date]]</f>
        <v>2</v>
      </c>
      <c r="N95" s="323" t="s">
        <v>52</v>
      </c>
      <c r="O95" s="321">
        <v>1</v>
      </c>
      <c r="P95" s="321">
        <v>2</v>
      </c>
      <c r="Q95" s="321"/>
      <c r="R95" s="321"/>
      <c r="S95" s="321" t="s">
        <v>53</v>
      </c>
      <c r="T95" s="327" t="s">
        <v>1712</v>
      </c>
      <c r="U95" s="297"/>
      <c r="V95" s="294"/>
      <c r="W95" s="297">
        <v>0</v>
      </c>
      <c r="X95" s="294"/>
      <c r="Y95" s="329"/>
      <c r="Z95" s="329"/>
      <c r="AA95" s="332">
        <f>Table1[[#This Row],[Selling USD]]-Table1[[#This Row],[Cost USD]]</f>
        <v>0</v>
      </c>
      <c r="AB95" s="335">
        <f>28*2*2</f>
        <v>112</v>
      </c>
      <c r="AC95" s="298">
        <v>120</v>
      </c>
      <c r="AD95" s="299">
        <f>Table1[[#This Row],[Selling EUR]]-Table1[[#This Row],[Cost EUR]]</f>
        <v>8</v>
      </c>
      <c r="AE95" s="321" t="s">
        <v>54</v>
      </c>
      <c r="AF95" s="294">
        <v>45953</v>
      </c>
      <c r="AG95" s="294"/>
      <c r="AH95" s="321"/>
      <c r="AI95" s="323"/>
      <c r="AJ95" s="338"/>
      <c r="AK95" s="323"/>
      <c r="AL95" s="338"/>
      <c r="AM95" s="338"/>
      <c r="AN95" s="323" t="s">
        <v>2344</v>
      </c>
      <c r="AO95" s="282"/>
      <c r="AP95" s="306"/>
      <c r="AQ95" s="282"/>
      <c r="AR95" s="282"/>
      <c r="AS95" s="282"/>
      <c r="AT95" s="281"/>
      <c r="AU95" s="281"/>
      <c r="AV95" s="281"/>
      <c r="AW95" s="281"/>
      <c r="AX95" s="281"/>
      <c r="AY95" s="281"/>
      <c r="AZ95" s="281"/>
    </row>
    <row r="96" spans="1:52" ht="15" customHeight="1" x14ac:dyDescent="0.3">
      <c r="A96" s="294">
        <v>45889</v>
      </c>
      <c r="B96" s="321" t="s">
        <v>47</v>
      </c>
      <c r="C96" s="321" t="s">
        <v>47</v>
      </c>
      <c r="D96" s="294" t="s">
        <v>79</v>
      </c>
      <c r="E96" s="321" t="s">
        <v>61</v>
      </c>
      <c r="F96" s="295">
        <v>13384319</v>
      </c>
      <c r="G96" s="296">
        <v>20243052</v>
      </c>
      <c r="H96" s="280" t="s">
        <v>50</v>
      </c>
      <c r="I96" s="323" t="s">
        <v>92</v>
      </c>
      <c r="J96" s="323" t="s">
        <v>2488</v>
      </c>
      <c r="K96" s="294">
        <v>45975</v>
      </c>
      <c r="L96" s="294">
        <v>45981</v>
      </c>
      <c r="M96" s="284">
        <f>Table1[[#This Row],[Dep Date]]-Table1[[#This Row],[Arr Date]]</f>
        <v>6</v>
      </c>
      <c r="N96" s="323" t="s">
        <v>52</v>
      </c>
      <c r="O96" s="321">
        <v>1</v>
      </c>
      <c r="P96" s="321">
        <v>2</v>
      </c>
      <c r="Q96" s="321">
        <v>1</v>
      </c>
      <c r="R96" s="321"/>
      <c r="S96" s="321" t="s">
        <v>53</v>
      </c>
      <c r="T96" s="327" t="s">
        <v>1713</v>
      </c>
      <c r="U96" s="297" t="s">
        <v>2240</v>
      </c>
      <c r="V96" s="294"/>
      <c r="W96" s="297">
        <v>0</v>
      </c>
      <c r="X96" s="294"/>
      <c r="Y96" s="329"/>
      <c r="Z96" s="329"/>
      <c r="AA96" s="332">
        <f>Table1[[#This Row],[Selling USD]]-Table1[[#This Row],[Cost USD]]</f>
        <v>0</v>
      </c>
      <c r="AB96" s="335">
        <f>(180*2*4+165*2*2)*0.55</f>
        <v>1155</v>
      </c>
      <c r="AC96" s="298">
        <v>1199.8800000000001</v>
      </c>
      <c r="AD96" s="299">
        <f>Table1[[#This Row],[Selling EUR]]-Table1[[#This Row],[Cost EUR]]</f>
        <v>44.880000000000109</v>
      </c>
      <c r="AE96" s="321" t="s">
        <v>54</v>
      </c>
      <c r="AF96" s="294">
        <v>45970</v>
      </c>
      <c r="AG96" s="294"/>
      <c r="AH96" s="321"/>
      <c r="AI96" s="323"/>
      <c r="AJ96" s="338"/>
      <c r="AK96" s="323"/>
      <c r="AL96" s="338"/>
      <c r="AM96" s="338"/>
      <c r="AN96" s="323"/>
      <c r="AO96" s="282"/>
      <c r="AP96" s="306"/>
      <c r="AQ96" s="282"/>
      <c r="AR96" s="282"/>
      <c r="AS96" s="282"/>
      <c r="AT96" s="281"/>
      <c r="AU96" s="281"/>
      <c r="AV96" s="281"/>
      <c r="AW96" s="281"/>
      <c r="AX96" s="281"/>
      <c r="AY96" s="281"/>
      <c r="AZ96" s="281"/>
    </row>
    <row r="97" spans="1:52" ht="15" customHeight="1" x14ac:dyDescent="0.3">
      <c r="A97" s="294">
        <v>45965</v>
      </c>
      <c r="B97" s="321" t="s">
        <v>47</v>
      </c>
      <c r="C97" s="321" t="s">
        <v>47</v>
      </c>
      <c r="D97" s="294" t="s">
        <v>48</v>
      </c>
      <c r="E97" s="321" t="s">
        <v>61</v>
      </c>
      <c r="F97" s="295">
        <v>17063482</v>
      </c>
      <c r="G97" s="296"/>
      <c r="H97" s="280" t="s">
        <v>84</v>
      </c>
      <c r="I97" s="323" t="s">
        <v>114</v>
      </c>
      <c r="J97" s="323" t="s">
        <v>2455</v>
      </c>
      <c r="K97" s="294">
        <v>45970</v>
      </c>
      <c r="L97" s="294">
        <v>45976</v>
      </c>
      <c r="M97" s="284">
        <f>Table1[[#This Row],[Dep Date]]-Table1[[#This Row],[Arr Date]]</f>
        <v>6</v>
      </c>
      <c r="N97" s="323" t="s">
        <v>52</v>
      </c>
      <c r="O97" s="321">
        <v>1</v>
      </c>
      <c r="P97" s="321">
        <v>2</v>
      </c>
      <c r="Q97" s="321">
        <v>1</v>
      </c>
      <c r="R97" s="321"/>
      <c r="S97" s="321" t="s">
        <v>53</v>
      </c>
      <c r="T97" s="326" t="s">
        <v>1714</v>
      </c>
      <c r="U97" s="297" t="s">
        <v>2241</v>
      </c>
      <c r="V97" s="294"/>
      <c r="W97" s="297">
        <v>0</v>
      </c>
      <c r="X97" s="294"/>
      <c r="Y97" s="329">
        <f>54*2*6</f>
        <v>648</v>
      </c>
      <c r="Z97" s="329">
        <v>684</v>
      </c>
      <c r="AA97" s="332">
        <f>Table1[[#This Row],[Selling USD]]-Table1[[#This Row],[Cost USD]]</f>
        <v>36</v>
      </c>
      <c r="AB97" s="335"/>
      <c r="AC97" s="298"/>
      <c r="AD97" s="299">
        <f>Table1[[#This Row],[Selling EUR]]-Table1[[#This Row],[Cost EUR]]</f>
        <v>0</v>
      </c>
      <c r="AE97" s="321" t="s">
        <v>54</v>
      </c>
      <c r="AF97" s="294">
        <v>45966</v>
      </c>
      <c r="AG97" s="294"/>
      <c r="AH97" s="321"/>
      <c r="AI97" s="323"/>
      <c r="AJ97" s="338"/>
      <c r="AK97" s="323"/>
      <c r="AL97" s="338"/>
      <c r="AM97" s="338"/>
      <c r="AN97" s="323"/>
      <c r="AO97" s="282"/>
      <c r="AP97" s="306"/>
      <c r="AQ97" s="282"/>
      <c r="AR97" s="282"/>
      <c r="AS97" s="282"/>
      <c r="AT97" s="281"/>
      <c r="AU97" s="281"/>
      <c r="AV97" s="281"/>
      <c r="AW97" s="281"/>
      <c r="AX97" s="281"/>
      <c r="AY97" s="281"/>
      <c r="AZ97" s="281"/>
    </row>
    <row r="98" spans="1:52" ht="15" customHeight="1" x14ac:dyDescent="0.3">
      <c r="A98" s="294">
        <v>45838</v>
      </c>
      <c r="B98" s="321" t="s">
        <v>73</v>
      </c>
      <c r="C98" s="321" t="s">
        <v>73</v>
      </c>
      <c r="D98" s="294" t="s">
        <v>79</v>
      </c>
      <c r="E98" s="321" t="s">
        <v>61</v>
      </c>
      <c r="F98" s="295">
        <v>12543478</v>
      </c>
      <c r="G98" s="296" t="s">
        <v>1607</v>
      </c>
      <c r="H98" s="280" t="s">
        <v>84</v>
      </c>
      <c r="I98" s="323" t="s">
        <v>85</v>
      </c>
      <c r="J98" s="323" t="s">
        <v>2450</v>
      </c>
      <c r="K98" s="294">
        <v>46014</v>
      </c>
      <c r="L98" s="294">
        <v>46019</v>
      </c>
      <c r="M98" s="284">
        <f>Table1[[#This Row],[Dep Date]]-Table1[[#This Row],[Arr Date]]</f>
        <v>5</v>
      </c>
      <c r="N98" s="323" t="s">
        <v>52</v>
      </c>
      <c r="O98" s="321">
        <v>1</v>
      </c>
      <c r="P98" s="321">
        <v>2</v>
      </c>
      <c r="Q98" s="321">
        <v>2</v>
      </c>
      <c r="R98" s="321"/>
      <c r="S98" s="321" t="s">
        <v>53</v>
      </c>
      <c r="T98" s="326" t="s">
        <v>1715</v>
      </c>
      <c r="U98" s="297">
        <v>5</v>
      </c>
      <c r="V98" s="294"/>
      <c r="W98" s="297">
        <v>3</v>
      </c>
      <c r="X98" s="294"/>
      <c r="Y98" s="329"/>
      <c r="Z98" s="329"/>
      <c r="AA98" s="332">
        <f>Table1[[#This Row],[Selling USD]]-Table1[[#This Row],[Cost USD]]</f>
        <v>0</v>
      </c>
      <c r="AB98" s="335"/>
      <c r="AC98" s="298"/>
      <c r="AD98" s="299">
        <f>Table1[[#This Row],[Selling EUR]]-Table1[[#This Row],[Cost EUR]]</f>
        <v>0</v>
      </c>
      <c r="AE98" s="321"/>
      <c r="AF98" s="294"/>
      <c r="AG98" s="294"/>
      <c r="AH98" s="321"/>
      <c r="AI98" s="323"/>
      <c r="AJ98" s="338"/>
      <c r="AK98" s="323"/>
      <c r="AL98" s="338"/>
      <c r="AM98" s="338"/>
      <c r="AN98" s="323" t="s">
        <v>2345</v>
      </c>
      <c r="AO98" s="282"/>
      <c r="AP98" s="306"/>
      <c r="AQ98" s="282"/>
      <c r="AR98" s="282"/>
      <c r="AS98" s="282"/>
      <c r="AT98" s="281"/>
      <c r="AU98" s="281"/>
      <c r="AV98" s="281"/>
      <c r="AW98" s="281"/>
      <c r="AX98" s="281"/>
      <c r="AY98" s="281"/>
      <c r="AZ98" s="281"/>
    </row>
    <row r="99" spans="1:52" ht="15" customHeight="1" x14ac:dyDescent="0.3">
      <c r="A99" s="294">
        <v>45892</v>
      </c>
      <c r="B99" s="321" t="s">
        <v>47</v>
      </c>
      <c r="C99" s="321" t="s">
        <v>47</v>
      </c>
      <c r="D99" s="294" t="s">
        <v>48</v>
      </c>
      <c r="E99" s="321" t="s">
        <v>49</v>
      </c>
      <c r="F99" s="295">
        <v>16871782</v>
      </c>
      <c r="G99" s="296"/>
      <c r="H99" s="280" t="s">
        <v>58</v>
      </c>
      <c r="I99" s="323" t="s">
        <v>115</v>
      </c>
      <c r="J99" s="323" t="s">
        <v>2489</v>
      </c>
      <c r="K99" s="294">
        <v>45961</v>
      </c>
      <c r="L99" s="294">
        <v>45970</v>
      </c>
      <c r="M99" s="284">
        <f>Table1[[#This Row],[Dep Date]]-Table1[[#This Row],[Arr Date]]</f>
        <v>9</v>
      </c>
      <c r="N99" s="323" t="s">
        <v>52</v>
      </c>
      <c r="O99" s="321">
        <v>1</v>
      </c>
      <c r="P99" s="321">
        <v>2</v>
      </c>
      <c r="Q99" s="321"/>
      <c r="R99" s="321"/>
      <c r="S99" s="321" t="s">
        <v>53</v>
      </c>
      <c r="T99" s="326" t="s">
        <v>1716</v>
      </c>
      <c r="U99" s="297"/>
      <c r="V99" s="294"/>
      <c r="W99" s="297">
        <v>0</v>
      </c>
      <c r="X99" s="294"/>
      <c r="Y99" s="329"/>
      <c r="Z99" s="329"/>
      <c r="AA99" s="332">
        <f>Table1[[#This Row],[Selling USD]]-Table1[[#This Row],[Cost USD]]</f>
        <v>0</v>
      </c>
      <c r="AB99" s="335">
        <f>37*2+42*2*8</f>
        <v>746</v>
      </c>
      <c r="AC99" s="298">
        <v>748</v>
      </c>
      <c r="AD99" s="299">
        <f>Table1[[#This Row],[Selling EUR]]-Table1[[#This Row],[Cost EUR]]</f>
        <v>2</v>
      </c>
      <c r="AE99" s="321" t="s">
        <v>54</v>
      </c>
      <c r="AF99" s="294">
        <v>45949</v>
      </c>
      <c r="AG99" s="294"/>
      <c r="AH99" s="321"/>
      <c r="AI99" s="323"/>
      <c r="AJ99" s="338"/>
      <c r="AK99" s="323"/>
      <c r="AL99" s="338"/>
      <c r="AM99" s="338"/>
      <c r="AN99" s="323"/>
      <c r="AO99" s="282"/>
      <c r="AP99" s="306"/>
      <c r="AQ99" s="282"/>
      <c r="AR99" s="282"/>
      <c r="AS99" s="282"/>
      <c r="AT99" s="281"/>
      <c r="AU99" s="281"/>
      <c r="AV99" s="281"/>
      <c r="AW99" s="281"/>
      <c r="AX99" s="281"/>
      <c r="AY99" s="281"/>
      <c r="AZ99" s="281"/>
    </row>
    <row r="100" spans="1:52" ht="15" customHeight="1" x14ac:dyDescent="0.3">
      <c r="A100" s="294">
        <v>45892</v>
      </c>
      <c r="B100" s="321" t="s">
        <v>47</v>
      </c>
      <c r="C100" s="321" t="s">
        <v>47</v>
      </c>
      <c r="D100" s="294" t="s">
        <v>48</v>
      </c>
      <c r="E100" s="321" t="s">
        <v>49</v>
      </c>
      <c r="F100" s="295">
        <v>16870655</v>
      </c>
      <c r="G100" s="296"/>
      <c r="H100" s="280" t="s">
        <v>50</v>
      </c>
      <c r="I100" s="323" t="s">
        <v>95</v>
      </c>
      <c r="J100" s="323" t="s">
        <v>2490</v>
      </c>
      <c r="K100" s="294">
        <v>45963</v>
      </c>
      <c r="L100" s="294">
        <v>45972</v>
      </c>
      <c r="M100" s="284">
        <f>Table1[[#This Row],[Dep Date]]-Table1[[#This Row],[Arr Date]]</f>
        <v>9</v>
      </c>
      <c r="N100" s="323" t="s">
        <v>52</v>
      </c>
      <c r="O100" s="321">
        <v>1</v>
      </c>
      <c r="P100" s="321">
        <v>2</v>
      </c>
      <c r="Q100" s="321"/>
      <c r="R100" s="321"/>
      <c r="S100" s="321" t="s">
        <v>53</v>
      </c>
      <c r="T100" s="327" t="s">
        <v>1717</v>
      </c>
      <c r="U100" s="297"/>
      <c r="V100" s="294"/>
      <c r="W100" s="297">
        <v>0</v>
      </c>
      <c r="X100" s="294"/>
      <c r="Y100" s="329"/>
      <c r="Z100" s="329"/>
      <c r="AA100" s="332">
        <f>Table1[[#This Row],[Selling USD]]-Table1[[#This Row],[Cost USD]]</f>
        <v>0</v>
      </c>
      <c r="AB100" s="335">
        <f>88*2*9*0.85</f>
        <v>1346.3999999999999</v>
      </c>
      <c r="AC100" s="298">
        <v>1422.9</v>
      </c>
      <c r="AD100" s="299">
        <f>Table1[[#This Row],[Selling EUR]]-Table1[[#This Row],[Cost EUR]]</f>
        <v>76.500000000000227</v>
      </c>
      <c r="AE100" s="321" t="s">
        <v>54</v>
      </c>
      <c r="AF100" s="294">
        <v>45957</v>
      </c>
      <c r="AG100" s="294" t="s">
        <v>2346</v>
      </c>
      <c r="AH100" s="321"/>
      <c r="AI100" s="323"/>
      <c r="AJ100" s="338"/>
      <c r="AK100" s="323"/>
      <c r="AL100" s="338"/>
      <c r="AM100" s="338"/>
      <c r="AN100" s="324" t="s">
        <v>2347</v>
      </c>
      <c r="AO100" s="282"/>
      <c r="AP100" s="306"/>
      <c r="AQ100" s="282"/>
      <c r="AR100" s="282"/>
      <c r="AS100" s="282"/>
      <c r="AT100" s="281"/>
      <c r="AU100" s="281"/>
      <c r="AV100" s="281"/>
      <c r="AW100" s="281"/>
      <c r="AX100" s="281"/>
      <c r="AY100" s="281"/>
      <c r="AZ100" s="281"/>
    </row>
    <row r="101" spans="1:52" ht="15" customHeight="1" x14ac:dyDescent="0.3">
      <c r="A101" s="294">
        <v>45892</v>
      </c>
      <c r="B101" s="321" t="s">
        <v>47</v>
      </c>
      <c r="C101" s="321" t="s">
        <v>47</v>
      </c>
      <c r="D101" s="294" t="s">
        <v>48</v>
      </c>
      <c r="E101" s="321" t="s">
        <v>49</v>
      </c>
      <c r="F101" s="295">
        <v>16870754</v>
      </c>
      <c r="G101" s="296">
        <v>20303431</v>
      </c>
      <c r="H101" s="280" t="s">
        <v>58</v>
      </c>
      <c r="I101" s="323" t="s">
        <v>62</v>
      </c>
      <c r="J101" s="323" t="s">
        <v>63</v>
      </c>
      <c r="K101" s="294">
        <v>46009</v>
      </c>
      <c r="L101" s="294">
        <v>46019</v>
      </c>
      <c r="M101" s="284">
        <f>Table1[[#This Row],[Dep Date]]-Table1[[#This Row],[Arr Date]]</f>
        <v>10</v>
      </c>
      <c r="N101" s="323" t="s">
        <v>52</v>
      </c>
      <c r="O101" s="321">
        <v>1</v>
      </c>
      <c r="P101" s="321">
        <v>2</v>
      </c>
      <c r="Q101" s="321"/>
      <c r="R101" s="321"/>
      <c r="S101" s="321" t="s">
        <v>53</v>
      </c>
      <c r="T101" s="327" t="s">
        <v>1718</v>
      </c>
      <c r="U101" s="297"/>
      <c r="V101" s="294"/>
      <c r="W101" s="297">
        <v>0</v>
      </c>
      <c r="X101" s="294"/>
      <c r="Y101" s="329"/>
      <c r="Z101" s="329"/>
      <c r="AA101" s="332">
        <f>Table1[[#This Row],[Selling USD]]-Table1[[#This Row],[Cost USD]]</f>
        <v>0</v>
      </c>
      <c r="AB101" s="335">
        <f>(43*2*9+60*2)+180</f>
        <v>1074</v>
      </c>
      <c r="AC101" s="298">
        <v>1024.5999999999999</v>
      </c>
      <c r="AD101" s="299">
        <f>Table1[[#This Row],[Selling EUR]]-Table1[[#This Row],[Cost EUR]]</f>
        <v>-49.400000000000091</v>
      </c>
      <c r="AE101" s="321" t="s">
        <v>54</v>
      </c>
      <c r="AF101" s="294">
        <v>46001</v>
      </c>
      <c r="AG101" s="294"/>
      <c r="AH101" s="321"/>
      <c r="AI101" s="323"/>
      <c r="AJ101" s="338"/>
      <c r="AK101" s="323"/>
      <c r="AL101" s="338"/>
      <c r="AM101" s="338"/>
      <c r="AN101" s="323" t="s">
        <v>2348</v>
      </c>
      <c r="AO101" s="282"/>
      <c r="AP101" s="306"/>
      <c r="AQ101" s="282"/>
      <c r="AR101" s="282"/>
      <c r="AS101" s="282"/>
      <c r="AT101" s="281"/>
      <c r="AU101" s="281"/>
      <c r="AV101" s="281"/>
      <c r="AW101" s="281"/>
      <c r="AX101" s="281"/>
      <c r="AY101" s="281"/>
      <c r="AZ101" s="281"/>
    </row>
    <row r="102" spans="1:52" ht="15" customHeight="1" x14ac:dyDescent="0.3">
      <c r="A102" s="294">
        <v>45892</v>
      </c>
      <c r="B102" s="321" t="s">
        <v>47</v>
      </c>
      <c r="C102" s="321" t="s">
        <v>47</v>
      </c>
      <c r="D102" s="294" t="s">
        <v>48</v>
      </c>
      <c r="E102" s="321" t="s">
        <v>49</v>
      </c>
      <c r="F102" s="295">
        <v>16871847</v>
      </c>
      <c r="G102" s="296">
        <v>20303435</v>
      </c>
      <c r="H102" s="280" t="s">
        <v>58</v>
      </c>
      <c r="I102" s="323" t="s">
        <v>62</v>
      </c>
      <c r="J102" s="323" t="s">
        <v>63</v>
      </c>
      <c r="K102" s="294">
        <v>46018</v>
      </c>
      <c r="L102" s="294">
        <v>46025</v>
      </c>
      <c r="M102" s="284">
        <f>Table1[[#This Row],[Dep Date]]-Table1[[#This Row],[Arr Date]]</f>
        <v>7</v>
      </c>
      <c r="N102" s="323" t="s">
        <v>52</v>
      </c>
      <c r="O102" s="321">
        <v>1</v>
      </c>
      <c r="P102" s="321">
        <v>2</v>
      </c>
      <c r="Q102" s="321"/>
      <c r="R102" s="321"/>
      <c r="S102" s="321" t="s">
        <v>53</v>
      </c>
      <c r="T102" s="326" t="s">
        <v>1719</v>
      </c>
      <c r="U102" s="297"/>
      <c r="V102" s="294"/>
      <c r="W102" s="297">
        <v>0</v>
      </c>
      <c r="X102" s="294"/>
      <c r="Y102" s="329"/>
      <c r="Z102" s="329"/>
      <c r="AA102" s="332">
        <f>Table1[[#This Row],[Selling USD]]-Table1[[#This Row],[Cost USD]]</f>
        <v>0</v>
      </c>
      <c r="AB102" s="335">
        <f>60*2*7+220</f>
        <v>1060</v>
      </c>
      <c r="AC102" s="298">
        <v>1368</v>
      </c>
      <c r="AD102" s="299">
        <f>Table1[[#This Row],[Selling EUR]]-Table1[[#This Row],[Cost EUR]]</f>
        <v>308</v>
      </c>
      <c r="AE102" s="321" t="s">
        <v>54</v>
      </c>
      <c r="AF102" s="294">
        <v>46012</v>
      </c>
      <c r="AG102" s="294"/>
      <c r="AH102" s="321"/>
      <c r="AI102" s="323"/>
      <c r="AJ102" s="338"/>
      <c r="AK102" s="323"/>
      <c r="AL102" s="338"/>
      <c r="AM102" s="338"/>
      <c r="AN102" s="323"/>
      <c r="AO102" s="282"/>
      <c r="AP102" s="306"/>
      <c r="AQ102" s="282"/>
      <c r="AR102" s="282"/>
      <c r="AS102" s="282"/>
      <c r="AT102" s="281"/>
      <c r="AU102" s="281"/>
      <c r="AV102" s="281"/>
      <c r="AW102" s="281"/>
      <c r="AX102" s="281"/>
      <c r="AY102" s="281"/>
      <c r="AZ102" s="281"/>
    </row>
    <row r="103" spans="1:52" ht="15" customHeight="1" x14ac:dyDescent="0.3">
      <c r="A103" s="294">
        <v>45892</v>
      </c>
      <c r="B103" s="321" t="s">
        <v>47</v>
      </c>
      <c r="C103" s="321" t="s">
        <v>47</v>
      </c>
      <c r="D103" s="294" t="s">
        <v>48</v>
      </c>
      <c r="E103" s="321" t="s">
        <v>49</v>
      </c>
      <c r="F103" s="295">
        <v>16871600</v>
      </c>
      <c r="G103" s="296">
        <v>20303432</v>
      </c>
      <c r="H103" s="280" t="s">
        <v>50</v>
      </c>
      <c r="I103" s="323" t="s">
        <v>104</v>
      </c>
      <c r="J103" s="323" t="s">
        <v>2491</v>
      </c>
      <c r="K103" s="294">
        <v>46021</v>
      </c>
      <c r="L103" s="294">
        <v>46029</v>
      </c>
      <c r="M103" s="284">
        <f>Table1[[#This Row],[Dep Date]]-Table1[[#This Row],[Arr Date]]</f>
        <v>8</v>
      </c>
      <c r="N103" s="323" t="s">
        <v>52</v>
      </c>
      <c r="O103" s="321">
        <v>1</v>
      </c>
      <c r="P103" s="321">
        <v>2</v>
      </c>
      <c r="Q103" s="321"/>
      <c r="R103" s="321"/>
      <c r="S103" s="321" t="s">
        <v>53</v>
      </c>
      <c r="T103" s="326" t="s">
        <v>1720</v>
      </c>
      <c r="U103" s="297"/>
      <c r="V103" s="294"/>
      <c r="W103" s="297">
        <v>0</v>
      </c>
      <c r="X103" s="294"/>
      <c r="Y103" s="329"/>
      <c r="Z103" s="329"/>
      <c r="AA103" s="332">
        <f>Table1[[#This Row],[Selling USD]]-Table1[[#This Row],[Cost USD]]</f>
        <v>0</v>
      </c>
      <c r="AB103" s="335">
        <f>(170*2*2*0.7+129*2*6*0.62)+(312*2*0.85)</f>
        <v>1966.1599999999999</v>
      </c>
      <c r="AC103" s="298">
        <v>1955.76</v>
      </c>
      <c r="AD103" s="299">
        <f>Table1[[#This Row],[Selling EUR]]-Table1[[#This Row],[Cost EUR]]</f>
        <v>-10.399999999999864</v>
      </c>
      <c r="AE103" s="321" t="s">
        <v>54</v>
      </c>
      <c r="AF103" s="294">
        <v>46005</v>
      </c>
      <c r="AG103" s="294"/>
      <c r="AH103" s="321"/>
      <c r="AI103" s="323"/>
      <c r="AJ103" s="338"/>
      <c r="AK103" s="323"/>
      <c r="AL103" s="338"/>
      <c r="AM103" s="338"/>
      <c r="AN103" s="324" t="s">
        <v>2349</v>
      </c>
      <c r="AO103" s="282"/>
      <c r="AP103" s="306"/>
      <c r="AQ103" s="282"/>
      <c r="AR103" s="282"/>
      <c r="AS103" s="282"/>
      <c r="AT103" s="281"/>
      <c r="AU103" s="281"/>
      <c r="AV103" s="281"/>
      <c r="AW103" s="281"/>
      <c r="AX103" s="281"/>
      <c r="AY103" s="281"/>
      <c r="AZ103" s="281"/>
    </row>
    <row r="104" spans="1:52" ht="15" customHeight="1" x14ac:dyDescent="0.3">
      <c r="A104" s="294">
        <v>45893</v>
      </c>
      <c r="B104" s="321" t="s">
        <v>47</v>
      </c>
      <c r="C104" s="321" t="s">
        <v>47</v>
      </c>
      <c r="D104" s="294" t="s">
        <v>48</v>
      </c>
      <c r="E104" s="321" t="s">
        <v>49</v>
      </c>
      <c r="F104" s="295">
        <v>16872403</v>
      </c>
      <c r="G104" s="296"/>
      <c r="H104" s="280" t="s">
        <v>50</v>
      </c>
      <c r="I104" s="323" t="s">
        <v>95</v>
      </c>
      <c r="J104" s="323" t="s">
        <v>2490</v>
      </c>
      <c r="K104" s="294">
        <v>45969</v>
      </c>
      <c r="L104" s="294">
        <v>45976</v>
      </c>
      <c r="M104" s="284">
        <f>Table1[[#This Row],[Dep Date]]-Table1[[#This Row],[Arr Date]]</f>
        <v>7</v>
      </c>
      <c r="N104" s="323" t="s">
        <v>52</v>
      </c>
      <c r="O104" s="321">
        <v>1</v>
      </c>
      <c r="P104" s="321">
        <v>2</v>
      </c>
      <c r="Q104" s="321"/>
      <c r="R104" s="321"/>
      <c r="S104" s="321" t="s">
        <v>53</v>
      </c>
      <c r="T104" s="326" t="s">
        <v>1721</v>
      </c>
      <c r="U104" s="297"/>
      <c r="V104" s="294"/>
      <c r="W104" s="297">
        <v>0</v>
      </c>
      <c r="X104" s="294"/>
      <c r="Y104" s="329"/>
      <c r="Z104" s="329"/>
      <c r="AA104" s="332">
        <f>Table1[[#This Row],[Selling USD]]-Table1[[#This Row],[Cost USD]]</f>
        <v>0</v>
      </c>
      <c r="AB104" s="335">
        <f>93*2*7*0.85</f>
        <v>1106.7</v>
      </c>
      <c r="AC104" s="298">
        <v>1134.7</v>
      </c>
      <c r="AD104" s="299">
        <f>Table1[[#This Row],[Selling EUR]]-Table1[[#This Row],[Cost EUR]]</f>
        <v>28</v>
      </c>
      <c r="AE104" s="321" t="s">
        <v>54</v>
      </c>
      <c r="AF104" s="294">
        <v>45957</v>
      </c>
      <c r="AG104" s="294"/>
      <c r="AH104" s="321"/>
      <c r="AI104" s="323"/>
      <c r="AJ104" s="338"/>
      <c r="AK104" s="323"/>
      <c r="AL104" s="338"/>
      <c r="AM104" s="338"/>
      <c r="AN104" s="323"/>
      <c r="AO104" s="282"/>
      <c r="AP104" s="306"/>
      <c r="AQ104" s="282"/>
      <c r="AR104" s="282"/>
      <c r="AS104" s="282"/>
      <c r="AT104" s="281"/>
      <c r="AU104" s="281"/>
      <c r="AV104" s="281"/>
      <c r="AW104" s="281"/>
      <c r="AX104" s="281"/>
      <c r="AY104" s="281"/>
      <c r="AZ104" s="281"/>
    </row>
    <row r="105" spans="1:52" ht="15" customHeight="1" x14ac:dyDescent="0.3">
      <c r="A105" s="294">
        <v>45893</v>
      </c>
      <c r="B105" s="321" t="s">
        <v>47</v>
      </c>
      <c r="C105" s="321" t="s">
        <v>47</v>
      </c>
      <c r="D105" s="294" t="s">
        <v>48</v>
      </c>
      <c r="E105" s="321" t="s">
        <v>61</v>
      </c>
      <c r="F105" s="295">
        <v>16874084</v>
      </c>
      <c r="G105" s="296"/>
      <c r="H105" s="280" t="s">
        <v>50</v>
      </c>
      <c r="I105" s="323" t="s">
        <v>109</v>
      </c>
      <c r="J105" s="323" t="s">
        <v>2492</v>
      </c>
      <c r="K105" s="294">
        <v>45972</v>
      </c>
      <c r="L105" s="294">
        <v>45979</v>
      </c>
      <c r="M105" s="284">
        <f>Table1[[#This Row],[Dep Date]]-Table1[[#This Row],[Arr Date]]</f>
        <v>7</v>
      </c>
      <c r="N105" s="323" t="s">
        <v>52</v>
      </c>
      <c r="O105" s="321">
        <v>1</v>
      </c>
      <c r="P105" s="321">
        <v>2</v>
      </c>
      <c r="Q105" s="321"/>
      <c r="R105" s="321"/>
      <c r="S105" s="321" t="s">
        <v>53</v>
      </c>
      <c r="T105" s="326" t="s">
        <v>1722</v>
      </c>
      <c r="U105" s="297"/>
      <c r="V105" s="294"/>
      <c r="W105" s="297">
        <v>0</v>
      </c>
      <c r="X105" s="294"/>
      <c r="Y105" s="329">
        <f>(130*2-5)*7*0.65</f>
        <v>1160.25</v>
      </c>
      <c r="Z105" s="329">
        <v>1160.25</v>
      </c>
      <c r="AA105" s="332">
        <f>Table1[[#This Row],[Selling USD]]-Table1[[#This Row],[Cost USD]]</f>
        <v>0</v>
      </c>
      <c r="AB105" s="335"/>
      <c r="AC105" s="298"/>
      <c r="AD105" s="299">
        <f>Table1[[#This Row],[Selling EUR]]-Table1[[#This Row],[Cost EUR]]</f>
        <v>0</v>
      </c>
      <c r="AE105" s="321" t="s">
        <v>54</v>
      </c>
      <c r="AF105" s="294">
        <v>45950</v>
      </c>
      <c r="AG105" s="294"/>
      <c r="AH105" s="321"/>
      <c r="AI105" s="323"/>
      <c r="AJ105" s="338"/>
      <c r="AK105" s="323"/>
      <c r="AL105" s="338"/>
      <c r="AM105" s="338"/>
      <c r="AN105" s="323"/>
      <c r="AO105" s="282"/>
      <c r="AP105" s="306"/>
      <c r="AQ105" s="282"/>
      <c r="AR105" s="282"/>
      <c r="AS105" s="282"/>
      <c r="AT105" s="281"/>
      <c r="AU105" s="281"/>
      <c r="AV105" s="281"/>
      <c r="AW105" s="281"/>
      <c r="AX105" s="281"/>
      <c r="AY105" s="281"/>
      <c r="AZ105" s="281"/>
    </row>
    <row r="106" spans="1:52" ht="15" customHeight="1" x14ac:dyDescent="0.3">
      <c r="A106" s="294">
        <v>45893</v>
      </c>
      <c r="B106" s="321" t="s">
        <v>47</v>
      </c>
      <c r="C106" s="321" t="s">
        <v>47</v>
      </c>
      <c r="D106" s="294" t="s">
        <v>48</v>
      </c>
      <c r="E106" s="321" t="s">
        <v>49</v>
      </c>
      <c r="F106" s="295">
        <v>16873832</v>
      </c>
      <c r="G106" s="296"/>
      <c r="H106" s="280" t="s">
        <v>58</v>
      </c>
      <c r="I106" s="323" t="s">
        <v>115</v>
      </c>
      <c r="J106" s="323" t="s">
        <v>2493</v>
      </c>
      <c r="K106" s="294">
        <v>45974</v>
      </c>
      <c r="L106" s="294">
        <v>45988</v>
      </c>
      <c r="M106" s="284">
        <f>Table1[[#This Row],[Dep Date]]-Table1[[#This Row],[Arr Date]]</f>
        <v>14</v>
      </c>
      <c r="N106" s="323" t="s">
        <v>52</v>
      </c>
      <c r="O106" s="321">
        <v>1</v>
      </c>
      <c r="P106" s="321">
        <v>2</v>
      </c>
      <c r="Q106" s="321"/>
      <c r="R106" s="321"/>
      <c r="S106" s="321" t="s">
        <v>53</v>
      </c>
      <c r="T106" s="327" t="s">
        <v>1723</v>
      </c>
      <c r="U106" s="297"/>
      <c r="V106" s="294"/>
      <c r="W106" s="297">
        <v>0</v>
      </c>
      <c r="X106" s="294"/>
      <c r="Y106" s="329"/>
      <c r="Z106" s="329"/>
      <c r="AA106" s="332">
        <f>Table1[[#This Row],[Selling USD]]-Table1[[#This Row],[Cost USD]]</f>
        <v>0</v>
      </c>
      <c r="AB106" s="335">
        <f>42*2*14</f>
        <v>1176</v>
      </c>
      <c r="AC106" s="298">
        <v>1176</v>
      </c>
      <c r="AD106" s="299">
        <f>Table1[[#This Row],[Selling EUR]]-Table1[[#This Row],[Cost EUR]]</f>
        <v>0</v>
      </c>
      <c r="AE106" s="321" t="s">
        <v>54</v>
      </c>
      <c r="AF106" s="294">
        <v>45963</v>
      </c>
      <c r="AG106" s="294"/>
      <c r="AH106" s="321"/>
      <c r="AI106" s="323"/>
      <c r="AJ106" s="338"/>
      <c r="AK106" s="323"/>
      <c r="AL106" s="338"/>
      <c r="AM106" s="338"/>
      <c r="AN106" s="323"/>
      <c r="AO106" s="282"/>
      <c r="AP106" s="306"/>
      <c r="AQ106" s="282"/>
      <c r="AR106" s="282"/>
      <c r="AS106" s="282"/>
      <c r="AT106" s="281"/>
      <c r="AU106" s="281"/>
      <c r="AV106" s="281"/>
      <c r="AW106" s="281"/>
      <c r="AX106" s="281"/>
      <c r="AY106" s="281"/>
      <c r="AZ106" s="281"/>
    </row>
    <row r="107" spans="1:52" ht="15" customHeight="1" x14ac:dyDescent="0.3">
      <c r="A107" s="294">
        <v>45894</v>
      </c>
      <c r="B107" s="321" t="s">
        <v>47</v>
      </c>
      <c r="C107" s="321" t="s">
        <v>47</v>
      </c>
      <c r="D107" s="294" t="s">
        <v>48</v>
      </c>
      <c r="E107" s="321" t="s">
        <v>49</v>
      </c>
      <c r="F107" s="295">
        <v>16874155</v>
      </c>
      <c r="G107" s="296">
        <v>20303441</v>
      </c>
      <c r="H107" s="280" t="s">
        <v>58</v>
      </c>
      <c r="I107" s="323" t="s">
        <v>62</v>
      </c>
      <c r="J107" s="323" t="s">
        <v>63</v>
      </c>
      <c r="K107" s="294">
        <v>45993</v>
      </c>
      <c r="L107" s="294">
        <v>46007</v>
      </c>
      <c r="M107" s="284">
        <f>Table1[[#This Row],[Dep Date]]-Table1[[#This Row],[Arr Date]]</f>
        <v>14</v>
      </c>
      <c r="N107" s="323" t="s">
        <v>65</v>
      </c>
      <c r="O107" s="321">
        <v>1</v>
      </c>
      <c r="P107" s="321">
        <v>1</v>
      </c>
      <c r="Q107" s="321"/>
      <c r="R107" s="321"/>
      <c r="S107" s="321" t="s">
        <v>53</v>
      </c>
      <c r="T107" s="326" t="s">
        <v>1724</v>
      </c>
      <c r="U107" s="297"/>
      <c r="V107" s="294"/>
      <c r="W107" s="297">
        <v>0</v>
      </c>
      <c r="X107" s="294"/>
      <c r="Y107" s="329"/>
      <c r="Z107" s="329"/>
      <c r="AA107" s="332">
        <f>Table1[[#This Row],[Selling USD]]-Table1[[#This Row],[Cost USD]]</f>
        <v>0</v>
      </c>
      <c r="AB107" s="335">
        <f>63*14</f>
        <v>882</v>
      </c>
      <c r="AC107" s="298">
        <v>950</v>
      </c>
      <c r="AD107" s="299">
        <f>Table1[[#This Row],[Selling EUR]]-Table1[[#This Row],[Cost EUR]]</f>
        <v>68</v>
      </c>
      <c r="AE107" s="321" t="s">
        <v>54</v>
      </c>
      <c r="AF107" s="294">
        <v>45984</v>
      </c>
      <c r="AG107" s="294" t="s">
        <v>2291</v>
      </c>
      <c r="AH107" s="321"/>
      <c r="AI107" s="323"/>
      <c r="AJ107" s="338"/>
      <c r="AK107" s="323"/>
      <c r="AL107" s="338"/>
      <c r="AM107" s="338"/>
      <c r="AN107" s="323" t="s">
        <v>2350</v>
      </c>
      <c r="AO107" s="282"/>
      <c r="AP107" s="306"/>
      <c r="AQ107" s="282"/>
      <c r="AR107" s="282"/>
      <c r="AS107" s="282"/>
      <c r="AT107" s="281"/>
      <c r="AU107" s="281"/>
      <c r="AV107" s="281"/>
      <c r="AW107" s="281"/>
      <c r="AX107" s="281"/>
      <c r="AY107" s="281"/>
      <c r="AZ107" s="281"/>
    </row>
    <row r="108" spans="1:52" ht="15" customHeight="1" x14ac:dyDescent="0.3">
      <c r="A108" s="294">
        <v>45878</v>
      </c>
      <c r="B108" s="321" t="s">
        <v>73</v>
      </c>
      <c r="C108" s="321" t="s">
        <v>73</v>
      </c>
      <c r="D108" s="294" t="s">
        <v>79</v>
      </c>
      <c r="E108" s="321" t="s">
        <v>106</v>
      </c>
      <c r="F108" s="295">
        <v>13202241</v>
      </c>
      <c r="G108" s="296">
        <v>20243040</v>
      </c>
      <c r="H108" s="280" t="s">
        <v>84</v>
      </c>
      <c r="I108" s="323" t="s">
        <v>85</v>
      </c>
      <c r="J108" s="323" t="s">
        <v>2450</v>
      </c>
      <c r="K108" s="294">
        <v>46067</v>
      </c>
      <c r="L108" s="294">
        <v>46074</v>
      </c>
      <c r="M108" s="284">
        <f>Table1[[#This Row],[Dep Date]]-Table1[[#This Row],[Arr Date]]</f>
        <v>7</v>
      </c>
      <c r="N108" s="323" t="s">
        <v>52</v>
      </c>
      <c r="O108" s="321">
        <v>1</v>
      </c>
      <c r="P108" s="321">
        <v>2</v>
      </c>
      <c r="Q108" s="321">
        <v>2</v>
      </c>
      <c r="R108" s="321"/>
      <c r="S108" s="321" t="s">
        <v>53</v>
      </c>
      <c r="T108" s="327" t="s">
        <v>1725</v>
      </c>
      <c r="U108" s="297" t="s">
        <v>2242</v>
      </c>
      <c r="V108" s="294"/>
      <c r="W108" s="297">
        <v>0</v>
      </c>
      <c r="X108" s="294"/>
      <c r="Y108" s="329"/>
      <c r="Z108" s="329"/>
      <c r="AA108" s="332">
        <f>Table1[[#This Row],[Selling USD]]-Table1[[#This Row],[Cost USD]]</f>
        <v>0</v>
      </c>
      <c r="AB108" s="335"/>
      <c r="AC108" s="298"/>
      <c r="AD108" s="299">
        <f>Table1[[#This Row],[Selling EUR]]-Table1[[#This Row],[Cost EUR]]</f>
        <v>0</v>
      </c>
      <c r="AE108" s="321"/>
      <c r="AF108" s="294"/>
      <c r="AG108" s="294"/>
      <c r="AH108" s="321"/>
      <c r="AI108" s="323"/>
      <c r="AJ108" s="338"/>
      <c r="AK108" s="323"/>
      <c r="AL108" s="338"/>
      <c r="AM108" s="338"/>
      <c r="AN108" s="323"/>
      <c r="AO108" s="282"/>
      <c r="AP108" s="306"/>
      <c r="AQ108" s="282"/>
      <c r="AR108" s="282"/>
      <c r="AS108" s="282"/>
      <c r="AT108" s="281"/>
      <c r="AU108" s="281"/>
      <c r="AV108" s="281"/>
      <c r="AW108" s="281"/>
      <c r="AX108" s="281"/>
      <c r="AY108" s="281"/>
      <c r="AZ108" s="281"/>
    </row>
    <row r="109" spans="1:52" ht="15" customHeight="1" x14ac:dyDescent="0.3">
      <c r="A109" s="294">
        <v>45895</v>
      </c>
      <c r="B109" s="321" t="s">
        <v>47</v>
      </c>
      <c r="C109" s="321" t="s">
        <v>47</v>
      </c>
      <c r="D109" s="294" t="s">
        <v>79</v>
      </c>
      <c r="E109" s="321" t="s">
        <v>106</v>
      </c>
      <c r="F109" s="295">
        <v>13471972</v>
      </c>
      <c r="G109" s="296">
        <v>20243058</v>
      </c>
      <c r="H109" s="280" t="s">
        <v>50</v>
      </c>
      <c r="I109" s="323" t="s">
        <v>116</v>
      </c>
      <c r="J109" s="323" t="s">
        <v>1470</v>
      </c>
      <c r="K109" s="294">
        <v>45948</v>
      </c>
      <c r="L109" s="294">
        <v>45955</v>
      </c>
      <c r="M109" s="284">
        <f>Table1[[#This Row],[Dep Date]]-Table1[[#This Row],[Arr Date]]</f>
        <v>7</v>
      </c>
      <c r="N109" s="323" t="s">
        <v>52</v>
      </c>
      <c r="O109" s="321">
        <v>1</v>
      </c>
      <c r="P109" s="321">
        <v>2</v>
      </c>
      <c r="Q109" s="321"/>
      <c r="R109" s="321"/>
      <c r="S109" s="321" t="s">
        <v>53</v>
      </c>
      <c r="T109" s="326" t="s">
        <v>1726</v>
      </c>
      <c r="U109" s="297"/>
      <c r="V109" s="294"/>
      <c r="W109" s="297">
        <v>0</v>
      </c>
      <c r="X109" s="294"/>
      <c r="Y109" s="329">
        <f>84*2*7</f>
        <v>1176</v>
      </c>
      <c r="Z109" s="329">
        <v>1199.52</v>
      </c>
      <c r="AA109" s="332">
        <f>Table1[[#This Row],[Selling USD]]-Table1[[#This Row],[Cost USD]]</f>
        <v>23.519999999999982</v>
      </c>
      <c r="AB109" s="335"/>
      <c r="AC109" s="298"/>
      <c r="AD109" s="299">
        <f>Table1[[#This Row],[Selling EUR]]-Table1[[#This Row],[Cost EUR]]</f>
        <v>0</v>
      </c>
      <c r="AE109" s="321" t="s">
        <v>54</v>
      </c>
      <c r="AF109" s="294">
        <v>45938</v>
      </c>
      <c r="AG109" s="294"/>
      <c r="AH109" s="321"/>
      <c r="AI109" s="323"/>
      <c r="AJ109" s="338"/>
      <c r="AK109" s="323"/>
      <c r="AL109" s="338"/>
      <c r="AM109" s="338"/>
      <c r="AN109" s="323"/>
      <c r="AO109" s="282"/>
      <c r="AP109" s="306"/>
      <c r="AQ109" s="282"/>
      <c r="AR109" s="282"/>
      <c r="AS109" s="282"/>
      <c r="AT109" s="281"/>
      <c r="AU109" s="281"/>
      <c r="AV109" s="281"/>
      <c r="AW109" s="281"/>
      <c r="AX109" s="281"/>
      <c r="AY109" s="281"/>
      <c r="AZ109" s="281"/>
    </row>
    <row r="110" spans="1:52" ht="15" customHeight="1" x14ac:dyDescent="0.3">
      <c r="A110" s="294">
        <v>45895</v>
      </c>
      <c r="B110" s="321" t="s">
        <v>47</v>
      </c>
      <c r="C110" s="321" t="s">
        <v>47</v>
      </c>
      <c r="D110" s="294" t="s">
        <v>48</v>
      </c>
      <c r="E110" s="321" t="s">
        <v>49</v>
      </c>
      <c r="F110" s="295">
        <v>16882693</v>
      </c>
      <c r="G110" s="296">
        <v>20303446</v>
      </c>
      <c r="H110" s="280" t="s">
        <v>50</v>
      </c>
      <c r="I110" s="323" t="s">
        <v>117</v>
      </c>
      <c r="J110" s="323" t="s">
        <v>2494</v>
      </c>
      <c r="K110" s="294">
        <v>45983</v>
      </c>
      <c r="L110" s="294">
        <v>45987</v>
      </c>
      <c r="M110" s="284">
        <f>Table1[[#This Row],[Dep Date]]-Table1[[#This Row],[Arr Date]]</f>
        <v>4</v>
      </c>
      <c r="N110" s="323" t="s">
        <v>65</v>
      </c>
      <c r="O110" s="321">
        <v>1</v>
      </c>
      <c r="P110" s="321">
        <v>1</v>
      </c>
      <c r="Q110" s="321"/>
      <c r="R110" s="321"/>
      <c r="S110" s="321" t="s">
        <v>53</v>
      </c>
      <c r="T110" s="326" t="s">
        <v>1727</v>
      </c>
      <c r="U110" s="297"/>
      <c r="V110" s="294"/>
      <c r="W110" s="297">
        <v>0</v>
      </c>
      <c r="X110" s="294"/>
      <c r="Y110" s="329"/>
      <c r="Z110" s="329"/>
      <c r="AA110" s="332">
        <f>Table1[[#This Row],[Selling USD]]-Table1[[#This Row],[Cost USD]]</f>
        <v>0</v>
      </c>
      <c r="AB110" s="335">
        <f>(149.6*2+136*2)*0.8</f>
        <v>456.96000000000004</v>
      </c>
      <c r="AC110" s="298">
        <v>456.96</v>
      </c>
      <c r="AD110" s="299">
        <f>Table1[[#This Row],[Selling EUR]]-Table1[[#This Row],[Cost EUR]]</f>
        <v>0</v>
      </c>
      <c r="AE110" s="321" t="s">
        <v>54</v>
      </c>
      <c r="AF110" s="294">
        <v>45971</v>
      </c>
      <c r="AG110" s="294"/>
      <c r="AH110" s="321"/>
      <c r="AI110" s="323"/>
      <c r="AJ110" s="338"/>
      <c r="AK110" s="323"/>
      <c r="AL110" s="338"/>
      <c r="AM110" s="338"/>
      <c r="AN110" s="324" t="s">
        <v>2351</v>
      </c>
      <c r="AO110" s="282"/>
      <c r="AP110" s="306"/>
      <c r="AQ110" s="282"/>
      <c r="AR110" s="282"/>
      <c r="AS110" s="282"/>
      <c r="AT110" s="281"/>
      <c r="AU110" s="281"/>
      <c r="AV110" s="281"/>
      <c r="AW110" s="281"/>
      <c r="AX110" s="281"/>
      <c r="AY110" s="281"/>
      <c r="AZ110" s="281"/>
    </row>
    <row r="111" spans="1:52" ht="15" customHeight="1" x14ac:dyDescent="0.3">
      <c r="A111" s="294">
        <v>45895</v>
      </c>
      <c r="B111" s="321" t="s">
        <v>47</v>
      </c>
      <c r="C111" s="321" t="s">
        <v>47</v>
      </c>
      <c r="D111" s="294" t="s">
        <v>79</v>
      </c>
      <c r="E111" s="321" t="s">
        <v>106</v>
      </c>
      <c r="F111" s="295">
        <v>13481274</v>
      </c>
      <c r="G111" s="296">
        <v>20243059</v>
      </c>
      <c r="H111" s="280" t="s">
        <v>84</v>
      </c>
      <c r="I111" s="323" t="s">
        <v>113</v>
      </c>
      <c r="J111" s="323" t="s">
        <v>1470</v>
      </c>
      <c r="K111" s="294">
        <v>45992</v>
      </c>
      <c r="L111" s="294">
        <v>46002</v>
      </c>
      <c r="M111" s="284">
        <f>Table1[[#This Row],[Dep Date]]-Table1[[#This Row],[Arr Date]]</f>
        <v>10</v>
      </c>
      <c r="N111" s="323" t="s">
        <v>52</v>
      </c>
      <c r="O111" s="321">
        <v>1</v>
      </c>
      <c r="P111" s="321">
        <v>2</v>
      </c>
      <c r="Q111" s="321"/>
      <c r="R111" s="321"/>
      <c r="S111" s="321" t="s">
        <v>53</v>
      </c>
      <c r="T111" s="326" t="s">
        <v>1728</v>
      </c>
      <c r="U111" s="297"/>
      <c r="V111" s="294"/>
      <c r="W111" s="297">
        <v>0</v>
      </c>
      <c r="X111" s="294"/>
      <c r="Y111" s="329">
        <f>(190*2*10)*0.55</f>
        <v>2090</v>
      </c>
      <c r="Z111" s="329">
        <v>2131.8000000000002</v>
      </c>
      <c r="AA111" s="332">
        <f>Table1[[#This Row],[Selling USD]]-Table1[[#This Row],[Cost USD]]</f>
        <v>41.800000000000182</v>
      </c>
      <c r="AB111" s="335"/>
      <c r="AC111" s="298"/>
      <c r="AD111" s="299">
        <f>Table1[[#This Row],[Selling EUR]]-Table1[[#This Row],[Cost EUR]]</f>
        <v>0</v>
      </c>
      <c r="AE111" s="321" t="s">
        <v>54</v>
      </c>
      <c r="AF111" s="294">
        <v>45984</v>
      </c>
      <c r="AG111" s="294"/>
      <c r="AH111" s="321"/>
      <c r="AI111" s="323"/>
      <c r="AJ111" s="338"/>
      <c r="AK111" s="323"/>
      <c r="AL111" s="338"/>
      <c r="AM111" s="338"/>
      <c r="AN111" s="323"/>
      <c r="AO111" s="282"/>
      <c r="AP111" s="306"/>
      <c r="AQ111" s="282"/>
      <c r="AR111" s="282"/>
      <c r="AS111" s="282"/>
      <c r="AT111" s="281"/>
      <c r="AU111" s="281"/>
      <c r="AV111" s="281"/>
      <c r="AW111" s="281"/>
      <c r="AX111" s="281"/>
      <c r="AY111" s="281"/>
      <c r="AZ111" s="281"/>
    </row>
    <row r="112" spans="1:52" ht="15" customHeight="1" x14ac:dyDescent="0.3">
      <c r="A112" s="294">
        <v>45895</v>
      </c>
      <c r="B112" s="321" t="s">
        <v>47</v>
      </c>
      <c r="C112" s="321" t="s">
        <v>47</v>
      </c>
      <c r="D112" s="294" t="s">
        <v>48</v>
      </c>
      <c r="E112" s="321" t="s">
        <v>49</v>
      </c>
      <c r="F112" s="295">
        <v>16882362</v>
      </c>
      <c r="G112" s="296">
        <v>20303445</v>
      </c>
      <c r="H112" s="280" t="s">
        <v>84</v>
      </c>
      <c r="I112" s="323" t="s">
        <v>118</v>
      </c>
      <c r="J112" s="323" t="s">
        <v>2495</v>
      </c>
      <c r="K112" s="294">
        <v>46021</v>
      </c>
      <c r="L112" s="294">
        <v>46029</v>
      </c>
      <c r="M112" s="284">
        <f>Table1[[#This Row],[Dep Date]]-Table1[[#This Row],[Arr Date]]</f>
        <v>8</v>
      </c>
      <c r="N112" s="323" t="s">
        <v>52</v>
      </c>
      <c r="O112" s="321">
        <v>1</v>
      </c>
      <c r="P112" s="321">
        <v>2</v>
      </c>
      <c r="Q112" s="321"/>
      <c r="R112" s="321"/>
      <c r="S112" s="321" t="s">
        <v>53</v>
      </c>
      <c r="T112" s="327" t="s">
        <v>1729</v>
      </c>
      <c r="U112" s="297"/>
      <c r="V112" s="294"/>
      <c r="W112" s="297">
        <v>0</v>
      </c>
      <c r="X112" s="294"/>
      <c r="Y112" s="329"/>
      <c r="Z112" s="329"/>
      <c r="AA112" s="332">
        <f>Table1[[#This Row],[Selling USD]]-Table1[[#This Row],[Cost USD]]</f>
        <v>0</v>
      </c>
      <c r="AB112" s="335">
        <f>(175*2*5+130*2*3)*0.8+760</f>
        <v>2784</v>
      </c>
      <c r="AC112" s="298">
        <v>2531</v>
      </c>
      <c r="AD112" s="299">
        <f>Table1[[#This Row],[Selling EUR]]-Table1[[#This Row],[Cost EUR]]</f>
        <v>-253</v>
      </c>
      <c r="AE112" s="321" t="s">
        <v>54</v>
      </c>
      <c r="AF112" s="294">
        <v>46006</v>
      </c>
      <c r="AG112" s="294" t="s">
        <v>2291</v>
      </c>
      <c r="AH112" s="321"/>
      <c r="AI112" s="323"/>
      <c r="AJ112" s="338"/>
      <c r="AK112" s="323"/>
      <c r="AL112" s="338"/>
      <c r="AM112" s="338"/>
      <c r="AN112" s="323"/>
      <c r="AO112" s="282"/>
      <c r="AP112" s="306"/>
      <c r="AQ112" s="282"/>
      <c r="AR112" s="282"/>
      <c r="AS112" s="282"/>
      <c r="AT112" s="281"/>
      <c r="AU112" s="281"/>
      <c r="AV112" s="281"/>
      <c r="AW112" s="281"/>
      <c r="AX112" s="281"/>
      <c r="AY112" s="281"/>
      <c r="AZ112" s="281"/>
    </row>
    <row r="113" spans="1:52" ht="15" customHeight="1" x14ac:dyDescent="0.3">
      <c r="A113" s="294">
        <v>45895</v>
      </c>
      <c r="B113" s="321" t="s">
        <v>47</v>
      </c>
      <c r="C113" s="321" t="s">
        <v>47</v>
      </c>
      <c r="D113" s="294" t="s">
        <v>48</v>
      </c>
      <c r="E113" s="321" t="s">
        <v>49</v>
      </c>
      <c r="F113" s="295">
        <v>16883643</v>
      </c>
      <c r="G113" s="296">
        <v>20303448</v>
      </c>
      <c r="H113" s="280" t="s">
        <v>50</v>
      </c>
      <c r="I113" s="323" t="s">
        <v>119</v>
      </c>
      <c r="J113" s="323" t="s">
        <v>2496</v>
      </c>
      <c r="K113" s="294">
        <v>45985</v>
      </c>
      <c r="L113" s="294">
        <v>45992</v>
      </c>
      <c r="M113" s="284">
        <f>Table1[[#This Row],[Dep Date]]-Table1[[#This Row],[Arr Date]]</f>
        <v>7</v>
      </c>
      <c r="N113" s="323" t="s">
        <v>52</v>
      </c>
      <c r="O113" s="321">
        <v>1</v>
      </c>
      <c r="P113" s="321">
        <v>2</v>
      </c>
      <c r="Q113" s="321"/>
      <c r="R113" s="321"/>
      <c r="S113" s="321" t="s">
        <v>53</v>
      </c>
      <c r="T113" s="326" t="s">
        <v>1730</v>
      </c>
      <c r="U113" s="297"/>
      <c r="V113" s="294"/>
      <c r="W113" s="297">
        <v>0</v>
      </c>
      <c r="X113" s="294"/>
      <c r="Y113" s="329"/>
      <c r="Z113" s="329"/>
      <c r="AA113" s="332">
        <f>Table1[[#This Row],[Selling USD]]-Table1[[#This Row],[Cost USD]]</f>
        <v>0</v>
      </c>
      <c r="AB113" s="335">
        <f>49*2*7</f>
        <v>686</v>
      </c>
      <c r="AC113" s="298">
        <v>728</v>
      </c>
      <c r="AD113" s="299">
        <f>Table1[[#This Row],[Selling EUR]]-Table1[[#This Row],[Cost EUR]]</f>
        <v>42</v>
      </c>
      <c r="AE113" s="321" t="s">
        <v>54</v>
      </c>
      <c r="AF113" s="294">
        <v>45977</v>
      </c>
      <c r="AG113" s="294"/>
      <c r="AH113" s="321"/>
      <c r="AI113" s="323"/>
      <c r="AJ113" s="338"/>
      <c r="AK113" s="323"/>
      <c r="AL113" s="338"/>
      <c r="AM113" s="338"/>
      <c r="AN113" s="323" t="s">
        <v>2352</v>
      </c>
      <c r="AO113" s="282"/>
      <c r="AP113" s="306"/>
      <c r="AQ113" s="282"/>
      <c r="AR113" s="282"/>
      <c r="AS113" s="282"/>
      <c r="AT113" s="281"/>
      <c r="AU113" s="281"/>
      <c r="AV113" s="281"/>
      <c r="AW113" s="281"/>
      <c r="AX113" s="281"/>
      <c r="AY113" s="281"/>
      <c r="AZ113" s="281"/>
    </row>
    <row r="114" spans="1:52" ht="15" customHeight="1" x14ac:dyDescent="0.3">
      <c r="A114" s="294">
        <v>45896</v>
      </c>
      <c r="B114" s="321" t="s">
        <v>47</v>
      </c>
      <c r="C114" s="321" t="s">
        <v>47</v>
      </c>
      <c r="D114" s="294" t="s">
        <v>48</v>
      </c>
      <c r="E114" s="321" t="s">
        <v>49</v>
      </c>
      <c r="F114" s="295">
        <v>16884343</v>
      </c>
      <c r="G114" s="296"/>
      <c r="H114" s="280" t="s">
        <v>50</v>
      </c>
      <c r="I114" s="323" t="s">
        <v>95</v>
      </c>
      <c r="J114" s="323" t="s">
        <v>2490</v>
      </c>
      <c r="K114" s="294">
        <v>45966</v>
      </c>
      <c r="L114" s="294">
        <v>45973</v>
      </c>
      <c r="M114" s="284">
        <f>Table1[[#This Row],[Dep Date]]-Table1[[#This Row],[Arr Date]]</f>
        <v>7</v>
      </c>
      <c r="N114" s="323" t="s">
        <v>52</v>
      </c>
      <c r="O114" s="321">
        <v>1</v>
      </c>
      <c r="P114" s="321">
        <v>2</v>
      </c>
      <c r="Q114" s="321"/>
      <c r="R114" s="321"/>
      <c r="S114" s="321" t="s">
        <v>53</v>
      </c>
      <c r="T114" s="326" t="s">
        <v>1731</v>
      </c>
      <c r="U114" s="297"/>
      <c r="V114" s="294"/>
      <c r="W114" s="297">
        <v>0</v>
      </c>
      <c r="X114" s="294"/>
      <c r="Y114" s="329"/>
      <c r="Z114" s="329"/>
      <c r="AA114" s="332">
        <f>Table1[[#This Row],[Selling USD]]-Table1[[#This Row],[Cost USD]]</f>
        <v>0</v>
      </c>
      <c r="AB114" s="335">
        <f>93*2*7*0.85</f>
        <v>1106.7</v>
      </c>
      <c r="AC114" s="298">
        <v>1134.7</v>
      </c>
      <c r="AD114" s="299">
        <f>Table1[[#This Row],[Selling EUR]]-Table1[[#This Row],[Cost EUR]]</f>
        <v>28</v>
      </c>
      <c r="AE114" s="321" t="s">
        <v>54</v>
      </c>
      <c r="AF114" s="294">
        <v>45956</v>
      </c>
      <c r="AG114" s="294"/>
      <c r="AH114" s="321"/>
      <c r="AI114" s="323"/>
      <c r="AJ114" s="338"/>
      <c r="AK114" s="323"/>
      <c r="AL114" s="338"/>
      <c r="AM114" s="338"/>
      <c r="AN114" s="323"/>
      <c r="AO114" s="282"/>
      <c r="AP114" s="306"/>
      <c r="AQ114" s="282"/>
      <c r="AR114" s="282"/>
      <c r="AS114" s="282"/>
      <c r="AT114" s="281"/>
      <c r="AU114" s="281"/>
      <c r="AV114" s="281"/>
      <c r="AW114" s="281"/>
      <c r="AX114" s="281"/>
      <c r="AY114" s="281"/>
      <c r="AZ114" s="281"/>
    </row>
    <row r="115" spans="1:52" ht="15" customHeight="1" x14ac:dyDescent="0.3">
      <c r="A115" s="294">
        <v>45896</v>
      </c>
      <c r="B115" s="321" t="s">
        <v>47</v>
      </c>
      <c r="C115" s="321" t="s">
        <v>47</v>
      </c>
      <c r="D115" s="294" t="s">
        <v>48</v>
      </c>
      <c r="E115" s="321" t="s">
        <v>49</v>
      </c>
      <c r="F115" s="295">
        <v>16885256</v>
      </c>
      <c r="G115" s="296"/>
      <c r="H115" s="280" t="s">
        <v>50</v>
      </c>
      <c r="I115" s="323" t="s">
        <v>95</v>
      </c>
      <c r="J115" s="323" t="s">
        <v>2442</v>
      </c>
      <c r="K115" s="294">
        <v>45970</v>
      </c>
      <c r="L115" s="294">
        <v>45977</v>
      </c>
      <c r="M115" s="284">
        <f>Table1[[#This Row],[Dep Date]]-Table1[[#This Row],[Arr Date]]</f>
        <v>7</v>
      </c>
      <c r="N115" s="323" t="s">
        <v>65</v>
      </c>
      <c r="O115" s="321">
        <v>1</v>
      </c>
      <c r="P115" s="321">
        <v>1</v>
      </c>
      <c r="Q115" s="321"/>
      <c r="R115" s="321"/>
      <c r="S115" s="321" t="s">
        <v>53</v>
      </c>
      <c r="T115" s="326" t="s">
        <v>1732</v>
      </c>
      <c r="U115" s="297"/>
      <c r="V115" s="294"/>
      <c r="W115" s="297">
        <v>0</v>
      </c>
      <c r="X115" s="294"/>
      <c r="Y115" s="329"/>
      <c r="Z115" s="329"/>
      <c r="AA115" s="332">
        <f>Table1[[#This Row],[Selling USD]]-Table1[[#This Row],[Cost USD]]</f>
        <v>0</v>
      </c>
      <c r="AB115" s="335">
        <f>132*7*0.85</f>
        <v>785.4</v>
      </c>
      <c r="AC115" s="298">
        <v>799.4</v>
      </c>
      <c r="AD115" s="299">
        <f>Table1[[#This Row],[Selling EUR]]-Table1[[#This Row],[Cost EUR]]</f>
        <v>14</v>
      </c>
      <c r="AE115" s="321" t="s">
        <v>54</v>
      </c>
      <c r="AF115" s="294">
        <v>45963</v>
      </c>
      <c r="AG115" s="294"/>
      <c r="AH115" s="321"/>
      <c r="AI115" s="323"/>
      <c r="AJ115" s="338"/>
      <c r="AK115" s="323"/>
      <c r="AL115" s="338"/>
      <c r="AM115" s="338"/>
      <c r="AN115" s="323"/>
      <c r="AO115" s="282"/>
      <c r="AP115" s="306"/>
      <c r="AQ115" s="282"/>
      <c r="AR115" s="282"/>
      <c r="AS115" s="282"/>
      <c r="AT115" s="281"/>
      <c r="AU115" s="281"/>
      <c r="AV115" s="281"/>
      <c r="AW115" s="281"/>
      <c r="AX115" s="281"/>
      <c r="AY115" s="281"/>
      <c r="AZ115" s="281"/>
    </row>
    <row r="116" spans="1:52" ht="15" customHeight="1" x14ac:dyDescent="0.3">
      <c r="A116" s="294">
        <v>45896</v>
      </c>
      <c r="B116" s="321" t="s">
        <v>47</v>
      </c>
      <c r="C116" s="321" t="s">
        <v>47</v>
      </c>
      <c r="D116" s="294" t="s">
        <v>48</v>
      </c>
      <c r="E116" s="321" t="s">
        <v>49</v>
      </c>
      <c r="F116" s="295">
        <v>16885811</v>
      </c>
      <c r="G116" s="296">
        <v>20303451</v>
      </c>
      <c r="H116" s="280" t="s">
        <v>50</v>
      </c>
      <c r="I116" s="323" t="s">
        <v>96</v>
      </c>
      <c r="J116" s="323" t="s">
        <v>2472</v>
      </c>
      <c r="K116" s="294">
        <v>45994</v>
      </c>
      <c r="L116" s="294">
        <v>46000</v>
      </c>
      <c r="M116" s="284">
        <f>Table1[[#This Row],[Dep Date]]-Table1[[#This Row],[Arr Date]]</f>
        <v>6</v>
      </c>
      <c r="N116" s="323" t="s">
        <v>65</v>
      </c>
      <c r="O116" s="321">
        <v>1</v>
      </c>
      <c r="P116" s="321">
        <v>1</v>
      </c>
      <c r="Q116" s="321"/>
      <c r="R116" s="321"/>
      <c r="S116" s="321" t="s">
        <v>53</v>
      </c>
      <c r="T116" s="326" t="s">
        <v>1733</v>
      </c>
      <c r="U116" s="297"/>
      <c r="V116" s="294"/>
      <c r="W116" s="297">
        <v>0</v>
      </c>
      <c r="X116" s="294"/>
      <c r="Y116" s="329"/>
      <c r="Z116" s="329"/>
      <c r="AA116" s="332">
        <f>Table1[[#This Row],[Selling USD]]-Table1[[#This Row],[Cost USD]]</f>
        <v>0</v>
      </c>
      <c r="AB116" s="335">
        <f>102*6*0.85</f>
        <v>520.19999999999993</v>
      </c>
      <c r="AC116" s="298">
        <v>520.20000000000005</v>
      </c>
      <c r="AD116" s="299">
        <f>Table1[[#This Row],[Selling EUR]]-Table1[[#This Row],[Cost EUR]]</f>
        <v>0</v>
      </c>
      <c r="AE116" s="321" t="s">
        <v>54</v>
      </c>
      <c r="AF116" s="294">
        <v>45986</v>
      </c>
      <c r="AG116" s="294" t="s">
        <v>2346</v>
      </c>
      <c r="AH116" s="321"/>
      <c r="AI116" s="323"/>
      <c r="AJ116" s="338"/>
      <c r="AK116" s="323"/>
      <c r="AL116" s="338"/>
      <c r="AM116" s="338"/>
      <c r="AN116" s="323"/>
      <c r="AO116" s="282"/>
      <c r="AP116" s="306"/>
      <c r="AQ116" s="282"/>
      <c r="AR116" s="282"/>
      <c r="AS116" s="282"/>
      <c r="AT116" s="281"/>
      <c r="AU116" s="281"/>
      <c r="AV116" s="281"/>
      <c r="AW116" s="281"/>
      <c r="AX116" s="281"/>
      <c r="AY116" s="281"/>
      <c r="AZ116" s="281"/>
    </row>
    <row r="117" spans="1:52" ht="15" customHeight="1" x14ac:dyDescent="0.3">
      <c r="A117" s="294">
        <v>45897</v>
      </c>
      <c r="B117" s="321" t="s">
        <v>47</v>
      </c>
      <c r="C117" s="321" t="s">
        <v>47</v>
      </c>
      <c r="D117" s="294" t="s">
        <v>48</v>
      </c>
      <c r="E117" s="321" t="s">
        <v>49</v>
      </c>
      <c r="F117" s="295">
        <v>16888609</v>
      </c>
      <c r="G117" s="296"/>
      <c r="H117" s="280" t="s">
        <v>50</v>
      </c>
      <c r="I117" s="323" t="s">
        <v>95</v>
      </c>
      <c r="J117" s="323" t="s">
        <v>2497</v>
      </c>
      <c r="K117" s="294">
        <v>45967</v>
      </c>
      <c r="L117" s="294">
        <v>45975</v>
      </c>
      <c r="M117" s="284">
        <f>Table1[[#This Row],[Dep Date]]-Table1[[#This Row],[Arr Date]]</f>
        <v>8</v>
      </c>
      <c r="N117" s="323" t="s">
        <v>52</v>
      </c>
      <c r="O117" s="321">
        <v>1</v>
      </c>
      <c r="P117" s="321">
        <v>2</v>
      </c>
      <c r="Q117" s="321"/>
      <c r="R117" s="321"/>
      <c r="S117" s="321" t="s">
        <v>53</v>
      </c>
      <c r="T117" s="327" t="s">
        <v>1734</v>
      </c>
      <c r="U117" s="297"/>
      <c r="V117" s="294"/>
      <c r="W117" s="297">
        <v>0</v>
      </c>
      <c r="X117" s="294"/>
      <c r="Y117" s="329"/>
      <c r="Z117" s="329"/>
      <c r="AA117" s="332">
        <f>Table1[[#This Row],[Selling USD]]-Table1[[#This Row],[Cost USD]]</f>
        <v>0</v>
      </c>
      <c r="AB117" s="335">
        <f>90*2*8*0.85</f>
        <v>1224</v>
      </c>
      <c r="AC117" s="298">
        <v>1228.8</v>
      </c>
      <c r="AD117" s="299">
        <f>Table1[[#This Row],[Selling EUR]]-Table1[[#This Row],[Cost EUR]]</f>
        <v>4.7999999999999545</v>
      </c>
      <c r="AE117" s="321" t="s">
        <v>54</v>
      </c>
      <c r="AF117" s="294">
        <v>45957</v>
      </c>
      <c r="AG117" s="294"/>
      <c r="AH117" s="321"/>
      <c r="AI117" s="323"/>
      <c r="AJ117" s="338"/>
      <c r="AK117" s="323"/>
      <c r="AL117" s="338"/>
      <c r="AM117" s="338"/>
      <c r="AN117" s="324" t="s">
        <v>2353</v>
      </c>
      <c r="AO117" s="282"/>
      <c r="AP117" s="306"/>
      <c r="AQ117" s="282"/>
      <c r="AR117" s="282"/>
      <c r="AS117" s="282"/>
      <c r="AT117" s="281"/>
      <c r="AU117" s="281"/>
      <c r="AV117" s="281"/>
      <c r="AW117" s="281"/>
      <c r="AX117" s="281"/>
      <c r="AY117" s="281"/>
      <c r="AZ117" s="281"/>
    </row>
    <row r="118" spans="1:52" ht="15" customHeight="1" x14ac:dyDescent="0.3">
      <c r="A118" s="294">
        <v>45898</v>
      </c>
      <c r="B118" s="321" t="s">
        <v>47</v>
      </c>
      <c r="C118" s="321" t="s">
        <v>47</v>
      </c>
      <c r="D118" s="294" t="s">
        <v>79</v>
      </c>
      <c r="E118" s="321" t="s">
        <v>61</v>
      </c>
      <c r="F118" s="295">
        <v>13531572</v>
      </c>
      <c r="G118" s="296">
        <v>20243060</v>
      </c>
      <c r="H118" s="280" t="s">
        <v>50</v>
      </c>
      <c r="I118" s="323" t="s">
        <v>51</v>
      </c>
      <c r="J118" s="323" t="s">
        <v>99</v>
      </c>
      <c r="K118" s="294">
        <v>45962</v>
      </c>
      <c r="L118" s="294">
        <v>45969</v>
      </c>
      <c r="M118" s="284">
        <f>Table1[[#This Row],[Dep Date]]-Table1[[#This Row],[Arr Date]]</f>
        <v>7</v>
      </c>
      <c r="N118" s="323" t="s">
        <v>52</v>
      </c>
      <c r="O118" s="321">
        <v>1</v>
      </c>
      <c r="P118" s="321">
        <v>2</v>
      </c>
      <c r="Q118" s="321"/>
      <c r="R118" s="321"/>
      <c r="S118" s="321" t="s">
        <v>53</v>
      </c>
      <c r="T118" s="326" t="s">
        <v>1735</v>
      </c>
      <c r="U118" s="297"/>
      <c r="V118" s="294"/>
      <c r="W118" s="297">
        <v>0</v>
      </c>
      <c r="X118" s="294"/>
      <c r="Y118" s="329">
        <f>65*2*7*0.8</f>
        <v>728</v>
      </c>
      <c r="Z118" s="329">
        <v>735.28</v>
      </c>
      <c r="AA118" s="332">
        <f>Table1[[#This Row],[Selling USD]]-Table1[[#This Row],[Cost USD]]</f>
        <v>7.2799999999999727</v>
      </c>
      <c r="AB118" s="335"/>
      <c r="AC118" s="298"/>
      <c r="AD118" s="299">
        <f>Table1[[#This Row],[Selling EUR]]-Table1[[#This Row],[Cost EUR]]</f>
        <v>0</v>
      </c>
      <c r="AE118" s="321" t="s">
        <v>54</v>
      </c>
      <c r="AF118" s="294">
        <v>45956</v>
      </c>
      <c r="AG118" s="294" t="s">
        <v>2296</v>
      </c>
      <c r="AH118" s="321"/>
      <c r="AI118" s="323"/>
      <c r="AJ118" s="338"/>
      <c r="AK118" s="323"/>
      <c r="AL118" s="338"/>
      <c r="AM118" s="338"/>
      <c r="AN118" s="323" t="s">
        <v>2354</v>
      </c>
      <c r="AO118" s="282"/>
      <c r="AP118" s="306"/>
      <c r="AQ118" s="282"/>
      <c r="AR118" s="282"/>
      <c r="AS118" s="282"/>
      <c r="AT118" s="281"/>
      <c r="AU118" s="281"/>
      <c r="AV118" s="281"/>
      <c r="AW118" s="281"/>
      <c r="AX118" s="281"/>
      <c r="AY118" s="281"/>
      <c r="AZ118" s="281"/>
    </row>
    <row r="119" spans="1:52" ht="15" customHeight="1" x14ac:dyDescent="0.3">
      <c r="A119" s="294">
        <v>45898</v>
      </c>
      <c r="B119" s="321" t="s">
        <v>47</v>
      </c>
      <c r="C119" s="321" t="s">
        <v>47</v>
      </c>
      <c r="D119" s="294" t="s">
        <v>48</v>
      </c>
      <c r="E119" s="321" t="s">
        <v>49</v>
      </c>
      <c r="F119" s="295">
        <v>16893424</v>
      </c>
      <c r="G119" s="296"/>
      <c r="H119" s="280" t="s">
        <v>50</v>
      </c>
      <c r="I119" s="323" t="s">
        <v>120</v>
      </c>
      <c r="J119" s="323" t="s">
        <v>2498</v>
      </c>
      <c r="K119" s="294">
        <v>45969</v>
      </c>
      <c r="L119" s="294">
        <v>45976</v>
      </c>
      <c r="M119" s="284">
        <f>Table1[[#This Row],[Dep Date]]-Table1[[#This Row],[Arr Date]]</f>
        <v>7</v>
      </c>
      <c r="N119" s="323" t="s">
        <v>52</v>
      </c>
      <c r="O119" s="321">
        <v>1</v>
      </c>
      <c r="P119" s="321">
        <v>2</v>
      </c>
      <c r="Q119" s="321">
        <v>1</v>
      </c>
      <c r="R119" s="321"/>
      <c r="S119" s="321" t="s">
        <v>53</v>
      </c>
      <c r="T119" s="326" t="s">
        <v>1736</v>
      </c>
      <c r="U119" s="297" t="s">
        <v>2243</v>
      </c>
      <c r="V119" s="294"/>
      <c r="W119" s="297">
        <v>0</v>
      </c>
      <c r="X119" s="294"/>
      <c r="Y119" s="329"/>
      <c r="Z119" s="329"/>
      <c r="AA119" s="332">
        <f>Table1[[#This Row],[Selling USD]]-Table1[[#This Row],[Cost USD]]</f>
        <v>0</v>
      </c>
      <c r="AB119" s="335">
        <f>58*2*7*0.6</f>
        <v>487.2</v>
      </c>
      <c r="AC119" s="298">
        <v>529.20000000000005</v>
      </c>
      <c r="AD119" s="299">
        <f>Table1[[#This Row],[Selling EUR]]-Table1[[#This Row],[Cost EUR]]</f>
        <v>42.000000000000057</v>
      </c>
      <c r="AE119" s="321" t="s">
        <v>54</v>
      </c>
      <c r="AF119" s="294">
        <v>45962</v>
      </c>
      <c r="AG119" s="294" t="s">
        <v>2330</v>
      </c>
      <c r="AH119" s="321"/>
      <c r="AI119" s="323"/>
      <c r="AJ119" s="338"/>
      <c r="AK119" s="323"/>
      <c r="AL119" s="338"/>
      <c r="AM119" s="338"/>
      <c r="AN119" s="323"/>
      <c r="AO119" s="282"/>
      <c r="AP119" s="306"/>
      <c r="AQ119" s="282"/>
      <c r="AR119" s="282"/>
      <c r="AS119" s="282"/>
      <c r="AT119" s="281"/>
      <c r="AU119" s="281"/>
      <c r="AV119" s="281"/>
      <c r="AW119" s="281"/>
      <c r="AX119" s="281"/>
      <c r="AY119" s="281"/>
      <c r="AZ119" s="281"/>
    </row>
    <row r="120" spans="1:52" ht="15" customHeight="1" x14ac:dyDescent="0.3">
      <c r="A120" s="294">
        <v>45898</v>
      </c>
      <c r="B120" s="321" t="s">
        <v>47</v>
      </c>
      <c r="C120" s="321" t="s">
        <v>47</v>
      </c>
      <c r="D120" s="294" t="s">
        <v>48</v>
      </c>
      <c r="E120" s="321" t="s">
        <v>49</v>
      </c>
      <c r="F120" s="295">
        <v>16891013</v>
      </c>
      <c r="G120" s="296"/>
      <c r="H120" s="280" t="s">
        <v>50</v>
      </c>
      <c r="I120" s="323" t="s">
        <v>119</v>
      </c>
      <c r="J120" s="323" t="s">
        <v>2496</v>
      </c>
      <c r="K120" s="294">
        <v>45976</v>
      </c>
      <c r="L120" s="294">
        <v>45984</v>
      </c>
      <c r="M120" s="284">
        <f>Table1[[#This Row],[Dep Date]]-Table1[[#This Row],[Arr Date]]</f>
        <v>8</v>
      </c>
      <c r="N120" s="323" t="s">
        <v>52</v>
      </c>
      <c r="O120" s="321">
        <v>1</v>
      </c>
      <c r="P120" s="321">
        <v>2</v>
      </c>
      <c r="Q120" s="321"/>
      <c r="R120" s="321"/>
      <c r="S120" s="321" t="s">
        <v>53</v>
      </c>
      <c r="T120" s="326" t="s">
        <v>1737</v>
      </c>
      <c r="U120" s="297"/>
      <c r="V120" s="294"/>
      <c r="W120" s="297">
        <v>0</v>
      </c>
      <c r="X120" s="294"/>
      <c r="Y120" s="329"/>
      <c r="Z120" s="329"/>
      <c r="AA120" s="332">
        <f>Table1[[#This Row],[Selling USD]]-Table1[[#This Row],[Cost USD]]</f>
        <v>0</v>
      </c>
      <c r="AB120" s="335">
        <f>51*2*8</f>
        <v>816</v>
      </c>
      <c r="AC120" s="298">
        <v>832</v>
      </c>
      <c r="AD120" s="299">
        <f>Table1[[#This Row],[Selling EUR]]-Table1[[#This Row],[Cost EUR]]</f>
        <v>16</v>
      </c>
      <c r="AE120" s="321" t="s">
        <v>54</v>
      </c>
      <c r="AF120" s="294">
        <v>45970</v>
      </c>
      <c r="AG120" s="294"/>
      <c r="AH120" s="321"/>
      <c r="AI120" s="323"/>
      <c r="AJ120" s="338"/>
      <c r="AK120" s="323"/>
      <c r="AL120" s="338"/>
      <c r="AM120" s="338"/>
      <c r="AN120" s="323"/>
      <c r="AO120" s="282"/>
      <c r="AP120" s="306"/>
      <c r="AQ120" s="282"/>
      <c r="AR120" s="282"/>
      <c r="AS120" s="282"/>
      <c r="AT120" s="281"/>
      <c r="AU120" s="281"/>
      <c r="AV120" s="281"/>
      <c r="AW120" s="281"/>
      <c r="AX120" s="281"/>
      <c r="AY120" s="281"/>
      <c r="AZ120" s="281"/>
    </row>
    <row r="121" spans="1:52" ht="15" customHeight="1" x14ac:dyDescent="0.3">
      <c r="A121" s="294">
        <v>45901</v>
      </c>
      <c r="B121" s="321" t="s">
        <v>47</v>
      </c>
      <c r="C121" s="321" t="s">
        <v>47</v>
      </c>
      <c r="D121" s="294" t="s">
        <v>79</v>
      </c>
      <c r="E121" s="321" t="s">
        <v>106</v>
      </c>
      <c r="F121" s="295">
        <v>13567320</v>
      </c>
      <c r="G121" s="296">
        <v>20243062</v>
      </c>
      <c r="H121" s="280" t="s">
        <v>84</v>
      </c>
      <c r="I121" s="323" t="s">
        <v>113</v>
      </c>
      <c r="J121" s="323" t="s">
        <v>1470</v>
      </c>
      <c r="K121" s="294">
        <v>46024</v>
      </c>
      <c r="L121" s="294">
        <v>46028</v>
      </c>
      <c r="M121" s="284">
        <f>Table1[[#This Row],[Dep Date]]-Table1[[#This Row],[Arr Date]]</f>
        <v>4</v>
      </c>
      <c r="N121" s="323" t="s">
        <v>52</v>
      </c>
      <c r="O121" s="321">
        <v>1</v>
      </c>
      <c r="P121" s="321">
        <v>2</v>
      </c>
      <c r="Q121" s="321"/>
      <c r="R121" s="321"/>
      <c r="S121" s="321" t="s">
        <v>53</v>
      </c>
      <c r="T121" s="327" t="s">
        <v>1738</v>
      </c>
      <c r="U121" s="297"/>
      <c r="V121" s="294"/>
      <c r="W121" s="297">
        <v>0</v>
      </c>
      <c r="X121" s="294"/>
      <c r="Y121" s="329">
        <f>(240*2+190*2*3)*0.55</f>
        <v>891.00000000000011</v>
      </c>
      <c r="Z121" s="329">
        <v>908.82</v>
      </c>
      <c r="AA121" s="332">
        <f>Table1[[#This Row],[Selling USD]]-Table1[[#This Row],[Cost USD]]</f>
        <v>17.819999999999936</v>
      </c>
      <c r="AB121" s="335"/>
      <c r="AC121" s="298"/>
      <c r="AD121" s="299">
        <f>Table1[[#This Row],[Selling EUR]]-Table1[[#This Row],[Cost EUR]]</f>
        <v>0</v>
      </c>
      <c r="AE121" s="321" t="s">
        <v>54</v>
      </c>
      <c r="AF121" s="294">
        <v>46005</v>
      </c>
      <c r="AG121" s="294" t="s">
        <v>2291</v>
      </c>
      <c r="AH121" s="321"/>
      <c r="AI121" s="323"/>
      <c r="AJ121" s="338"/>
      <c r="AK121" s="323"/>
      <c r="AL121" s="338"/>
      <c r="AM121" s="338"/>
      <c r="AN121" s="323"/>
      <c r="AO121" s="282"/>
      <c r="AP121" s="306"/>
      <c r="AQ121" s="282"/>
      <c r="AR121" s="282"/>
      <c r="AS121" s="282"/>
      <c r="AT121" s="281"/>
      <c r="AU121" s="281"/>
      <c r="AV121" s="281"/>
      <c r="AW121" s="281"/>
      <c r="AX121" s="281"/>
      <c r="AY121" s="281"/>
      <c r="AZ121" s="281"/>
    </row>
    <row r="122" spans="1:52" ht="15" customHeight="1" x14ac:dyDescent="0.3">
      <c r="A122" s="294">
        <v>45902</v>
      </c>
      <c r="B122" s="321" t="s">
        <v>47</v>
      </c>
      <c r="C122" s="321" t="s">
        <v>47</v>
      </c>
      <c r="D122" s="294" t="s">
        <v>48</v>
      </c>
      <c r="E122" s="321" t="s">
        <v>61</v>
      </c>
      <c r="F122" s="295">
        <v>16904345</v>
      </c>
      <c r="G122" s="296">
        <v>20303469</v>
      </c>
      <c r="H122" s="280" t="s">
        <v>84</v>
      </c>
      <c r="I122" s="323" t="s">
        <v>121</v>
      </c>
      <c r="J122" s="323" t="s">
        <v>2499</v>
      </c>
      <c r="K122" s="294">
        <v>45991</v>
      </c>
      <c r="L122" s="294">
        <v>45992</v>
      </c>
      <c r="M122" s="284">
        <f>Table1[[#This Row],[Dep Date]]-Table1[[#This Row],[Arr Date]]</f>
        <v>1</v>
      </c>
      <c r="N122" s="323" t="s">
        <v>65</v>
      </c>
      <c r="O122" s="321">
        <v>1</v>
      </c>
      <c r="P122" s="321">
        <v>1</v>
      </c>
      <c r="Q122" s="321"/>
      <c r="R122" s="321"/>
      <c r="S122" s="321" t="s">
        <v>53</v>
      </c>
      <c r="T122" s="326" t="s">
        <v>1739</v>
      </c>
      <c r="U122" s="297"/>
      <c r="V122" s="294"/>
      <c r="W122" s="297">
        <v>0</v>
      </c>
      <c r="X122" s="294"/>
      <c r="Y122" s="329">
        <f>84*0.62</f>
        <v>52.08</v>
      </c>
      <c r="Z122" s="329">
        <v>54.08</v>
      </c>
      <c r="AA122" s="332">
        <f>Table1[[#This Row],[Selling USD]]-Table1[[#This Row],[Cost USD]]</f>
        <v>2</v>
      </c>
      <c r="AB122" s="335"/>
      <c r="AC122" s="298"/>
      <c r="AD122" s="299">
        <f>Table1[[#This Row],[Selling EUR]]-Table1[[#This Row],[Cost EUR]]</f>
        <v>0</v>
      </c>
      <c r="AE122" s="321" t="s">
        <v>54</v>
      </c>
      <c r="AF122" s="294">
        <v>45978</v>
      </c>
      <c r="AG122" s="294"/>
      <c r="AH122" s="321"/>
      <c r="AI122" s="323"/>
      <c r="AJ122" s="338"/>
      <c r="AK122" s="323"/>
      <c r="AL122" s="338"/>
      <c r="AM122" s="338"/>
      <c r="AN122" s="323"/>
      <c r="AO122" s="282"/>
      <c r="AP122" s="306"/>
      <c r="AQ122" s="282"/>
      <c r="AR122" s="282"/>
      <c r="AS122" s="282"/>
      <c r="AT122" s="281"/>
      <c r="AU122" s="281"/>
      <c r="AV122" s="281"/>
      <c r="AW122" s="281"/>
      <c r="AX122" s="281"/>
      <c r="AY122" s="281"/>
      <c r="AZ122" s="281"/>
    </row>
    <row r="123" spans="1:52" ht="15" customHeight="1" x14ac:dyDescent="0.3">
      <c r="A123" s="294">
        <v>45902</v>
      </c>
      <c r="B123" s="321" t="s">
        <v>73</v>
      </c>
      <c r="C123" s="321" t="s">
        <v>73</v>
      </c>
      <c r="D123" s="294" t="s">
        <v>48</v>
      </c>
      <c r="E123" s="321" t="s">
        <v>61</v>
      </c>
      <c r="F123" s="295">
        <v>16902592</v>
      </c>
      <c r="G123" s="296">
        <v>20303463</v>
      </c>
      <c r="H123" s="280" t="s">
        <v>84</v>
      </c>
      <c r="I123" s="323" t="s">
        <v>122</v>
      </c>
      <c r="J123" s="323" t="s">
        <v>2500</v>
      </c>
      <c r="K123" s="294">
        <v>46127</v>
      </c>
      <c r="L123" s="294">
        <v>46134</v>
      </c>
      <c r="M123" s="284">
        <f>Table1[[#This Row],[Dep Date]]-Table1[[#This Row],[Arr Date]]</f>
        <v>7</v>
      </c>
      <c r="N123" s="323" t="s">
        <v>70</v>
      </c>
      <c r="O123" s="321">
        <v>1</v>
      </c>
      <c r="P123" s="321">
        <v>3</v>
      </c>
      <c r="Q123" s="321">
        <v>1</v>
      </c>
      <c r="R123" s="321">
        <v>1</v>
      </c>
      <c r="S123" s="321" t="s">
        <v>53</v>
      </c>
      <c r="T123" s="326" t="s">
        <v>1740</v>
      </c>
      <c r="U123" s="297" t="s">
        <v>2227</v>
      </c>
      <c r="V123" s="294"/>
      <c r="W123" s="297">
        <v>0</v>
      </c>
      <c r="X123" s="294"/>
      <c r="Y123" s="329"/>
      <c r="Z123" s="329"/>
      <c r="AA123" s="332">
        <f>Table1[[#This Row],[Selling USD]]-Table1[[#This Row],[Cost USD]]</f>
        <v>0</v>
      </c>
      <c r="AB123" s="335"/>
      <c r="AC123" s="298"/>
      <c r="AD123" s="299">
        <f>Table1[[#This Row],[Selling EUR]]-Table1[[#This Row],[Cost EUR]]</f>
        <v>0</v>
      </c>
      <c r="AE123" s="321"/>
      <c r="AF123" s="294"/>
      <c r="AG123" s="294" t="s">
        <v>2355</v>
      </c>
      <c r="AH123" s="321"/>
      <c r="AI123" s="323"/>
      <c r="AJ123" s="338"/>
      <c r="AK123" s="323"/>
      <c r="AL123" s="338"/>
      <c r="AM123" s="338"/>
      <c r="AN123" s="323"/>
      <c r="AO123" s="282"/>
      <c r="AP123" s="306"/>
      <c r="AQ123" s="282"/>
      <c r="AR123" s="282"/>
      <c r="AS123" s="282"/>
      <c r="AT123" s="281"/>
      <c r="AU123" s="281"/>
      <c r="AV123" s="281"/>
      <c r="AW123" s="281"/>
      <c r="AX123" s="281"/>
      <c r="AY123" s="281"/>
      <c r="AZ123" s="281"/>
    </row>
    <row r="124" spans="1:52" ht="15" customHeight="1" x14ac:dyDescent="0.3">
      <c r="A124" s="294">
        <v>45903</v>
      </c>
      <c r="B124" s="321" t="s">
        <v>73</v>
      </c>
      <c r="C124" s="321" t="s">
        <v>73</v>
      </c>
      <c r="D124" s="294" t="s">
        <v>79</v>
      </c>
      <c r="E124" s="321" t="s">
        <v>106</v>
      </c>
      <c r="F124" s="295">
        <v>16356733</v>
      </c>
      <c r="G124" s="296" t="s">
        <v>1605</v>
      </c>
      <c r="H124" s="280" t="s">
        <v>50</v>
      </c>
      <c r="I124" s="323" t="s">
        <v>57</v>
      </c>
      <c r="J124" s="323" t="s">
        <v>2440</v>
      </c>
      <c r="K124" s="294">
        <v>46090</v>
      </c>
      <c r="L124" s="294">
        <v>46094</v>
      </c>
      <c r="M124" s="284">
        <f>Table1[[#This Row],[Dep Date]]-Table1[[#This Row],[Arr Date]]</f>
        <v>4</v>
      </c>
      <c r="N124" s="323" t="s">
        <v>52</v>
      </c>
      <c r="O124" s="321">
        <v>1</v>
      </c>
      <c r="P124" s="321">
        <v>2</v>
      </c>
      <c r="Q124" s="321">
        <v>1</v>
      </c>
      <c r="R124" s="321"/>
      <c r="S124" s="321" t="s">
        <v>53</v>
      </c>
      <c r="T124" s="326" t="s">
        <v>3146</v>
      </c>
      <c r="U124" s="297" t="s">
        <v>2224</v>
      </c>
      <c r="V124" s="294"/>
      <c r="W124" s="297">
        <v>0</v>
      </c>
      <c r="X124" s="294"/>
      <c r="Y124" s="329">
        <v>0</v>
      </c>
      <c r="Z124" s="329">
        <v>0</v>
      </c>
      <c r="AA124" s="332">
        <f>Table1[[#This Row],[Selling USD]]-Table1[[#This Row],[Cost USD]]</f>
        <v>0</v>
      </c>
      <c r="AB124" s="335"/>
      <c r="AC124" s="298"/>
      <c r="AD124" s="299">
        <f>Table1[[#This Row],[Selling EUR]]-Table1[[#This Row],[Cost EUR]]</f>
        <v>0</v>
      </c>
      <c r="AE124" s="321" t="s">
        <v>54</v>
      </c>
      <c r="AF124" s="294">
        <v>46023</v>
      </c>
      <c r="AG124" s="294" t="s">
        <v>2291</v>
      </c>
      <c r="AH124" s="321"/>
      <c r="AI124" s="323"/>
      <c r="AJ124" s="338"/>
      <c r="AK124" s="323"/>
      <c r="AL124" s="338"/>
      <c r="AM124" s="338"/>
      <c r="AN124" s="323"/>
      <c r="AO124" s="282"/>
      <c r="AP124" s="306"/>
      <c r="AQ124" s="282"/>
      <c r="AR124" s="282"/>
      <c r="AS124" s="282"/>
      <c r="AT124" s="281"/>
      <c r="AU124" s="281"/>
      <c r="AV124" s="281"/>
      <c r="AW124" s="281"/>
      <c r="AX124" s="281"/>
      <c r="AY124" s="281"/>
      <c r="AZ124" s="281"/>
    </row>
    <row r="125" spans="1:52" ht="15" customHeight="1" x14ac:dyDescent="0.3">
      <c r="A125" s="294">
        <v>45904</v>
      </c>
      <c r="B125" s="321" t="s">
        <v>47</v>
      </c>
      <c r="C125" s="321" t="s">
        <v>47</v>
      </c>
      <c r="D125" s="294" t="s">
        <v>79</v>
      </c>
      <c r="E125" s="321" t="s">
        <v>83</v>
      </c>
      <c r="F125" s="295">
        <v>13624585</v>
      </c>
      <c r="G125" s="296">
        <v>20243068</v>
      </c>
      <c r="H125" s="280" t="s">
        <v>84</v>
      </c>
      <c r="I125" s="323" t="s">
        <v>123</v>
      </c>
      <c r="J125" s="323" t="s">
        <v>2473</v>
      </c>
      <c r="K125" s="294">
        <v>45942</v>
      </c>
      <c r="L125" s="294">
        <v>45946</v>
      </c>
      <c r="M125" s="284">
        <f>Table1[[#This Row],[Dep Date]]-Table1[[#This Row],[Arr Date]]</f>
        <v>4</v>
      </c>
      <c r="N125" s="323" t="s">
        <v>52</v>
      </c>
      <c r="O125" s="321">
        <v>1</v>
      </c>
      <c r="P125" s="321">
        <v>2</v>
      </c>
      <c r="Q125" s="321"/>
      <c r="R125" s="321"/>
      <c r="S125" s="321" t="s">
        <v>53</v>
      </c>
      <c r="T125" s="327" t="s">
        <v>1741</v>
      </c>
      <c r="U125" s="297"/>
      <c r="V125" s="294"/>
      <c r="W125" s="297">
        <v>0</v>
      </c>
      <c r="X125" s="294"/>
      <c r="Y125" s="329">
        <f>70*2*4</f>
        <v>560</v>
      </c>
      <c r="Z125" s="329">
        <v>571.20000000000005</v>
      </c>
      <c r="AA125" s="332">
        <f>Table1[[#This Row],[Selling USD]]-Table1[[#This Row],[Cost USD]]</f>
        <v>11.200000000000045</v>
      </c>
      <c r="AB125" s="335"/>
      <c r="AC125" s="298"/>
      <c r="AD125" s="299">
        <f>Table1[[#This Row],[Selling EUR]]-Table1[[#This Row],[Cost EUR]]</f>
        <v>0</v>
      </c>
      <c r="AE125" s="321" t="s">
        <v>54</v>
      </c>
      <c r="AF125" s="294">
        <v>45935</v>
      </c>
      <c r="AG125" s="294"/>
      <c r="AH125" s="321"/>
      <c r="AI125" s="323"/>
      <c r="AJ125" s="338"/>
      <c r="AK125" s="323"/>
      <c r="AL125" s="338"/>
      <c r="AM125" s="338"/>
      <c r="AN125" s="323"/>
      <c r="AO125" s="282"/>
      <c r="AP125" s="306"/>
      <c r="AQ125" s="282"/>
      <c r="AR125" s="282"/>
      <c r="AS125" s="282"/>
      <c r="AT125" s="281"/>
      <c r="AU125" s="281"/>
      <c r="AV125" s="281"/>
      <c r="AW125" s="281"/>
      <c r="AX125" s="281"/>
      <c r="AY125" s="281"/>
      <c r="AZ125" s="281"/>
    </row>
    <row r="126" spans="1:52" ht="15" customHeight="1" x14ac:dyDescent="0.3">
      <c r="A126" s="294">
        <v>45904</v>
      </c>
      <c r="B126" s="321" t="s">
        <v>47</v>
      </c>
      <c r="C126" s="321" t="s">
        <v>47</v>
      </c>
      <c r="D126" s="294" t="s">
        <v>79</v>
      </c>
      <c r="E126" s="321" t="s">
        <v>83</v>
      </c>
      <c r="F126" s="295">
        <v>13624679</v>
      </c>
      <c r="G126" s="296">
        <v>20243069</v>
      </c>
      <c r="H126" s="280" t="s">
        <v>84</v>
      </c>
      <c r="I126" s="323" t="s">
        <v>123</v>
      </c>
      <c r="J126" s="323" t="s">
        <v>2501</v>
      </c>
      <c r="K126" s="294">
        <v>45942</v>
      </c>
      <c r="L126" s="294">
        <v>45946</v>
      </c>
      <c r="M126" s="284">
        <f>Table1[[#This Row],[Dep Date]]-Table1[[#This Row],[Arr Date]]</f>
        <v>4</v>
      </c>
      <c r="N126" s="323" t="s">
        <v>70</v>
      </c>
      <c r="O126" s="321">
        <v>1</v>
      </c>
      <c r="P126" s="321">
        <v>3</v>
      </c>
      <c r="Q126" s="321"/>
      <c r="R126" s="321"/>
      <c r="S126" s="321" t="s">
        <v>53</v>
      </c>
      <c r="T126" s="327" t="s">
        <v>1742</v>
      </c>
      <c r="U126" s="297"/>
      <c r="V126" s="294"/>
      <c r="W126" s="297">
        <v>0</v>
      </c>
      <c r="X126" s="294"/>
      <c r="Y126" s="329">
        <f>76*3*4</f>
        <v>912</v>
      </c>
      <c r="Z126" s="329">
        <v>930.24</v>
      </c>
      <c r="AA126" s="332">
        <f>Table1[[#This Row],[Selling USD]]-Table1[[#This Row],[Cost USD]]</f>
        <v>18.240000000000009</v>
      </c>
      <c r="AB126" s="335"/>
      <c r="AC126" s="298"/>
      <c r="AD126" s="299">
        <f>Table1[[#This Row],[Selling EUR]]-Table1[[#This Row],[Cost EUR]]</f>
        <v>0</v>
      </c>
      <c r="AE126" s="321" t="s">
        <v>54</v>
      </c>
      <c r="AF126" s="294">
        <v>45935</v>
      </c>
      <c r="AG126" s="294"/>
      <c r="AH126" s="321"/>
      <c r="AI126" s="323"/>
      <c r="AJ126" s="338"/>
      <c r="AK126" s="323"/>
      <c r="AL126" s="338"/>
      <c r="AM126" s="338"/>
      <c r="AN126" s="323"/>
      <c r="AO126" s="282"/>
      <c r="AP126" s="306"/>
      <c r="AQ126" s="282"/>
      <c r="AR126" s="282"/>
      <c r="AS126" s="282"/>
      <c r="AT126" s="281"/>
      <c r="AU126" s="281"/>
      <c r="AV126" s="281"/>
      <c r="AW126" s="281"/>
      <c r="AX126" s="281"/>
      <c r="AY126" s="281"/>
      <c r="AZ126" s="281"/>
    </row>
    <row r="127" spans="1:52" ht="15" customHeight="1" x14ac:dyDescent="0.3">
      <c r="A127" s="294">
        <v>45904</v>
      </c>
      <c r="B127" s="321" t="s">
        <v>47</v>
      </c>
      <c r="C127" s="321" t="s">
        <v>47</v>
      </c>
      <c r="D127" s="294" t="s">
        <v>48</v>
      </c>
      <c r="E127" s="321" t="s">
        <v>49</v>
      </c>
      <c r="F127" s="295">
        <v>16911652</v>
      </c>
      <c r="G127" s="296"/>
      <c r="H127" s="280" t="s">
        <v>50</v>
      </c>
      <c r="I127" s="323" t="s">
        <v>111</v>
      </c>
      <c r="J127" s="323" t="s">
        <v>2502</v>
      </c>
      <c r="K127" s="294">
        <v>45949</v>
      </c>
      <c r="L127" s="294">
        <v>45959</v>
      </c>
      <c r="M127" s="284">
        <f>Table1[[#This Row],[Dep Date]]-Table1[[#This Row],[Arr Date]]</f>
        <v>10</v>
      </c>
      <c r="N127" s="323" t="s">
        <v>52</v>
      </c>
      <c r="O127" s="321">
        <v>1</v>
      </c>
      <c r="P127" s="321">
        <v>2</v>
      </c>
      <c r="Q127" s="321">
        <v>1</v>
      </c>
      <c r="R127" s="321"/>
      <c r="S127" s="321" t="s">
        <v>53</v>
      </c>
      <c r="T127" s="326" t="s">
        <v>1743</v>
      </c>
      <c r="U127" s="297" t="s">
        <v>2244</v>
      </c>
      <c r="V127" s="294"/>
      <c r="W127" s="297">
        <v>0</v>
      </c>
      <c r="X127" s="294"/>
      <c r="Y127" s="329"/>
      <c r="Z127" s="329"/>
      <c r="AA127" s="332">
        <f>Table1[[#This Row],[Selling USD]]-Table1[[#This Row],[Cost USD]]</f>
        <v>0</v>
      </c>
      <c r="AB127" s="335">
        <f>38*2*10</f>
        <v>760</v>
      </c>
      <c r="AC127" s="298">
        <v>780</v>
      </c>
      <c r="AD127" s="299">
        <f>Table1[[#This Row],[Selling EUR]]-Table1[[#This Row],[Cost EUR]]</f>
        <v>20</v>
      </c>
      <c r="AE127" s="321" t="s">
        <v>54</v>
      </c>
      <c r="AF127" s="294">
        <v>45942</v>
      </c>
      <c r="AG127" s="294"/>
      <c r="AH127" s="321"/>
      <c r="AI127" s="323"/>
      <c r="AJ127" s="338"/>
      <c r="AK127" s="323"/>
      <c r="AL127" s="338"/>
      <c r="AM127" s="338"/>
      <c r="AN127" s="323"/>
      <c r="AO127" s="282"/>
      <c r="AP127" s="306"/>
      <c r="AQ127" s="282"/>
      <c r="AR127" s="282"/>
      <c r="AS127" s="282"/>
      <c r="AT127" s="281"/>
      <c r="AU127" s="281"/>
      <c r="AV127" s="281"/>
      <c r="AW127" s="281"/>
      <c r="AX127" s="281"/>
      <c r="AY127" s="281"/>
      <c r="AZ127" s="281"/>
    </row>
    <row r="128" spans="1:52" ht="15" customHeight="1" x14ac:dyDescent="0.3">
      <c r="A128" s="294">
        <v>45904</v>
      </c>
      <c r="B128" s="321" t="s">
        <v>47</v>
      </c>
      <c r="C128" s="321" t="s">
        <v>47</v>
      </c>
      <c r="D128" s="294" t="s">
        <v>48</v>
      </c>
      <c r="E128" s="321" t="s">
        <v>49</v>
      </c>
      <c r="F128" s="295">
        <v>16911565</v>
      </c>
      <c r="G128" s="296"/>
      <c r="H128" s="280" t="s">
        <v>50</v>
      </c>
      <c r="I128" s="323" t="s">
        <v>124</v>
      </c>
      <c r="J128" s="323" t="s">
        <v>2503</v>
      </c>
      <c r="K128" s="294">
        <v>46054</v>
      </c>
      <c r="L128" s="294">
        <v>46060</v>
      </c>
      <c r="M128" s="284">
        <f>Table1[[#This Row],[Dep Date]]-Table1[[#This Row],[Arr Date]]</f>
        <v>6</v>
      </c>
      <c r="N128" s="323" t="s">
        <v>52</v>
      </c>
      <c r="O128" s="321">
        <v>1</v>
      </c>
      <c r="P128" s="321">
        <v>2</v>
      </c>
      <c r="Q128" s="321"/>
      <c r="R128" s="321"/>
      <c r="S128" s="321" t="s">
        <v>53</v>
      </c>
      <c r="T128" s="326" t="s">
        <v>1744</v>
      </c>
      <c r="U128" s="297"/>
      <c r="V128" s="294"/>
      <c r="W128" s="297">
        <v>0</v>
      </c>
      <c r="X128" s="294"/>
      <c r="Y128" s="329"/>
      <c r="Z128" s="329"/>
      <c r="AA128" s="332">
        <f>Table1[[#This Row],[Selling USD]]-Table1[[#This Row],[Cost USD]]</f>
        <v>0</v>
      </c>
      <c r="AB128" s="335">
        <f>80*2*6*0.62+100</f>
        <v>695.2</v>
      </c>
      <c r="AC128" s="298">
        <v>743.2</v>
      </c>
      <c r="AD128" s="299">
        <f>Table1[[#This Row],[Selling EUR]]-Table1[[#This Row],[Cost EUR]]</f>
        <v>48</v>
      </c>
      <c r="AE128" s="321" t="s">
        <v>54</v>
      </c>
      <c r="AF128" s="294" t="s">
        <v>2245</v>
      </c>
      <c r="AG128" s="294" t="s">
        <v>2291</v>
      </c>
      <c r="AH128" s="321"/>
      <c r="AI128" s="323"/>
      <c r="AJ128" s="338"/>
      <c r="AK128" s="323"/>
      <c r="AL128" s="338"/>
      <c r="AM128" s="338"/>
      <c r="AN128" s="323"/>
      <c r="AO128" s="282"/>
      <c r="AP128" s="306"/>
      <c r="AQ128" s="282"/>
      <c r="AR128" s="282"/>
      <c r="AS128" s="282"/>
      <c r="AT128" s="281"/>
      <c r="AU128" s="281"/>
      <c r="AV128" s="281"/>
      <c r="AW128" s="281"/>
      <c r="AX128" s="281"/>
      <c r="AY128" s="281"/>
      <c r="AZ128" s="281"/>
    </row>
    <row r="129" spans="1:52" ht="15" customHeight="1" x14ac:dyDescent="0.3">
      <c r="A129" s="294">
        <v>45905</v>
      </c>
      <c r="B129" s="321" t="s">
        <v>47</v>
      </c>
      <c r="C129" s="321" t="s">
        <v>47</v>
      </c>
      <c r="D129" s="294" t="s">
        <v>48</v>
      </c>
      <c r="E129" s="321" t="s">
        <v>49</v>
      </c>
      <c r="F129" s="295">
        <v>16913375</v>
      </c>
      <c r="G129" s="296"/>
      <c r="H129" s="280" t="s">
        <v>50</v>
      </c>
      <c r="I129" s="323" t="s">
        <v>121</v>
      </c>
      <c r="J129" s="323" t="s">
        <v>2504</v>
      </c>
      <c r="K129" s="294">
        <v>45928</v>
      </c>
      <c r="L129" s="294">
        <v>45935</v>
      </c>
      <c r="M129" s="284">
        <f>Table1[[#This Row],[Dep Date]]-Table1[[#This Row],[Arr Date]]</f>
        <v>7</v>
      </c>
      <c r="N129" s="323" t="s">
        <v>52</v>
      </c>
      <c r="O129" s="321">
        <v>1</v>
      </c>
      <c r="P129" s="321">
        <v>2</v>
      </c>
      <c r="Q129" s="321"/>
      <c r="R129" s="321"/>
      <c r="S129" s="321" t="s">
        <v>53</v>
      </c>
      <c r="T129" s="326" t="s">
        <v>1745</v>
      </c>
      <c r="U129" s="297"/>
      <c r="V129" s="294"/>
      <c r="W129" s="297">
        <v>0</v>
      </c>
      <c r="X129" s="294"/>
      <c r="Y129" s="329"/>
      <c r="Z129" s="329"/>
      <c r="AA129" s="332">
        <f>Table1[[#This Row],[Selling USD]]-Table1[[#This Row],[Cost USD]]</f>
        <v>0</v>
      </c>
      <c r="AB129" s="335">
        <f>40*2*7</f>
        <v>560</v>
      </c>
      <c r="AC129" s="298">
        <v>574</v>
      </c>
      <c r="AD129" s="299">
        <f>Table1[[#This Row],[Selling EUR]]-Table1[[#This Row],[Cost EUR]]</f>
        <v>14</v>
      </c>
      <c r="AE129" s="321" t="s">
        <v>54</v>
      </c>
      <c r="AF129" s="294">
        <v>45921</v>
      </c>
      <c r="AG129" s="294"/>
      <c r="AH129" s="321"/>
      <c r="AI129" s="323"/>
      <c r="AJ129" s="338"/>
      <c r="AK129" s="323"/>
      <c r="AL129" s="338"/>
      <c r="AM129" s="338"/>
      <c r="AN129" s="324" t="s">
        <v>2356</v>
      </c>
      <c r="AO129" s="282"/>
      <c r="AP129" s="306"/>
      <c r="AQ129" s="282"/>
      <c r="AR129" s="282"/>
      <c r="AS129" s="282"/>
      <c r="AT129" s="281"/>
      <c r="AU129" s="281"/>
      <c r="AV129" s="281"/>
      <c r="AW129" s="281"/>
      <c r="AX129" s="281"/>
      <c r="AY129" s="281"/>
      <c r="AZ129" s="281"/>
    </row>
    <row r="130" spans="1:52" ht="15" customHeight="1" x14ac:dyDescent="0.3">
      <c r="A130" s="294">
        <v>45905</v>
      </c>
      <c r="B130" s="321" t="s">
        <v>47</v>
      </c>
      <c r="C130" s="321" t="s">
        <v>47</v>
      </c>
      <c r="D130" s="294" t="s">
        <v>79</v>
      </c>
      <c r="E130" s="321" t="s">
        <v>49</v>
      </c>
      <c r="F130" s="295">
        <v>13648957</v>
      </c>
      <c r="G130" s="296">
        <v>20243072</v>
      </c>
      <c r="H130" s="280" t="s">
        <v>84</v>
      </c>
      <c r="I130" s="323" t="s">
        <v>123</v>
      </c>
      <c r="J130" s="323" t="s">
        <v>1470</v>
      </c>
      <c r="K130" s="294">
        <v>46011</v>
      </c>
      <c r="L130" s="294">
        <v>46025</v>
      </c>
      <c r="M130" s="284">
        <f>Table1[[#This Row],[Dep Date]]-Table1[[#This Row],[Arr Date]]</f>
        <v>14</v>
      </c>
      <c r="N130" s="323" t="s">
        <v>70</v>
      </c>
      <c r="O130" s="321">
        <v>1</v>
      </c>
      <c r="P130" s="321">
        <v>3</v>
      </c>
      <c r="Q130" s="321"/>
      <c r="R130" s="321"/>
      <c r="S130" s="321" t="s">
        <v>53</v>
      </c>
      <c r="T130" s="327" t="s">
        <v>1746</v>
      </c>
      <c r="U130" s="297"/>
      <c r="V130" s="294"/>
      <c r="W130" s="297">
        <v>0</v>
      </c>
      <c r="X130" s="294"/>
      <c r="Y130" s="329"/>
      <c r="Z130" s="329"/>
      <c r="AA130" s="332">
        <f>Table1[[#This Row],[Selling USD]]-Table1[[#This Row],[Cost USD]]</f>
        <v>0</v>
      </c>
      <c r="AB130" s="335">
        <f>(60*3*2+68*3*6+79*3*6)*0.9+420</f>
        <v>3125.4</v>
      </c>
      <c r="AC130" s="298">
        <v>3152.45</v>
      </c>
      <c r="AD130" s="299">
        <f>Table1[[#This Row],[Selling EUR]]-Table1[[#This Row],[Cost EUR]]</f>
        <v>27.049999999999727</v>
      </c>
      <c r="AE130" s="321" t="s">
        <v>54</v>
      </c>
      <c r="AF130" s="294">
        <v>46002</v>
      </c>
      <c r="AG130" s="294" t="s">
        <v>2304</v>
      </c>
      <c r="AH130" s="321"/>
      <c r="AI130" s="323"/>
      <c r="AJ130" s="338"/>
      <c r="AK130" s="323"/>
      <c r="AL130" s="338"/>
      <c r="AM130" s="338"/>
      <c r="AN130" s="323"/>
      <c r="AO130" s="282"/>
      <c r="AP130" s="306"/>
      <c r="AQ130" s="282"/>
      <c r="AR130" s="282"/>
      <c r="AS130" s="282"/>
      <c r="AT130" s="281"/>
      <c r="AU130" s="281"/>
      <c r="AV130" s="281"/>
      <c r="AW130" s="281"/>
      <c r="AX130" s="281"/>
      <c r="AY130" s="281"/>
      <c r="AZ130" s="281"/>
    </row>
    <row r="131" spans="1:52" ht="15" customHeight="1" x14ac:dyDescent="0.3">
      <c r="A131" s="294">
        <v>45906</v>
      </c>
      <c r="B131" s="321" t="s">
        <v>47</v>
      </c>
      <c r="C131" s="321" t="s">
        <v>47</v>
      </c>
      <c r="D131" s="294" t="s">
        <v>79</v>
      </c>
      <c r="E131" s="321" t="s">
        <v>49</v>
      </c>
      <c r="F131" s="295">
        <v>13665462</v>
      </c>
      <c r="G131" s="296">
        <v>20243074</v>
      </c>
      <c r="H131" s="280" t="s">
        <v>84</v>
      </c>
      <c r="I131" s="323" t="s">
        <v>123</v>
      </c>
      <c r="J131" s="323" t="s">
        <v>2473</v>
      </c>
      <c r="K131" s="294">
        <v>45976</v>
      </c>
      <c r="L131" s="294">
        <v>45982</v>
      </c>
      <c r="M131" s="284">
        <f>Table1[[#This Row],[Dep Date]]-Table1[[#This Row],[Arr Date]]</f>
        <v>6</v>
      </c>
      <c r="N131" s="323" t="s">
        <v>52</v>
      </c>
      <c r="O131" s="321">
        <v>1</v>
      </c>
      <c r="P131" s="321">
        <v>2</v>
      </c>
      <c r="Q131" s="321"/>
      <c r="R131" s="321"/>
      <c r="S131" s="321" t="s">
        <v>53</v>
      </c>
      <c r="T131" s="327" t="s">
        <v>1747</v>
      </c>
      <c r="U131" s="297"/>
      <c r="V131" s="294"/>
      <c r="W131" s="297">
        <v>0</v>
      </c>
      <c r="X131" s="294"/>
      <c r="Y131" s="329"/>
      <c r="Z131" s="329"/>
      <c r="AA131" s="332">
        <f>Table1[[#This Row],[Selling USD]]-Table1[[#This Row],[Cost USD]]</f>
        <v>0</v>
      </c>
      <c r="AB131" s="335">
        <f>59*2*6*0.9</f>
        <v>637.20000000000005</v>
      </c>
      <c r="AC131" s="298">
        <v>637.20000000000005</v>
      </c>
      <c r="AD131" s="299">
        <f>Table1[[#This Row],[Selling EUR]]-Table1[[#This Row],[Cost EUR]]</f>
        <v>0</v>
      </c>
      <c r="AE131" s="321" t="s">
        <v>54</v>
      </c>
      <c r="AF131" s="294">
        <v>45967</v>
      </c>
      <c r="AG131" s="294" t="s">
        <v>2304</v>
      </c>
      <c r="AH131" s="321"/>
      <c r="AI131" s="323"/>
      <c r="AJ131" s="338"/>
      <c r="AK131" s="323"/>
      <c r="AL131" s="338"/>
      <c r="AM131" s="338"/>
      <c r="AN131" s="323"/>
      <c r="AO131" s="282"/>
      <c r="AP131" s="306"/>
      <c r="AQ131" s="282"/>
      <c r="AR131" s="282"/>
      <c r="AS131" s="282"/>
      <c r="AT131" s="281"/>
      <c r="AU131" s="281"/>
      <c r="AV131" s="281"/>
      <c r="AW131" s="281"/>
      <c r="AX131" s="281"/>
      <c r="AY131" s="281"/>
      <c r="AZ131" s="281"/>
    </row>
    <row r="132" spans="1:52" ht="15" customHeight="1" x14ac:dyDescent="0.3">
      <c r="A132" s="294">
        <v>45876</v>
      </c>
      <c r="B132" s="321" t="s">
        <v>47</v>
      </c>
      <c r="C132" s="321" t="s">
        <v>47</v>
      </c>
      <c r="D132" s="294" t="s">
        <v>48</v>
      </c>
      <c r="E132" s="321" t="s">
        <v>49</v>
      </c>
      <c r="F132" s="295">
        <v>16824642</v>
      </c>
      <c r="G132" s="296">
        <v>20303413</v>
      </c>
      <c r="H132" s="280" t="s">
        <v>50</v>
      </c>
      <c r="I132" s="323" t="s">
        <v>103</v>
      </c>
      <c r="J132" s="323" t="s">
        <v>2505</v>
      </c>
      <c r="K132" s="294">
        <v>45987</v>
      </c>
      <c r="L132" s="294">
        <v>45996</v>
      </c>
      <c r="M132" s="284">
        <f>Table1[[#This Row],[Dep Date]]-Table1[[#This Row],[Arr Date]]</f>
        <v>9</v>
      </c>
      <c r="N132" s="323" t="s">
        <v>52</v>
      </c>
      <c r="O132" s="321">
        <v>1</v>
      </c>
      <c r="P132" s="321">
        <v>2</v>
      </c>
      <c r="Q132" s="321">
        <v>1</v>
      </c>
      <c r="R132" s="321"/>
      <c r="S132" s="321" t="s">
        <v>53</v>
      </c>
      <c r="T132" s="327" t="s">
        <v>1748</v>
      </c>
      <c r="U132" s="297" t="s">
        <v>2246</v>
      </c>
      <c r="V132" s="294"/>
      <c r="W132" s="297">
        <v>0</v>
      </c>
      <c r="X132" s="294"/>
      <c r="Y132" s="329"/>
      <c r="Z132" s="329"/>
      <c r="AA132" s="332">
        <f>Table1[[#This Row],[Selling USD]]-Table1[[#This Row],[Cost USD]]</f>
        <v>0</v>
      </c>
      <c r="AB132" s="335">
        <f>(75*2*5*0.85+70*2*4*0.8)</f>
        <v>1085.5</v>
      </c>
      <c r="AC132" s="298">
        <v>1113.5</v>
      </c>
      <c r="AD132" s="299">
        <f>Table1[[#This Row],[Selling EUR]]-Table1[[#This Row],[Cost EUR]]</f>
        <v>28</v>
      </c>
      <c r="AE132" s="321" t="s">
        <v>54</v>
      </c>
      <c r="AF132" s="294">
        <v>45979</v>
      </c>
      <c r="AG132" s="294" t="s">
        <v>2357</v>
      </c>
      <c r="AH132" s="321"/>
      <c r="AI132" s="323"/>
      <c r="AJ132" s="338"/>
      <c r="AK132" s="323"/>
      <c r="AL132" s="338"/>
      <c r="AM132" s="338"/>
      <c r="AN132" s="324" t="s">
        <v>2358</v>
      </c>
      <c r="AO132" s="282"/>
      <c r="AP132" s="306"/>
      <c r="AQ132" s="282"/>
      <c r="AR132" s="282"/>
      <c r="AS132" s="282"/>
      <c r="AT132" s="281"/>
      <c r="AU132" s="281"/>
      <c r="AV132" s="281"/>
      <c r="AW132" s="281"/>
      <c r="AX132" s="281"/>
      <c r="AY132" s="281"/>
      <c r="AZ132" s="281"/>
    </row>
    <row r="133" spans="1:52" ht="15" customHeight="1" x14ac:dyDescent="0.3">
      <c r="A133" s="294">
        <v>45987</v>
      </c>
      <c r="B133" s="321" t="s">
        <v>47</v>
      </c>
      <c r="C133" s="321" t="s">
        <v>47</v>
      </c>
      <c r="D133" s="294" t="s">
        <v>79</v>
      </c>
      <c r="E133" s="321" t="s">
        <v>49</v>
      </c>
      <c r="F133" s="295">
        <v>14787229</v>
      </c>
      <c r="G133" s="296">
        <v>20303624</v>
      </c>
      <c r="H133" s="280" t="s">
        <v>50</v>
      </c>
      <c r="I133" s="323" t="s">
        <v>103</v>
      </c>
      <c r="J133" s="323" t="s">
        <v>1470</v>
      </c>
      <c r="K133" s="294">
        <v>46001</v>
      </c>
      <c r="L133" s="294">
        <v>46012</v>
      </c>
      <c r="M133" s="284">
        <f>Table1[[#This Row],[Dep Date]]-Table1[[#This Row],[Arr Date]]</f>
        <v>11</v>
      </c>
      <c r="N133" s="323" t="s">
        <v>52</v>
      </c>
      <c r="O133" s="321">
        <v>1</v>
      </c>
      <c r="P133" s="321">
        <v>2</v>
      </c>
      <c r="Q133" s="321"/>
      <c r="R133" s="321"/>
      <c r="S133" s="321" t="s">
        <v>53</v>
      </c>
      <c r="T133" s="326" t="s">
        <v>1749</v>
      </c>
      <c r="U133" s="297">
        <v>0</v>
      </c>
      <c r="V133" s="294"/>
      <c r="W133" s="297">
        <v>0</v>
      </c>
      <c r="X133" s="294"/>
      <c r="Y133" s="329"/>
      <c r="Z133" s="329"/>
      <c r="AA133" s="332">
        <f>Table1[[#This Row],[Selling USD]]-Table1[[#This Row],[Cost USD]]</f>
        <v>0</v>
      </c>
      <c r="AB133" s="335">
        <f>70*2*0.79*11</f>
        <v>1216.6000000000001</v>
      </c>
      <c r="AC133" s="298">
        <v>1228.77</v>
      </c>
      <c r="AD133" s="299">
        <f>Table1[[#This Row],[Selling EUR]]-Table1[[#This Row],[Cost EUR]]</f>
        <v>12.169999999999845</v>
      </c>
      <c r="AE133" s="321" t="s">
        <v>54</v>
      </c>
      <c r="AF133" s="294">
        <v>45992</v>
      </c>
      <c r="AG133" s="294"/>
      <c r="AH133" s="321"/>
      <c r="AI133" s="323"/>
      <c r="AJ133" s="338"/>
      <c r="AK133" s="323"/>
      <c r="AL133" s="338"/>
      <c r="AM133" s="338"/>
      <c r="AN133" s="323"/>
      <c r="AO133" s="282"/>
      <c r="AP133" s="306"/>
      <c r="AQ133" s="282"/>
      <c r="AR133" s="282"/>
      <c r="AS133" s="282"/>
      <c r="AT133" s="281"/>
      <c r="AU133" s="281"/>
      <c r="AV133" s="281"/>
      <c r="AW133" s="281"/>
      <c r="AX133" s="281"/>
      <c r="AY133" s="281"/>
      <c r="AZ133" s="281"/>
    </row>
    <row r="134" spans="1:52" ht="15" customHeight="1" x14ac:dyDescent="0.3">
      <c r="A134" s="294">
        <v>45907</v>
      </c>
      <c r="B134" s="321" t="s">
        <v>47</v>
      </c>
      <c r="C134" s="321" t="s">
        <v>47</v>
      </c>
      <c r="D134" s="294" t="s">
        <v>48</v>
      </c>
      <c r="E134" s="321" t="s">
        <v>49</v>
      </c>
      <c r="F134" s="295">
        <v>16918351</v>
      </c>
      <c r="G134" s="296">
        <v>20303490</v>
      </c>
      <c r="H134" s="280" t="s">
        <v>50</v>
      </c>
      <c r="I134" s="323" t="s">
        <v>125</v>
      </c>
      <c r="J134" s="323" t="s">
        <v>2506</v>
      </c>
      <c r="K134" s="294">
        <v>45984</v>
      </c>
      <c r="L134" s="294">
        <v>45991</v>
      </c>
      <c r="M134" s="284">
        <f>Table1[[#This Row],[Dep Date]]-Table1[[#This Row],[Arr Date]]</f>
        <v>7</v>
      </c>
      <c r="N134" s="323" t="s">
        <v>52</v>
      </c>
      <c r="O134" s="321">
        <v>1</v>
      </c>
      <c r="P134" s="321">
        <v>2</v>
      </c>
      <c r="Q134" s="321"/>
      <c r="R134" s="321"/>
      <c r="S134" s="321" t="s">
        <v>53</v>
      </c>
      <c r="T134" s="326" t="s">
        <v>1750</v>
      </c>
      <c r="U134" s="297"/>
      <c r="V134" s="294"/>
      <c r="W134" s="297">
        <v>0</v>
      </c>
      <c r="X134" s="294"/>
      <c r="Y134" s="329"/>
      <c r="Z134" s="329"/>
      <c r="AA134" s="332">
        <f>Table1[[#This Row],[Selling USD]]-Table1[[#This Row],[Cost USD]]</f>
        <v>0</v>
      </c>
      <c r="AB134" s="335">
        <f>26*2*7</f>
        <v>364</v>
      </c>
      <c r="AC134" s="298">
        <v>392</v>
      </c>
      <c r="AD134" s="299">
        <f>Table1[[#This Row],[Selling EUR]]-Table1[[#This Row],[Cost EUR]]</f>
        <v>28</v>
      </c>
      <c r="AE134" s="321" t="s">
        <v>54</v>
      </c>
      <c r="AF134" s="294">
        <v>45977</v>
      </c>
      <c r="AG134" s="294"/>
      <c r="AH134" s="321"/>
      <c r="AI134" s="323"/>
      <c r="AJ134" s="338"/>
      <c r="AK134" s="323"/>
      <c r="AL134" s="338"/>
      <c r="AM134" s="338"/>
      <c r="AN134" s="323"/>
      <c r="AO134" s="282"/>
      <c r="AP134" s="306"/>
      <c r="AQ134" s="282"/>
      <c r="AR134" s="282"/>
      <c r="AS134" s="282"/>
      <c r="AT134" s="281"/>
      <c r="AU134" s="281"/>
      <c r="AV134" s="281"/>
      <c r="AW134" s="281"/>
      <c r="AX134" s="281"/>
      <c r="AY134" s="281"/>
      <c r="AZ134" s="281"/>
    </row>
    <row r="135" spans="1:52" ht="15" customHeight="1" x14ac:dyDescent="0.3">
      <c r="A135" s="294">
        <v>45907</v>
      </c>
      <c r="B135" s="321" t="s">
        <v>47</v>
      </c>
      <c r="C135" s="321" t="s">
        <v>47</v>
      </c>
      <c r="D135" s="294" t="s">
        <v>48</v>
      </c>
      <c r="E135" s="321" t="s">
        <v>61</v>
      </c>
      <c r="F135" s="295">
        <v>16918877</v>
      </c>
      <c r="G135" s="296"/>
      <c r="H135" s="280" t="s">
        <v>50</v>
      </c>
      <c r="I135" s="323" t="s">
        <v>51</v>
      </c>
      <c r="J135" s="323" t="s">
        <v>2507</v>
      </c>
      <c r="K135" s="294">
        <v>45921</v>
      </c>
      <c r="L135" s="294">
        <v>45931</v>
      </c>
      <c r="M135" s="284">
        <f>Table1[[#This Row],[Dep Date]]-Table1[[#This Row],[Arr Date]]</f>
        <v>10</v>
      </c>
      <c r="N135" s="323" t="s">
        <v>70</v>
      </c>
      <c r="O135" s="321">
        <v>1</v>
      </c>
      <c r="P135" s="321">
        <v>3</v>
      </c>
      <c r="Q135" s="321"/>
      <c r="R135" s="321"/>
      <c r="S135" s="321" t="s">
        <v>53</v>
      </c>
      <c r="T135" s="326" t="s">
        <v>1751</v>
      </c>
      <c r="U135" s="297"/>
      <c r="V135" s="294"/>
      <c r="W135" s="297">
        <v>0</v>
      </c>
      <c r="X135" s="294"/>
      <c r="Y135" s="329">
        <f>82*3*10</f>
        <v>2460</v>
      </c>
      <c r="Z135" s="329">
        <v>2490</v>
      </c>
      <c r="AA135" s="332">
        <f>Table1[[#This Row],[Selling USD]]-Table1[[#This Row],[Cost USD]]</f>
        <v>30</v>
      </c>
      <c r="AB135" s="335"/>
      <c r="AC135" s="298"/>
      <c r="AD135" s="299">
        <f>Table1[[#This Row],[Selling EUR]]-Table1[[#This Row],[Cost EUR]]</f>
        <v>0</v>
      </c>
      <c r="AE135" s="321" t="s">
        <v>54</v>
      </c>
      <c r="AF135" s="294">
        <v>45918</v>
      </c>
      <c r="AG135" s="294"/>
      <c r="AH135" s="321"/>
      <c r="AI135" s="323"/>
      <c r="AJ135" s="338"/>
      <c r="AK135" s="323"/>
      <c r="AL135" s="338"/>
      <c r="AM135" s="338"/>
      <c r="AN135" s="323"/>
      <c r="AO135" s="282"/>
      <c r="AP135" s="306"/>
      <c r="AQ135" s="282"/>
      <c r="AR135" s="282"/>
      <c r="AS135" s="282"/>
      <c r="AT135" s="281"/>
      <c r="AU135" s="281"/>
      <c r="AV135" s="281"/>
      <c r="AW135" s="281"/>
      <c r="AX135" s="281"/>
      <c r="AY135" s="281"/>
      <c r="AZ135" s="281"/>
    </row>
    <row r="136" spans="1:52" ht="15" customHeight="1" x14ac:dyDescent="0.3">
      <c r="A136" s="294">
        <v>45909</v>
      </c>
      <c r="B136" s="321" t="s">
        <v>47</v>
      </c>
      <c r="C136" s="321" t="s">
        <v>47</v>
      </c>
      <c r="D136" s="294" t="s">
        <v>79</v>
      </c>
      <c r="E136" s="321" t="s">
        <v>106</v>
      </c>
      <c r="F136" s="295">
        <v>13708520</v>
      </c>
      <c r="G136" s="296">
        <v>20243075</v>
      </c>
      <c r="H136" s="280" t="s">
        <v>84</v>
      </c>
      <c r="I136" s="323" t="s">
        <v>107</v>
      </c>
      <c r="J136" s="323" t="s">
        <v>2501</v>
      </c>
      <c r="K136" s="294">
        <v>45953</v>
      </c>
      <c r="L136" s="294">
        <v>45956</v>
      </c>
      <c r="M136" s="284">
        <f>Table1[[#This Row],[Dep Date]]-Table1[[#This Row],[Arr Date]]</f>
        <v>3</v>
      </c>
      <c r="N136" s="323" t="s">
        <v>52</v>
      </c>
      <c r="O136" s="321">
        <v>1</v>
      </c>
      <c r="P136" s="321">
        <v>2</v>
      </c>
      <c r="Q136" s="321">
        <v>1</v>
      </c>
      <c r="R136" s="321"/>
      <c r="S136" s="321" t="s">
        <v>53</v>
      </c>
      <c r="T136" s="327" t="s">
        <v>1752</v>
      </c>
      <c r="U136" s="297">
        <v>5</v>
      </c>
      <c r="V136" s="294"/>
      <c r="W136" s="297">
        <v>0</v>
      </c>
      <c r="X136" s="294"/>
      <c r="Y136" s="329">
        <f>110*2*3*0.55</f>
        <v>363.00000000000006</v>
      </c>
      <c r="Z136" s="329">
        <v>370.26</v>
      </c>
      <c r="AA136" s="332">
        <f>Table1[[#This Row],[Selling USD]]-Table1[[#This Row],[Cost USD]]</f>
        <v>7.2599999999999341</v>
      </c>
      <c r="AB136" s="335"/>
      <c r="AC136" s="298"/>
      <c r="AD136" s="299">
        <f>Table1[[#This Row],[Selling EUR]]-Table1[[#This Row],[Cost EUR]]</f>
        <v>0</v>
      </c>
      <c r="AE136" s="321" t="s">
        <v>54</v>
      </c>
      <c r="AF136" s="294">
        <v>45945</v>
      </c>
      <c r="AG136" s="294"/>
      <c r="AH136" s="321"/>
      <c r="AI136" s="323"/>
      <c r="AJ136" s="338"/>
      <c r="AK136" s="323"/>
      <c r="AL136" s="338"/>
      <c r="AM136" s="338"/>
      <c r="AN136" s="323"/>
      <c r="AO136" s="282"/>
      <c r="AP136" s="306"/>
      <c r="AQ136" s="282"/>
      <c r="AR136" s="282"/>
      <c r="AS136" s="282"/>
      <c r="AT136" s="281"/>
      <c r="AU136" s="281"/>
      <c r="AV136" s="281"/>
      <c r="AW136" s="281"/>
      <c r="AX136" s="281"/>
      <c r="AY136" s="281"/>
      <c r="AZ136" s="281"/>
    </row>
    <row r="137" spans="1:52" ht="15" customHeight="1" x14ac:dyDescent="0.3">
      <c r="A137" s="294">
        <v>45910</v>
      </c>
      <c r="B137" s="321" t="s">
        <v>47</v>
      </c>
      <c r="C137" s="321" t="s">
        <v>47</v>
      </c>
      <c r="D137" s="294" t="s">
        <v>48</v>
      </c>
      <c r="E137" s="321" t="s">
        <v>49</v>
      </c>
      <c r="F137" s="295">
        <v>16926047</v>
      </c>
      <c r="G137" s="296"/>
      <c r="H137" s="280" t="s">
        <v>50</v>
      </c>
      <c r="I137" s="323" t="s">
        <v>119</v>
      </c>
      <c r="J137" s="323" t="s">
        <v>2496</v>
      </c>
      <c r="K137" s="294">
        <v>45948</v>
      </c>
      <c r="L137" s="294">
        <v>45953</v>
      </c>
      <c r="M137" s="284">
        <f>Table1[[#This Row],[Dep Date]]-Table1[[#This Row],[Arr Date]]</f>
        <v>5</v>
      </c>
      <c r="N137" s="323" t="s">
        <v>52</v>
      </c>
      <c r="O137" s="321">
        <v>1</v>
      </c>
      <c r="P137" s="321">
        <v>2</v>
      </c>
      <c r="Q137" s="321"/>
      <c r="R137" s="321"/>
      <c r="S137" s="321" t="s">
        <v>53</v>
      </c>
      <c r="T137" s="326" t="s">
        <v>1753</v>
      </c>
      <c r="U137" s="297"/>
      <c r="V137" s="294"/>
      <c r="W137" s="297">
        <v>0</v>
      </c>
      <c r="X137" s="294"/>
      <c r="Y137" s="329"/>
      <c r="Z137" s="329"/>
      <c r="AA137" s="332">
        <f>Table1[[#This Row],[Selling USD]]-Table1[[#This Row],[Cost USD]]</f>
        <v>0</v>
      </c>
      <c r="AB137" s="335">
        <f>62*2*5</f>
        <v>620</v>
      </c>
      <c r="AC137" s="298">
        <v>620</v>
      </c>
      <c r="AD137" s="299">
        <f>Table1[[#This Row],[Selling EUR]]-Table1[[#This Row],[Cost EUR]]</f>
        <v>0</v>
      </c>
      <c r="AE137" s="321" t="s">
        <v>54</v>
      </c>
      <c r="AF137" s="294">
        <v>45942</v>
      </c>
      <c r="AG137" s="294"/>
      <c r="AH137" s="321"/>
      <c r="AI137" s="323"/>
      <c r="AJ137" s="338"/>
      <c r="AK137" s="323"/>
      <c r="AL137" s="338"/>
      <c r="AM137" s="338"/>
      <c r="AN137" s="323"/>
      <c r="AO137" s="282"/>
      <c r="AP137" s="306"/>
      <c r="AQ137" s="282"/>
      <c r="AR137" s="282"/>
      <c r="AS137" s="282"/>
      <c r="AT137" s="281"/>
      <c r="AU137" s="281"/>
      <c r="AV137" s="281"/>
      <c r="AW137" s="281"/>
      <c r="AX137" s="281"/>
      <c r="AY137" s="281"/>
      <c r="AZ137" s="281"/>
    </row>
    <row r="138" spans="1:52" ht="15" customHeight="1" x14ac:dyDescent="0.3">
      <c r="A138" s="294">
        <v>45910</v>
      </c>
      <c r="B138" s="321" t="s">
        <v>47</v>
      </c>
      <c r="C138" s="321" t="s">
        <v>47</v>
      </c>
      <c r="D138" s="294" t="s">
        <v>48</v>
      </c>
      <c r="E138" s="321" t="s">
        <v>49</v>
      </c>
      <c r="F138" s="295">
        <v>16925257</v>
      </c>
      <c r="G138" s="296"/>
      <c r="H138" s="280" t="s">
        <v>50</v>
      </c>
      <c r="I138" s="323" t="s">
        <v>93</v>
      </c>
      <c r="J138" s="323" t="s">
        <v>2508</v>
      </c>
      <c r="K138" s="294">
        <v>45969</v>
      </c>
      <c r="L138" s="294">
        <v>45975</v>
      </c>
      <c r="M138" s="284">
        <f>Table1[[#This Row],[Dep Date]]-Table1[[#This Row],[Arr Date]]</f>
        <v>6</v>
      </c>
      <c r="N138" s="323" t="s">
        <v>65</v>
      </c>
      <c r="O138" s="321">
        <v>1</v>
      </c>
      <c r="P138" s="321">
        <v>1</v>
      </c>
      <c r="Q138" s="321"/>
      <c r="R138" s="321"/>
      <c r="S138" s="321" t="s">
        <v>53</v>
      </c>
      <c r="T138" s="326" t="s">
        <v>1754</v>
      </c>
      <c r="U138" s="297"/>
      <c r="V138" s="294"/>
      <c r="W138" s="297">
        <v>0</v>
      </c>
      <c r="X138" s="294"/>
      <c r="Y138" s="329"/>
      <c r="Z138" s="329"/>
      <c r="AA138" s="332">
        <f>Table1[[#This Row],[Selling USD]]-Table1[[#This Row],[Cost USD]]</f>
        <v>0</v>
      </c>
      <c r="AB138" s="335">
        <f>123*0.75*6+50</f>
        <v>603.5</v>
      </c>
      <c r="AC138" s="298">
        <v>570.5</v>
      </c>
      <c r="AD138" s="299">
        <f>Table1[[#This Row],[Selling EUR]]-Table1[[#This Row],[Cost EUR]]</f>
        <v>-33</v>
      </c>
      <c r="AE138" s="321" t="s">
        <v>54</v>
      </c>
      <c r="AF138" s="294">
        <v>45952</v>
      </c>
      <c r="AG138" s="294"/>
      <c r="AH138" s="321"/>
      <c r="AI138" s="323"/>
      <c r="AJ138" s="338"/>
      <c r="AK138" s="323"/>
      <c r="AL138" s="338"/>
      <c r="AM138" s="338"/>
      <c r="AN138" s="323" t="s">
        <v>2359</v>
      </c>
      <c r="AO138" s="282"/>
      <c r="AP138" s="306"/>
      <c r="AQ138" s="282"/>
      <c r="AR138" s="282"/>
      <c r="AS138" s="282"/>
      <c r="AT138" s="281"/>
      <c r="AU138" s="281"/>
      <c r="AV138" s="281"/>
      <c r="AW138" s="281"/>
      <c r="AX138" s="281"/>
      <c r="AY138" s="281"/>
      <c r="AZ138" s="281"/>
    </row>
    <row r="139" spans="1:52" ht="15" customHeight="1" x14ac:dyDescent="0.3">
      <c r="A139" s="294">
        <v>45911</v>
      </c>
      <c r="B139" s="321" t="s">
        <v>47</v>
      </c>
      <c r="C139" s="321" t="s">
        <v>47</v>
      </c>
      <c r="D139" s="294" t="s">
        <v>48</v>
      </c>
      <c r="E139" s="321" t="s">
        <v>61</v>
      </c>
      <c r="F139" s="295">
        <v>16928760</v>
      </c>
      <c r="G139" s="296">
        <v>20303497</v>
      </c>
      <c r="H139" s="280" t="s">
        <v>84</v>
      </c>
      <c r="I139" s="323" t="s">
        <v>126</v>
      </c>
      <c r="J139" s="323" t="s">
        <v>2509</v>
      </c>
      <c r="K139" s="294">
        <v>45975</v>
      </c>
      <c r="L139" s="294">
        <v>45982</v>
      </c>
      <c r="M139" s="284">
        <f>Table1[[#This Row],[Dep Date]]-Table1[[#This Row],[Arr Date]]</f>
        <v>7</v>
      </c>
      <c r="N139" s="323" t="s">
        <v>65</v>
      </c>
      <c r="O139" s="321">
        <v>1</v>
      </c>
      <c r="P139" s="321">
        <v>1</v>
      </c>
      <c r="Q139" s="321"/>
      <c r="R139" s="321"/>
      <c r="S139" s="321" t="s">
        <v>53</v>
      </c>
      <c r="T139" s="326" t="s">
        <v>1755</v>
      </c>
      <c r="U139" s="297"/>
      <c r="V139" s="294"/>
      <c r="W139" s="297">
        <v>0</v>
      </c>
      <c r="X139" s="294"/>
      <c r="Y139" s="329">
        <f>60*7</f>
        <v>420</v>
      </c>
      <c r="Z139" s="329">
        <v>336</v>
      </c>
      <c r="AA139" s="332">
        <f>Table1[[#This Row],[Selling USD]]-Table1[[#This Row],[Cost USD]]</f>
        <v>-84</v>
      </c>
      <c r="AB139" s="335"/>
      <c r="AC139" s="298"/>
      <c r="AD139" s="299">
        <f>Table1[[#This Row],[Selling EUR]]-Table1[[#This Row],[Cost EUR]]</f>
        <v>0</v>
      </c>
      <c r="AE139" s="321" t="s">
        <v>54</v>
      </c>
      <c r="AF139" s="294">
        <v>45966</v>
      </c>
      <c r="AG139" s="294" t="s">
        <v>2360</v>
      </c>
      <c r="AH139" s="321"/>
      <c r="AI139" s="323"/>
      <c r="AJ139" s="338"/>
      <c r="AK139" s="323"/>
      <c r="AL139" s="338"/>
      <c r="AM139" s="338"/>
      <c r="AN139" s="324" t="s">
        <v>2361</v>
      </c>
      <c r="AO139" s="282"/>
      <c r="AP139" s="306"/>
      <c r="AQ139" s="282"/>
      <c r="AR139" s="282"/>
      <c r="AS139" s="282"/>
      <c r="AT139" s="281"/>
      <c r="AU139" s="281"/>
      <c r="AV139" s="281"/>
      <c r="AW139" s="281"/>
      <c r="AX139" s="281"/>
      <c r="AY139" s="281"/>
      <c r="AZ139" s="281"/>
    </row>
    <row r="140" spans="1:52" ht="15" customHeight="1" x14ac:dyDescent="0.3">
      <c r="A140" s="294">
        <v>45912</v>
      </c>
      <c r="B140" s="321" t="s">
        <v>47</v>
      </c>
      <c r="C140" s="321" t="s">
        <v>47</v>
      </c>
      <c r="D140" s="294" t="s">
        <v>48</v>
      </c>
      <c r="E140" s="321" t="s">
        <v>61</v>
      </c>
      <c r="F140" s="295">
        <v>16933086</v>
      </c>
      <c r="G140" s="296">
        <v>20303499</v>
      </c>
      <c r="H140" s="280" t="s">
        <v>50</v>
      </c>
      <c r="I140" s="323" t="s">
        <v>127</v>
      </c>
      <c r="J140" s="323" t="s">
        <v>2439</v>
      </c>
      <c r="K140" s="294">
        <v>45987</v>
      </c>
      <c r="L140" s="294">
        <v>45991</v>
      </c>
      <c r="M140" s="284">
        <f>Table1[[#This Row],[Dep Date]]-Table1[[#This Row],[Arr Date]]</f>
        <v>4</v>
      </c>
      <c r="N140" s="323" t="s">
        <v>52</v>
      </c>
      <c r="O140" s="321">
        <v>1</v>
      </c>
      <c r="P140" s="321">
        <v>2</v>
      </c>
      <c r="Q140" s="321"/>
      <c r="R140" s="321"/>
      <c r="S140" s="321" t="s">
        <v>53</v>
      </c>
      <c r="T140" s="326" t="s">
        <v>1756</v>
      </c>
      <c r="U140" s="297"/>
      <c r="V140" s="294"/>
      <c r="W140" s="297">
        <v>0</v>
      </c>
      <c r="X140" s="294"/>
      <c r="Y140" s="329">
        <f>67*2*4*0.75</f>
        <v>402</v>
      </c>
      <c r="Z140" s="329">
        <v>402</v>
      </c>
      <c r="AA140" s="332">
        <f>Table1[[#This Row],[Selling USD]]-Table1[[#This Row],[Cost USD]]</f>
        <v>0</v>
      </c>
      <c r="AB140" s="335"/>
      <c r="AC140" s="298"/>
      <c r="AD140" s="299">
        <f>Table1[[#This Row],[Selling EUR]]-Table1[[#This Row],[Cost EUR]]</f>
        <v>0</v>
      </c>
      <c r="AE140" s="321" t="s">
        <v>54</v>
      </c>
      <c r="AF140" s="294">
        <v>45979</v>
      </c>
      <c r="AG140" s="294" t="s">
        <v>2289</v>
      </c>
      <c r="AH140" s="321"/>
      <c r="AI140" s="323"/>
      <c r="AJ140" s="338"/>
      <c r="AK140" s="323"/>
      <c r="AL140" s="338"/>
      <c r="AM140" s="338"/>
      <c r="AN140" s="323" t="s">
        <v>2362</v>
      </c>
      <c r="AO140" s="282"/>
      <c r="AP140" s="306"/>
      <c r="AQ140" s="282"/>
      <c r="AR140" s="282"/>
      <c r="AS140" s="282"/>
      <c r="AT140" s="281"/>
      <c r="AU140" s="281"/>
      <c r="AV140" s="281"/>
      <c r="AW140" s="281"/>
      <c r="AX140" s="281"/>
      <c r="AY140" s="281"/>
      <c r="AZ140" s="281"/>
    </row>
    <row r="141" spans="1:52" ht="15" customHeight="1" x14ac:dyDescent="0.3">
      <c r="A141" s="294">
        <v>45912</v>
      </c>
      <c r="B141" s="321" t="s">
        <v>47</v>
      </c>
      <c r="C141" s="321" t="s">
        <v>47</v>
      </c>
      <c r="D141" s="294" t="s">
        <v>79</v>
      </c>
      <c r="E141" s="321" t="s">
        <v>106</v>
      </c>
      <c r="F141" s="295">
        <v>13756315</v>
      </c>
      <c r="G141" s="296">
        <v>20243076</v>
      </c>
      <c r="H141" s="280" t="s">
        <v>50</v>
      </c>
      <c r="I141" s="323" t="s">
        <v>67</v>
      </c>
      <c r="J141" s="323" t="s">
        <v>2510</v>
      </c>
      <c r="K141" s="294">
        <v>46119</v>
      </c>
      <c r="L141" s="294">
        <v>46126</v>
      </c>
      <c r="M141" s="284">
        <f>Table1[[#This Row],[Dep Date]]-Table1[[#This Row],[Arr Date]]</f>
        <v>7</v>
      </c>
      <c r="N141" s="323" t="s">
        <v>52</v>
      </c>
      <c r="O141" s="321">
        <v>1</v>
      </c>
      <c r="P141" s="321">
        <v>2</v>
      </c>
      <c r="Q141" s="321"/>
      <c r="R141" s="321"/>
      <c r="S141" s="321" t="s">
        <v>53</v>
      </c>
      <c r="T141" s="327" t="s">
        <v>1757</v>
      </c>
      <c r="U141" s="297"/>
      <c r="V141" s="294"/>
      <c r="W141" s="297">
        <v>0</v>
      </c>
      <c r="X141" s="294"/>
      <c r="Y141" s="329">
        <f>(102*2*2+94*2*5)*0.9</f>
        <v>1213.2</v>
      </c>
      <c r="Z141" s="329">
        <v>1237.46</v>
      </c>
      <c r="AA141" s="332">
        <f>Table1[[#This Row],[Selling USD]]-Table1[[#This Row],[Cost USD]]</f>
        <v>24.259999999999991</v>
      </c>
      <c r="AB141" s="335"/>
      <c r="AC141" s="298"/>
      <c r="AD141" s="299">
        <f>Table1[[#This Row],[Selling EUR]]-Table1[[#This Row],[Cost EUR]]</f>
        <v>0</v>
      </c>
      <c r="AE141" s="321" t="s">
        <v>54</v>
      </c>
      <c r="AF141" s="294">
        <v>46113</v>
      </c>
      <c r="AG141" s="294"/>
      <c r="AH141" s="321"/>
      <c r="AI141" s="323"/>
      <c r="AJ141" s="338"/>
      <c r="AK141" s="323"/>
      <c r="AL141" s="338"/>
      <c r="AM141" s="338"/>
      <c r="AN141" s="323"/>
      <c r="AO141" s="282"/>
      <c r="AP141" s="306"/>
      <c r="AQ141" s="282"/>
      <c r="AR141" s="282"/>
      <c r="AS141" s="282"/>
      <c r="AT141" s="281"/>
      <c r="AU141" s="281"/>
      <c r="AV141" s="281"/>
      <c r="AW141" s="281"/>
      <c r="AX141" s="281"/>
      <c r="AY141" s="281"/>
      <c r="AZ141" s="281"/>
    </row>
    <row r="142" spans="1:52" ht="15" customHeight="1" x14ac:dyDescent="0.3">
      <c r="A142" s="294">
        <v>45915</v>
      </c>
      <c r="B142" s="321" t="s">
        <v>47</v>
      </c>
      <c r="C142" s="321" t="s">
        <v>47</v>
      </c>
      <c r="D142" s="294" t="s">
        <v>79</v>
      </c>
      <c r="E142" s="321" t="s">
        <v>61</v>
      </c>
      <c r="F142" s="295">
        <v>13798245</v>
      </c>
      <c r="G142" s="296">
        <v>20243078</v>
      </c>
      <c r="H142" s="280" t="s">
        <v>50</v>
      </c>
      <c r="I142" s="323" t="s">
        <v>101</v>
      </c>
      <c r="J142" s="323" t="s">
        <v>1402</v>
      </c>
      <c r="K142" s="294">
        <v>45946</v>
      </c>
      <c r="L142" s="294">
        <v>45947</v>
      </c>
      <c r="M142" s="284">
        <f>Table1[[#This Row],[Dep Date]]-Table1[[#This Row],[Arr Date]]</f>
        <v>1</v>
      </c>
      <c r="N142" s="323" t="s">
        <v>52</v>
      </c>
      <c r="O142" s="321">
        <v>1</v>
      </c>
      <c r="P142" s="321">
        <v>2</v>
      </c>
      <c r="Q142" s="321">
        <v>2</v>
      </c>
      <c r="R142" s="321"/>
      <c r="S142" s="321" t="s">
        <v>53</v>
      </c>
      <c r="T142" s="326" t="s">
        <v>1758</v>
      </c>
      <c r="U142" s="297" t="s">
        <v>2247</v>
      </c>
      <c r="V142" s="294"/>
      <c r="W142" s="297">
        <v>0</v>
      </c>
      <c r="X142" s="294"/>
      <c r="Y142" s="329">
        <f>30*2*1</f>
        <v>60</v>
      </c>
      <c r="Z142" s="329">
        <v>62.62</v>
      </c>
      <c r="AA142" s="332">
        <f>Table1[[#This Row],[Selling USD]]-Table1[[#This Row],[Cost USD]]</f>
        <v>2.6199999999999974</v>
      </c>
      <c r="AB142" s="335"/>
      <c r="AC142" s="298"/>
      <c r="AD142" s="299">
        <f>Table1[[#This Row],[Selling EUR]]-Table1[[#This Row],[Cost EUR]]</f>
        <v>0</v>
      </c>
      <c r="AE142" s="321" t="s">
        <v>54</v>
      </c>
      <c r="AF142" s="294">
        <v>45942</v>
      </c>
      <c r="AG142" s="294"/>
      <c r="AH142" s="321"/>
      <c r="AI142" s="323"/>
      <c r="AJ142" s="338"/>
      <c r="AK142" s="323"/>
      <c r="AL142" s="338"/>
      <c r="AM142" s="338"/>
      <c r="AN142" s="323" t="s">
        <v>2363</v>
      </c>
      <c r="AO142" s="282"/>
      <c r="AP142" s="306"/>
      <c r="AQ142" s="282"/>
      <c r="AR142" s="282"/>
      <c r="AS142" s="282"/>
      <c r="AT142" s="281"/>
      <c r="AU142" s="281"/>
      <c r="AV142" s="281"/>
      <c r="AW142" s="281"/>
      <c r="AX142" s="281"/>
      <c r="AY142" s="281"/>
      <c r="AZ142" s="281"/>
    </row>
    <row r="143" spans="1:52" ht="15" customHeight="1" x14ac:dyDescent="0.3">
      <c r="A143" s="294">
        <v>45916</v>
      </c>
      <c r="B143" s="321" t="s">
        <v>47</v>
      </c>
      <c r="C143" s="321" t="s">
        <v>47</v>
      </c>
      <c r="D143" s="294" t="s">
        <v>79</v>
      </c>
      <c r="E143" s="321" t="s">
        <v>61</v>
      </c>
      <c r="F143" s="295">
        <v>13813148</v>
      </c>
      <c r="G143" s="296">
        <v>20243079</v>
      </c>
      <c r="H143" s="280" t="s">
        <v>50</v>
      </c>
      <c r="I143" s="323" t="s">
        <v>101</v>
      </c>
      <c r="J143" s="323" t="s">
        <v>1402</v>
      </c>
      <c r="K143" s="294">
        <v>45946</v>
      </c>
      <c r="L143" s="294">
        <v>45947</v>
      </c>
      <c r="M143" s="284">
        <f>Table1[[#This Row],[Dep Date]]-Table1[[#This Row],[Arr Date]]</f>
        <v>1</v>
      </c>
      <c r="N143" s="323" t="s">
        <v>52</v>
      </c>
      <c r="O143" s="321">
        <v>1</v>
      </c>
      <c r="P143" s="321">
        <v>2</v>
      </c>
      <c r="Q143" s="321">
        <v>1</v>
      </c>
      <c r="R143" s="321"/>
      <c r="S143" s="321" t="s">
        <v>53</v>
      </c>
      <c r="T143" s="326" t="s">
        <v>1759</v>
      </c>
      <c r="U143" s="297">
        <v>1</v>
      </c>
      <c r="V143" s="294"/>
      <c r="W143" s="297">
        <v>0</v>
      </c>
      <c r="X143" s="294"/>
      <c r="Y143" s="329">
        <f>30*2*1</f>
        <v>60</v>
      </c>
      <c r="Z143" s="329">
        <v>62.62</v>
      </c>
      <c r="AA143" s="332">
        <f>Table1[[#This Row],[Selling USD]]-Table1[[#This Row],[Cost USD]]</f>
        <v>2.6199999999999974</v>
      </c>
      <c r="AB143" s="335"/>
      <c r="AC143" s="298"/>
      <c r="AD143" s="299">
        <f>Table1[[#This Row],[Selling EUR]]-Table1[[#This Row],[Cost EUR]]</f>
        <v>0</v>
      </c>
      <c r="AE143" s="321" t="s">
        <v>54</v>
      </c>
      <c r="AF143" s="294">
        <v>45942</v>
      </c>
      <c r="AG143" s="294"/>
      <c r="AH143" s="321"/>
      <c r="AI143" s="323"/>
      <c r="AJ143" s="338"/>
      <c r="AK143" s="323"/>
      <c r="AL143" s="338"/>
      <c r="AM143" s="338"/>
      <c r="AN143" s="323" t="s">
        <v>2363</v>
      </c>
      <c r="AO143" s="282"/>
      <c r="AP143" s="306"/>
      <c r="AQ143" s="282"/>
      <c r="AR143" s="282"/>
      <c r="AS143" s="282"/>
      <c r="AT143" s="281"/>
      <c r="AU143" s="281"/>
      <c r="AV143" s="281"/>
      <c r="AW143" s="281"/>
      <c r="AX143" s="281"/>
      <c r="AY143" s="281"/>
      <c r="AZ143" s="281"/>
    </row>
    <row r="144" spans="1:52" ht="15" customHeight="1" x14ac:dyDescent="0.3">
      <c r="A144" s="294">
        <v>45916</v>
      </c>
      <c r="B144" s="321" t="s">
        <v>47</v>
      </c>
      <c r="C144" s="321" t="s">
        <v>47</v>
      </c>
      <c r="D144" s="294" t="s">
        <v>79</v>
      </c>
      <c r="E144" s="321" t="s">
        <v>61</v>
      </c>
      <c r="F144" s="295">
        <v>13813202</v>
      </c>
      <c r="G144" s="296">
        <v>20243080</v>
      </c>
      <c r="H144" s="280" t="s">
        <v>50</v>
      </c>
      <c r="I144" s="323" t="s">
        <v>101</v>
      </c>
      <c r="J144" s="323" t="s">
        <v>1402</v>
      </c>
      <c r="K144" s="294">
        <v>45946</v>
      </c>
      <c r="L144" s="294">
        <v>45947</v>
      </c>
      <c r="M144" s="284">
        <f>Table1[[#This Row],[Dep Date]]-Table1[[#This Row],[Arr Date]]</f>
        <v>1</v>
      </c>
      <c r="N144" s="323" t="s">
        <v>52</v>
      </c>
      <c r="O144" s="321">
        <v>1</v>
      </c>
      <c r="P144" s="321">
        <v>2</v>
      </c>
      <c r="Q144" s="321">
        <v>2</v>
      </c>
      <c r="R144" s="321"/>
      <c r="S144" s="321" t="s">
        <v>53</v>
      </c>
      <c r="T144" s="326" t="s">
        <v>1760</v>
      </c>
      <c r="U144" s="297" t="s">
        <v>2248</v>
      </c>
      <c r="V144" s="294"/>
      <c r="W144" s="297">
        <v>0</v>
      </c>
      <c r="X144" s="294"/>
      <c r="Y144" s="329">
        <f>30*2*1</f>
        <v>60</v>
      </c>
      <c r="Z144" s="329">
        <v>62.62</v>
      </c>
      <c r="AA144" s="332">
        <f>Table1[[#This Row],[Selling USD]]-Table1[[#This Row],[Cost USD]]</f>
        <v>2.6199999999999974</v>
      </c>
      <c r="AB144" s="335"/>
      <c r="AC144" s="298"/>
      <c r="AD144" s="299">
        <f>Table1[[#This Row],[Selling EUR]]-Table1[[#This Row],[Cost EUR]]</f>
        <v>0</v>
      </c>
      <c r="AE144" s="321" t="s">
        <v>54</v>
      </c>
      <c r="AF144" s="294">
        <v>45942</v>
      </c>
      <c r="AG144" s="294"/>
      <c r="AH144" s="321"/>
      <c r="AI144" s="323"/>
      <c r="AJ144" s="338"/>
      <c r="AK144" s="323"/>
      <c r="AL144" s="338"/>
      <c r="AM144" s="338"/>
      <c r="AN144" s="323" t="s">
        <v>2363</v>
      </c>
      <c r="AO144" s="282"/>
      <c r="AP144" s="306"/>
      <c r="AQ144" s="282"/>
      <c r="AR144" s="282"/>
      <c r="AS144" s="282"/>
      <c r="AT144" s="281"/>
      <c r="AU144" s="281"/>
      <c r="AV144" s="281"/>
      <c r="AW144" s="281"/>
      <c r="AX144" s="281"/>
      <c r="AY144" s="281"/>
      <c r="AZ144" s="281"/>
    </row>
    <row r="145" spans="1:52" ht="15" customHeight="1" x14ac:dyDescent="0.3">
      <c r="A145" s="294">
        <v>45916</v>
      </c>
      <c r="B145" s="321" t="s">
        <v>47</v>
      </c>
      <c r="C145" s="321" t="s">
        <v>47</v>
      </c>
      <c r="D145" s="294" t="s">
        <v>48</v>
      </c>
      <c r="E145" s="321" t="s">
        <v>49</v>
      </c>
      <c r="F145" s="295">
        <v>16942663</v>
      </c>
      <c r="G145" s="296">
        <v>20303506</v>
      </c>
      <c r="H145" s="280" t="s">
        <v>50</v>
      </c>
      <c r="I145" s="323" t="s">
        <v>95</v>
      </c>
      <c r="J145" s="323" t="s">
        <v>2442</v>
      </c>
      <c r="K145" s="294">
        <v>45982</v>
      </c>
      <c r="L145" s="294">
        <v>45991</v>
      </c>
      <c r="M145" s="284">
        <f>Table1[[#This Row],[Dep Date]]-Table1[[#This Row],[Arr Date]]</f>
        <v>9</v>
      </c>
      <c r="N145" s="323" t="s">
        <v>52</v>
      </c>
      <c r="O145" s="321">
        <v>1</v>
      </c>
      <c r="P145" s="321">
        <v>2</v>
      </c>
      <c r="Q145" s="321"/>
      <c r="R145" s="321"/>
      <c r="S145" s="321" t="s">
        <v>53</v>
      </c>
      <c r="T145" s="326" t="s">
        <v>1761</v>
      </c>
      <c r="U145" s="297"/>
      <c r="V145" s="294"/>
      <c r="W145" s="297">
        <v>0</v>
      </c>
      <c r="X145" s="294"/>
      <c r="Y145" s="329"/>
      <c r="Z145" s="329"/>
      <c r="AA145" s="332">
        <f>Table1[[#This Row],[Selling USD]]-Table1[[#This Row],[Cost USD]]</f>
        <v>0</v>
      </c>
      <c r="AB145" s="335">
        <f>(88*2*3+73*2*6)*0.85</f>
        <v>1193.3999999999999</v>
      </c>
      <c r="AC145" s="298">
        <v>1229.4000000000001</v>
      </c>
      <c r="AD145" s="299">
        <f>Table1[[#This Row],[Selling EUR]]-Table1[[#This Row],[Cost EUR]]</f>
        <v>36.000000000000227</v>
      </c>
      <c r="AE145" s="321" t="s">
        <v>54</v>
      </c>
      <c r="AF145" s="294">
        <v>45971</v>
      </c>
      <c r="AG145" s="294"/>
      <c r="AH145" s="321"/>
      <c r="AI145" s="323"/>
      <c r="AJ145" s="338"/>
      <c r="AK145" s="323"/>
      <c r="AL145" s="338"/>
      <c r="AM145" s="338"/>
      <c r="AN145" s="323"/>
      <c r="AO145" s="282"/>
      <c r="AP145" s="306"/>
      <c r="AQ145" s="282"/>
      <c r="AR145" s="282"/>
      <c r="AS145" s="282"/>
      <c r="AT145" s="281"/>
      <c r="AU145" s="281"/>
      <c r="AV145" s="281"/>
      <c r="AW145" s="281"/>
      <c r="AX145" s="281"/>
      <c r="AY145" s="281"/>
      <c r="AZ145" s="281"/>
    </row>
    <row r="146" spans="1:52" ht="15" customHeight="1" x14ac:dyDescent="0.3">
      <c r="A146" s="294">
        <v>45917</v>
      </c>
      <c r="B146" s="321" t="s">
        <v>47</v>
      </c>
      <c r="C146" s="321" t="s">
        <v>47</v>
      </c>
      <c r="D146" s="294" t="s">
        <v>48</v>
      </c>
      <c r="E146" s="321" t="s">
        <v>49</v>
      </c>
      <c r="F146" s="295">
        <v>16944474</v>
      </c>
      <c r="G146" s="296"/>
      <c r="H146" s="280" t="s">
        <v>50</v>
      </c>
      <c r="I146" s="323" t="s">
        <v>66</v>
      </c>
      <c r="J146" s="323" t="s">
        <v>2511</v>
      </c>
      <c r="K146" s="294">
        <v>45934</v>
      </c>
      <c r="L146" s="294">
        <v>45945</v>
      </c>
      <c r="M146" s="284">
        <f>Table1[[#This Row],[Dep Date]]-Table1[[#This Row],[Arr Date]]</f>
        <v>11</v>
      </c>
      <c r="N146" s="323" t="s">
        <v>65</v>
      </c>
      <c r="O146" s="321">
        <v>1</v>
      </c>
      <c r="P146" s="321">
        <v>1</v>
      </c>
      <c r="Q146" s="321"/>
      <c r="R146" s="321"/>
      <c r="S146" s="321" t="s">
        <v>53</v>
      </c>
      <c r="T146" s="326" t="s">
        <v>1762</v>
      </c>
      <c r="U146" s="297"/>
      <c r="V146" s="294"/>
      <c r="W146" s="297">
        <v>0</v>
      </c>
      <c r="X146" s="294"/>
      <c r="Y146" s="329"/>
      <c r="Z146" s="329"/>
      <c r="AA146" s="332">
        <f>Table1[[#This Row],[Selling USD]]-Table1[[#This Row],[Cost USD]]</f>
        <v>0</v>
      </c>
      <c r="AB146" s="335">
        <f>96*11</f>
        <v>1056</v>
      </c>
      <c r="AC146" s="298">
        <v>887.8</v>
      </c>
      <c r="AD146" s="299">
        <f>Table1[[#This Row],[Selling EUR]]-Table1[[#This Row],[Cost EUR]]</f>
        <v>-168.20000000000005</v>
      </c>
      <c r="AE146" s="321" t="s">
        <v>54</v>
      </c>
      <c r="AF146" s="294">
        <v>45931</v>
      </c>
      <c r="AG146" s="294"/>
      <c r="AH146" s="321"/>
      <c r="AI146" s="323"/>
      <c r="AJ146" s="338"/>
      <c r="AK146" s="323"/>
      <c r="AL146" s="338"/>
      <c r="AM146" s="338"/>
      <c r="AN146" s="323"/>
      <c r="AO146" s="282"/>
      <c r="AP146" s="306"/>
      <c r="AQ146" s="282"/>
      <c r="AR146" s="282"/>
      <c r="AS146" s="282"/>
      <c r="AT146" s="281"/>
      <c r="AU146" s="281"/>
      <c r="AV146" s="281"/>
      <c r="AW146" s="281"/>
      <c r="AX146" s="281"/>
      <c r="AY146" s="281"/>
      <c r="AZ146" s="281"/>
    </row>
    <row r="147" spans="1:52" ht="15" customHeight="1" x14ac:dyDescent="0.3">
      <c r="A147" s="294">
        <v>45917</v>
      </c>
      <c r="B147" s="321" t="s">
        <v>47</v>
      </c>
      <c r="C147" s="321" t="s">
        <v>47</v>
      </c>
      <c r="D147" s="294" t="s">
        <v>48</v>
      </c>
      <c r="E147" s="321" t="s">
        <v>49</v>
      </c>
      <c r="F147" s="295">
        <v>16944080</v>
      </c>
      <c r="G147" s="296"/>
      <c r="H147" s="280" t="s">
        <v>50</v>
      </c>
      <c r="I147" s="323" t="s">
        <v>66</v>
      </c>
      <c r="J147" s="323" t="s">
        <v>2483</v>
      </c>
      <c r="K147" s="294">
        <v>45956</v>
      </c>
      <c r="L147" s="294">
        <v>45966</v>
      </c>
      <c r="M147" s="284">
        <f>Table1[[#This Row],[Dep Date]]-Table1[[#This Row],[Arr Date]]</f>
        <v>10</v>
      </c>
      <c r="N147" s="323" t="s">
        <v>70</v>
      </c>
      <c r="O147" s="321">
        <v>1</v>
      </c>
      <c r="P147" s="321">
        <v>3</v>
      </c>
      <c r="Q147" s="321"/>
      <c r="R147" s="321"/>
      <c r="S147" s="321" t="s">
        <v>53</v>
      </c>
      <c r="T147" s="326" t="s">
        <v>1763</v>
      </c>
      <c r="U147" s="297"/>
      <c r="V147" s="294"/>
      <c r="W147" s="297">
        <v>0</v>
      </c>
      <c r="X147" s="294"/>
      <c r="Y147" s="329"/>
      <c r="Z147" s="329"/>
      <c r="AA147" s="332">
        <f>Table1[[#This Row],[Selling USD]]-Table1[[#This Row],[Cost USD]]</f>
        <v>0</v>
      </c>
      <c r="AB147" s="335">
        <f>58*3*6+50*3*4</f>
        <v>1644</v>
      </c>
      <c r="AC147" s="298">
        <v>1560</v>
      </c>
      <c r="AD147" s="299">
        <f>Table1[[#This Row],[Selling EUR]]-Table1[[#This Row],[Cost EUR]]</f>
        <v>-84</v>
      </c>
      <c r="AE147" s="321" t="s">
        <v>54</v>
      </c>
      <c r="AF147" s="294">
        <v>45949</v>
      </c>
      <c r="AG147" s="294"/>
      <c r="AH147" s="321"/>
      <c r="AI147" s="323"/>
      <c r="AJ147" s="338"/>
      <c r="AK147" s="323"/>
      <c r="AL147" s="338"/>
      <c r="AM147" s="338"/>
      <c r="AN147" s="323" t="s">
        <v>2354</v>
      </c>
      <c r="AO147" s="282"/>
      <c r="AP147" s="306"/>
      <c r="AQ147" s="282"/>
      <c r="AR147" s="282"/>
      <c r="AS147" s="282"/>
      <c r="AT147" s="281"/>
      <c r="AU147" s="281"/>
      <c r="AV147" s="281"/>
      <c r="AW147" s="281"/>
      <c r="AX147" s="281"/>
      <c r="AY147" s="281"/>
      <c r="AZ147" s="281"/>
    </row>
    <row r="148" spans="1:52" ht="15" customHeight="1" x14ac:dyDescent="0.3">
      <c r="A148" s="294">
        <v>45917</v>
      </c>
      <c r="B148" s="321" t="s">
        <v>47</v>
      </c>
      <c r="C148" s="321" t="s">
        <v>47</v>
      </c>
      <c r="D148" s="294" t="s">
        <v>48</v>
      </c>
      <c r="E148" s="321" t="s">
        <v>61</v>
      </c>
      <c r="F148" s="295">
        <v>16943844</v>
      </c>
      <c r="G148" s="296"/>
      <c r="H148" s="280" t="s">
        <v>50</v>
      </c>
      <c r="I148" s="323" t="s">
        <v>93</v>
      </c>
      <c r="J148" s="323" t="s">
        <v>2512</v>
      </c>
      <c r="K148" s="294">
        <v>45958</v>
      </c>
      <c r="L148" s="294">
        <v>45962</v>
      </c>
      <c r="M148" s="284">
        <f>Table1[[#This Row],[Dep Date]]-Table1[[#This Row],[Arr Date]]</f>
        <v>4</v>
      </c>
      <c r="N148" s="323" t="s">
        <v>52</v>
      </c>
      <c r="O148" s="321">
        <v>1</v>
      </c>
      <c r="P148" s="321">
        <v>2</v>
      </c>
      <c r="Q148" s="321"/>
      <c r="R148" s="321"/>
      <c r="S148" s="321" t="s">
        <v>53</v>
      </c>
      <c r="T148" s="326" t="s">
        <v>1764</v>
      </c>
      <c r="U148" s="297"/>
      <c r="V148" s="294"/>
      <c r="W148" s="297">
        <v>0</v>
      </c>
      <c r="X148" s="294"/>
      <c r="Y148" s="329">
        <f>106*2*4+40*2</f>
        <v>928</v>
      </c>
      <c r="Z148" s="329">
        <v>686.4</v>
      </c>
      <c r="AA148" s="332">
        <f>Table1[[#This Row],[Selling USD]]-Table1[[#This Row],[Cost USD]]</f>
        <v>-241.60000000000002</v>
      </c>
      <c r="AB148" s="335"/>
      <c r="AC148" s="298"/>
      <c r="AD148" s="299">
        <f>Table1[[#This Row],[Selling EUR]]-Table1[[#This Row],[Cost EUR]]</f>
        <v>0</v>
      </c>
      <c r="AE148" s="321" t="s">
        <v>54</v>
      </c>
      <c r="AF148" s="294">
        <v>45952</v>
      </c>
      <c r="AG148" s="294"/>
      <c r="AH148" s="321"/>
      <c r="AI148" s="323"/>
      <c r="AJ148" s="338"/>
      <c r="AK148" s="323"/>
      <c r="AL148" s="338"/>
      <c r="AM148" s="338"/>
      <c r="AN148" s="323" t="s">
        <v>2364</v>
      </c>
      <c r="AO148" s="282"/>
      <c r="AP148" s="306"/>
      <c r="AQ148" s="282"/>
      <c r="AR148" s="282"/>
      <c r="AS148" s="282"/>
      <c r="AT148" s="281"/>
      <c r="AU148" s="281"/>
      <c r="AV148" s="281"/>
      <c r="AW148" s="281"/>
      <c r="AX148" s="281"/>
      <c r="AY148" s="281"/>
      <c r="AZ148" s="281"/>
    </row>
    <row r="149" spans="1:52" ht="15" customHeight="1" x14ac:dyDescent="0.3">
      <c r="A149" s="294">
        <v>45917</v>
      </c>
      <c r="B149" s="321" t="s">
        <v>47</v>
      </c>
      <c r="C149" s="321" t="s">
        <v>47</v>
      </c>
      <c r="D149" s="294" t="s">
        <v>48</v>
      </c>
      <c r="E149" s="321" t="s">
        <v>49</v>
      </c>
      <c r="F149" s="295">
        <v>16944967</v>
      </c>
      <c r="G149" s="296"/>
      <c r="H149" s="280" t="s">
        <v>50</v>
      </c>
      <c r="I149" s="323" t="s">
        <v>124</v>
      </c>
      <c r="J149" s="323" t="s">
        <v>2503</v>
      </c>
      <c r="K149" s="294">
        <v>45977</v>
      </c>
      <c r="L149" s="294">
        <v>45986</v>
      </c>
      <c r="M149" s="284">
        <f>Table1[[#This Row],[Dep Date]]-Table1[[#This Row],[Arr Date]]</f>
        <v>9</v>
      </c>
      <c r="N149" s="323" t="s">
        <v>52</v>
      </c>
      <c r="O149" s="321">
        <v>1</v>
      </c>
      <c r="P149" s="321">
        <v>2</v>
      </c>
      <c r="Q149" s="321"/>
      <c r="R149" s="321"/>
      <c r="S149" s="321" t="s">
        <v>53</v>
      </c>
      <c r="T149" s="326" t="s">
        <v>1765</v>
      </c>
      <c r="U149" s="297"/>
      <c r="V149" s="294"/>
      <c r="W149" s="297">
        <v>0</v>
      </c>
      <c r="X149" s="294"/>
      <c r="Y149" s="329"/>
      <c r="Z149" s="329"/>
      <c r="AA149" s="332">
        <f>Table1[[#This Row],[Selling USD]]-Table1[[#This Row],[Cost USD]]</f>
        <v>0</v>
      </c>
      <c r="AB149" s="335">
        <f>(84*2*8*0.7)+(80*2*0.67)+100</f>
        <v>1148</v>
      </c>
      <c r="AC149" s="298">
        <v>1184</v>
      </c>
      <c r="AD149" s="299">
        <f>Table1[[#This Row],[Selling EUR]]-Table1[[#This Row],[Cost EUR]]</f>
        <v>36</v>
      </c>
      <c r="AE149" s="321" t="s">
        <v>54</v>
      </c>
      <c r="AF149" s="294">
        <v>45971</v>
      </c>
      <c r="AG149" s="294"/>
      <c r="AH149" s="321"/>
      <c r="AI149" s="323"/>
      <c r="AJ149" s="338"/>
      <c r="AK149" s="323"/>
      <c r="AL149" s="338"/>
      <c r="AM149" s="338"/>
      <c r="AN149" s="323"/>
      <c r="AO149" s="282"/>
      <c r="AP149" s="306"/>
      <c r="AQ149" s="282"/>
      <c r="AR149" s="282"/>
      <c r="AS149" s="282"/>
      <c r="AT149" s="281"/>
      <c r="AU149" s="281"/>
      <c r="AV149" s="281"/>
      <c r="AW149" s="281"/>
      <c r="AX149" s="281"/>
      <c r="AY149" s="281"/>
      <c r="AZ149" s="281"/>
    </row>
    <row r="150" spans="1:52" ht="15" customHeight="1" x14ac:dyDescent="0.3">
      <c r="A150" s="294">
        <v>45918</v>
      </c>
      <c r="B150" s="321" t="s">
        <v>47</v>
      </c>
      <c r="C150" s="321" t="s">
        <v>47</v>
      </c>
      <c r="D150" s="294" t="s">
        <v>48</v>
      </c>
      <c r="E150" s="321" t="s">
        <v>61</v>
      </c>
      <c r="F150" s="295">
        <v>16949056</v>
      </c>
      <c r="G150" s="296"/>
      <c r="H150" s="280" t="s">
        <v>50</v>
      </c>
      <c r="I150" s="323" t="s">
        <v>76</v>
      </c>
      <c r="J150" s="323" t="s">
        <v>2513</v>
      </c>
      <c r="K150" s="294">
        <v>45926</v>
      </c>
      <c r="L150" s="294">
        <v>45933</v>
      </c>
      <c r="M150" s="284">
        <f>Table1[[#This Row],[Dep Date]]-Table1[[#This Row],[Arr Date]]</f>
        <v>7</v>
      </c>
      <c r="N150" s="323" t="s">
        <v>70</v>
      </c>
      <c r="O150" s="321">
        <v>1</v>
      </c>
      <c r="P150" s="321">
        <v>3</v>
      </c>
      <c r="Q150" s="321"/>
      <c r="R150" s="321"/>
      <c r="S150" s="321" t="s">
        <v>53</v>
      </c>
      <c r="T150" s="327" t="s">
        <v>1766</v>
      </c>
      <c r="U150" s="297"/>
      <c r="V150" s="294"/>
      <c r="W150" s="297">
        <v>0</v>
      </c>
      <c r="X150" s="294"/>
      <c r="Y150" s="329">
        <f>64*3*7</f>
        <v>1344</v>
      </c>
      <c r="Z150" s="329">
        <v>1344</v>
      </c>
      <c r="AA150" s="332">
        <f>Table1[[#This Row],[Selling USD]]-Table1[[#This Row],[Cost USD]]</f>
        <v>0</v>
      </c>
      <c r="AB150" s="335"/>
      <c r="AC150" s="298"/>
      <c r="AD150" s="299">
        <f>Table1[[#This Row],[Selling EUR]]-Table1[[#This Row],[Cost EUR]]</f>
        <v>0</v>
      </c>
      <c r="AE150" s="321" t="s">
        <v>54</v>
      </c>
      <c r="AF150" s="294">
        <v>45924</v>
      </c>
      <c r="AG150" s="294"/>
      <c r="AH150" s="321"/>
      <c r="AI150" s="323"/>
      <c r="AJ150" s="338"/>
      <c r="AK150" s="323"/>
      <c r="AL150" s="338"/>
      <c r="AM150" s="338"/>
      <c r="AN150" s="323"/>
      <c r="AO150" s="282"/>
      <c r="AP150" s="306"/>
      <c r="AQ150" s="282"/>
      <c r="AR150" s="282"/>
      <c r="AS150" s="282"/>
      <c r="AT150" s="281"/>
      <c r="AU150" s="281"/>
      <c r="AV150" s="281"/>
      <c r="AW150" s="281"/>
      <c r="AX150" s="281"/>
      <c r="AY150" s="281"/>
      <c r="AZ150" s="281"/>
    </row>
    <row r="151" spans="1:52" ht="15" customHeight="1" x14ac:dyDescent="0.3">
      <c r="A151" s="294">
        <v>45919</v>
      </c>
      <c r="B151" s="321" t="s">
        <v>73</v>
      </c>
      <c r="C151" s="321" t="s">
        <v>73</v>
      </c>
      <c r="D151" s="294" t="s">
        <v>48</v>
      </c>
      <c r="E151" s="321" t="s">
        <v>49</v>
      </c>
      <c r="F151" s="295">
        <v>16951203</v>
      </c>
      <c r="G151" s="296">
        <v>20303512</v>
      </c>
      <c r="H151" s="280" t="s">
        <v>50</v>
      </c>
      <c r="I151" s="323" t="s">
        <v>125</v>
      </c>
      <c r="J151" s="323" t="s">
        <v>128</v>
      </c>
      <c r="K151" s="294">
        <v>46014</v>
      </c>
      <c r="L151" s="294">
        <v>46021</v>
      </c>
      <c r="M151" s="284">
        <f>Table1[[#This Row],[Dep Date]]-Table1[[#This Row],[Arr Date]]</f>
        <v>7</v>
      </c>
      <c r="N151" s="323" t="s">
        <v>52</v>
      </c>
      <c r="O151" s="321">
        <v>1</v>
      </c>
      <c r="P151" s="321">
        <v>2</v>
      </c>
      <c r="Q151" s="321">
        <v>2</v>
      </c>
      <c r="R151" s="321"/>
      <c r="S151" s="321" t="s">
        <v>53</v>
      </c>
      <c r="T151" s="326" t="s">
        <v>1767</v>
      </c>
      <c r="U151" s="297" t="s">
        <v>2249</v>
      </c>
      <c r="V151" s="294"/>
      <c r="W151" s="297">
        <v>0</v>
      </c>
      <c r="X151" s="294"/>
      <c r="Y151" s="329"/>
      <c r="Z151" s="329"/>
      <c r="AA151" s="332">
        <f>Table1[[#This Row],[Selling USD]]-Table1[[#This Row],[Cost USD]]</f>
        <v>0</v>
      </c>
      <c r="AB151" s="335">
        <f>26*2*5+30*2*2</f>
        <v>380</v>
      </c>
      <c r="AC151" s="298">
        <v>408</v>
      </c>
      <c r="AD151" s="299">
        <f>Table1[[#This Row],[Selling EUR]]-Table1[[#This Row],[Cost EUR]]</f>
        <v>28</v>
      </c>
      <c r="AE151" s="321" t="s">
        <v>54</v>
      </c>
      <c r="AF151" s="294">
        <v>46006</v>
      </c>
      <c r="AG151" s="294" t="s">
        <v>2291</v>
      </c>
      <c r="AH151" s="321"/>
      <c r="AI151" s="323"/>
      <c r="AJ151" s="338"/>
      <c r="AK151" s="323"/>
      <c r="AL151" s="338"/>
      <c r="AM151" s="338"/>
      <c r="AN151" s="323"/>
      <c r="AO151" s="282"/>
      <c r="AP151" s="306"/>
      <c r="AQ151" s="282"/>
      <c r="AR151" s="282"/>
      <c r="AS151" s="282"/>
      <c r="AT151" s="281"/>
      <c r="AU151" s="281"/>
      <c r="AV151" s="281"/>
      <c r="AW151" s="281"/>
      <c r="AX151" s="281"/>
      <c r="AY151" s="281"/>
      <c r="AZ151" s="281"/>
    </row>
    <row r="152" spans="1:52" ht="15" customHeight="1" x14ac:dyDescent="0.3">
      <c r="A152" s="294">
        <v>45921</v>
      </c>
      <c r="B152" s="321" t="s">
        <v>47</v>
      </c>
      <c r="C152" s="321" t="s">
        <v>47</v>
      </c>
      <c r="D152" s="294" t="s">
        <v>48</v>
      </c>
      <c r="E152" s="321" t="s">
        <v>49</v>
      </c>
      <c r="F152" s="295">
        <v>16955408</v>
      </c>
      <c r="G152" s="296"/>
      <c r="H152" s="280" t="s">
        <v>50</v>
      </c>
      <c r="I152" s="323" t="s">
        <v>125</v>
      </c>
      <c r="J152" s="323" t="s">
        <v>2511</v>
      </c>
      <c r="K152" s="294">
        <v>45961</v>
      </c>
      <c r="L152" s="294">
        <v>45970</v>
      </c>
      <c r="M152" s="284">
        <f>Table1[[#This Row],[Dep Date]]-Table1[[#This Row],[Arr Date]]</f>
        <v>9</v>
      </c>
      <c r="N152" s="323" t="s">
        <v>65</v>
      </c>
      <c r="O152" s="321">
        <v>1</v>
      </c>
      <c r="P152" s="321"/>
      <c r="Q152" s="321"/>
      <c r="R152" s="321"/>
      <c r="S152" s="321" t="s">
        <v>53</v>
      </c>
      <c r="T152" s="326" t="s">
        <v>1768</v>
      </c>
      <c r="U152" s="297"/>
      <c r="V152" s="294"/>
      <c r="W152" s="297">
        <v>0</v>
      </c>
      <c r="X152" s="294"/>
      <c r="Y152" s="329"/>
      <c r="Z152" s="329"/>
      <c r="AA152" s="332">
        <f>Table1[[#This Row],[Selling USD]]-Table1[[#This Row],[Cost USD]]</f>
        <v>0</v>
      </c>
      <c r="AB152" s="335">
        <f>28*1.5*1+27*1.5*8</f>
        <v>366</v>
      </c>
      <c r="AC152" s="298">
        <v>383</v>
      </c>
      <c r="AD152" s="299">
        <f>Table1[[#This Row],[Selling EUR]]-Table1[[#This Row],[Cost EUR]]</f>
        <v>17</v>
      </c>
      <c r="AE152" s="321" t="s">
        <v>54</v>
      </c>
      <c r="AF152" s="294">
        <v>45952</v>
      </c>
      <c r="AG152" s="294"/>
      <c r="AH152" s="321"/>
      <c r="AI152" s="323"/>
      <c r="AJ152" s="338"/>
      <c r="AK152" s="323"/>
      <c r="AL152" s="338"/>
      <c r="AM152" s="338"/>
      <c r="AN152" s="323"/>
      <c r="AO152" s="282"/>
      <c r="AP152" s="306"/>
      <c r="AQ152" s="282"/>
      <c r="AR152" s="282"/>
      <c r="AS152" s="282"/>
      <c r="AT152" s="281"/>
      <c r="AU152" s="281"/>
      <c r="AV152" s="281"/>
      <c r="AW152" s="281"/>
      <c r="AX152" s="281"/>
      <c r="AY152" s="281"/>
      <c r="AZ152" s="281"/>
    </row>
    <row r="153" spans="1:52" ht="15" customHeight="1" x14ac:dyDescent="0.3">
      <c r="A153" s="294">
        <v>45921</v>
      </c>
      <c r="B153" s="321" t="s">
        <v>47</v>
      </c>
      <c r="C153" s="321" t="s">
        <v>47</v>
      </c>
      <c r="D153" s="294" t="s">
        <v>48</v>
      </c>
      <c r="E153" s="321" t="s">
        <v>49</v>
      </c>
      <c r="F153" s="295">
        <v>16955493</v>
      </c>
      <c r="G153" s="296"/>
      <c r="H153" s="280" t="s">
        <v>50</v>
      </c>
      <c r="I153" s="323" t="s">
        <v>125</v>
      </c>
      <c r="J153" s="323" t="s">
        <v>2511</v>
      </c>
      <c r="K153" s="294">
        <v>45961</v>
      </c>
      <c r="L153" s="294">
        <v>45970</v>
      </c>
      <c r="M153" s="284">
        <f>Table1[[#This Row],[Dep Date]]-Table1[[#This Row],[Arr Date]]</f>
        <v>9</v>
      </c>
      <c r="N153" s="323" t="s">
        <v>65</v>
      </c>
      <c r="O153" s="321">
        <v>1</v>
      </c>
      <c r="P153" s="321"/>
      <c r="Q153" s="321"/>
      <c r="R153" s="321"/>
      <c r="S153" s="321" t="s">
        <v>53</v>
      </c>
      <c r="T153" s="326" t="s">
        <v>1769</v>
      </c>
      <c r="U153" s="297"/>
      <c r="V153" s="294"/>
      <c r="W153" s="297">
        <v>0</v>
      </c>
      <c r="X153" s="294"/>
      <c r="Y153" s="329"/>
      <c r="Z153" s="329"/>
      <c r="AA153" s="332">
        <f>Table1[[#This Row],[Selling USD]]-Table1[[#This Row],[Cost USD]]</f>
        <v>0</v>
      </c>
      <c r="AB153" s="335">
        <f>28*1.5*1+27*1.5*8</f>
        <v>366</v>
      </c>
      <c r="AC153" s="298">
        <v>383</v>
      </c>
      <c r="AD153" s="299">
        <f>Table1[[#This Row],[Selling EUR]]-Table1[[#This Row],[Cost EUR]]</f>
        <v>17</v>
      </c>
      <c r="AE153" s="321" t="s">
        <v>54</v>
      </c>
      <c r="AF153" s="294">
        <v>45952</v>
      </c>
      <c r="AG153" s="294"/>
      <c r="AH153" s="321"/>
      <c r="AI153" s="323"/>
      <c r="AJ153" s="338"/>
      <c r="AK153" s="323"/>
      <c r="AL153" s="338"/>
      <c r="AM153" s="338"/>
      <c r="AN153" s="323"/>
      <c r="AO153" s="282"/>
      <c r="AP153" s="306"/>
      <c r="AQ153" s="282"/>
      <c r="AR153" s="282"/>
      <c r="AS153" s="282"/>
      <c r="AT153" s="281"/>
      <c r="AU153" s="281"/>
      <c r="AV153" s="281"/>
      <c r="AW153" s="281"/>
      <c r="AX153" s="281"/>
      <c r="AY153" s="281"/>
      <c r="AZ153" s="281"/>
    </row>
    <row r="154" spans="1:52" ht="15" customHeight="1" x14ac:dyDescent="0.3">
      <c r="A154" s="294">
        <v>45921</v>
      </c>
      <c r="B154" s="321" t="s">
        <v>47</v>
      </c>
      <c r="C154" s="321" t="s">
        <v>47</v>
      </c>
      <c r="D154" s="294" t="s">
        <v>79</v>
      </c>
      <c r="E154" s="321" t="s">
        <v>83</v>
      </c>
      <c r="F154" s="295">
        <v>13886461</v>
      </c>
      <c r="G154" s="296">
        <v>20243081</v>
      </c>
      <c r="H154" s="280" t="s">
        <v>50</v>
      </c>
      <c r="I154" s="323" t="s">
        <v>77</v>
      </c>
      <c r="J154" s="323" t="s">
        <v>1470</v>
      </c>
      <c r="K154" s="294">
        <v>45971</v>
      </c>
      <c r="L154" s="294">
        <v>45975</v>
      </c>
      <c r="M154" s="284">
        <f>Table1[[#This Row],[Dep Date]]-Table1[[#This Row],[Arr Date]]</f>
        <v>4</v>
      </c>
      <c r="N154" s="323" t="s">
        <v>65</v>
      </c>
      <c r="O154" s="321">
        <v>1</v>
      </c>
      <c r="P154" s="321">
        <v>1</v>
      </c>
      <c r="Q154" s="321">
        <v>2</v>
      </c>
      <c r="R154" s="321"/>
      <c r="S154" s="321" t="s">
        <v>53</v>
      </c>
      <c r="T154" s="327" t="s">
        <v>1770</v>
      </c>
      <c r="U154" s="297" t="s">
        <v>2250</v>
      </c>
      <c r="V154" s="294"/>
      <c r="W154" s="297">
        <v>0</v>
      </c>
      <c r="X154" s="294"/>
      <c r="Y154" s="329">
        <f>55*1.6*0.65*4</f>
        <v>228.8</v>
      </c>
      <c r="Z154" s="329">
        <v>312</v>
      </c>
      <c r="AA154" s="332">
        <f>Table1[[#This Row],[Selling USD]]-Table1[[#This Row],[Cost USD]]</f>
        <v>83.199999999999989</v>
      </c>
      <c r="AB154" s="335"/>
      <c r="AC154" s="298"/>
      <c r="AD154" s="299">
        <f>Table1[[#This Row],[Selling EUR]]-Table1[[#This Row],[Cost EUR]]</f>
        <v>0</v>
      </c>
      <c r="AE154" s="321" t="s">
        <v>54</v>
      </c>
      <c r="AF154" s="294">
        <v>45966</v>
      </c>
      <c r="AG154" s="294"/>
      <c r="AH154" s="321"/>
      <c r="AI154" s="323"/>
      <c r="AJ154" s="338"/>
      <c r="AK154" s="323"/>
      <c r="AL154" s="338"/>
      <c r="AM154" s="338"/>
      <c r="AN154" s="323" t="s">
        <v>2365</v>
      </c>
      <c r="AO154" s="282"/>
      <c r="AP154" s="306"/>
      <c r="AQ154" s="282"/>
      <c r="AR154" s="282"/>
      <c r="AS154" s="282"/>
      <c r="AT154" s="281"/>
      <c r="AU154" s="281"/>
      <c r="AV154" s="281"/>
      <c r="AW154" s="281"/>
      <c r="AX154" s="281"/>
      <c r="AY154" s="281"/>
      <c r="AZ154" s="281"/>
    </row>
    <row r="155" spans="1:52" ht="15" customHeight="1" x14ac:dyDescent="0.3">
      <c r="A155" s="294">
        <v>45922</v>
      </c>
      <c r="B155" s="321" t="s">
        <v>47</v>
      </c>
      <c r="C155" s="321" t="s">
        <v>47</v>
      </c>
      <c r="D155" s="294" t="s">
        <v>79</v>
      </c>
      <c r="E155" s="321" t="s">
        <v>83</v>
      </c>
      <c r="F155" s="295">
        <v>13898177</v>
      </c>
      <c r="G155" s="296">
        <v>20243083</v>
      </c>
      <c r="H155" s="280" t="s">
        <v>84</v>
      </c>
      <c r="I155" s="323" t="s">
        <v>87</v>
      </c>
      <c r="J155" s="323" t="s">
        <v>2514</v>
      </c>
      <c r="K155" s="294">
        <v>45924</v>
      </c>
      <c r="L155" s="294">
        <v>45931</v>
      </c>
      <c r="M155" s="284">
        <f>Table1[[#This Row],[Dep Date]]-Table1[[#This Row],[Arr Date]]</f>
        <v>7</v>
      </c>
      <c r="N155" s="323" t="s">
        <v>65</v>
      </c>
      <c r="O155" s="321">
        <v>1</v>
      </c>
      <c r="P155" s="321">
        <v>1</v>
      </c>
      <c r="Q155" s="321"/>
      <c r="R155" s="321"/>
      <c r="S155" s="321" t="s">
        <v>53</v>
      </c>
      <c r="T155" s="326" t="s">
        <v>1771</v>
      </c>
      <c r="U155" s="297"/>
      <c r="V155" s="294"/>
      <c r="W155" s="297">
        <v>0</v>
      </c>
      <c r="X155" s="294"/>
      <c r="Y155" s="329">
        <f>195*0.85*7</f>
        <v>1160.25</v>
      </c>
      <c r="Z155" s="329">
        <v>1171.8499999999999</v>
      </c>
      <c r="AA155" s="332">
        <f>Table1[[#This Row],[Selling USD]]-Table1[[#This Row],[Cost USD]]</f>
        <v>11.599999999999909</v>
      </c>
      <c r="AB155" s="335"/>
      <c r="AC155" s="298"/>
      <c r="AD155" s="299">
        <f>Table1[[#This Row],[Selling EUR]]-Table1[[#This Row],[Cost EUR]]</f>
        <v>0</v>
      </c>
      <c r="AE155" s="321" t="s">
        <v>54</v>
      </c>
      <c r="AF155" s="294">
        <v>45923</v>
      </c>
      <c r="AG155" s="294"/>
      <c r="AH155" s="321"/>
      <c r="AI155" s="323"/>
      <c r="AJ155" s="338"/>
      <c r="AK155" s="323"/>
      <c r="AL155" s="338"/>
      <c r="AM155" s="338"/>
      <c r="AN155" s="323"/>
      <c r="AO155" s="282"/>
      <c r="AP155" s="306"/>
      <c r="AQ155" s="282"/>
      <c r="AR155" s="282"/>
      <c r="AS155" s="282"/>
      <c r="AT155" s="281"/>
      <c r="AU155" s="281"/>
      <c r="AV155" s="281"/>
      <c r="AW155" s="281"/>
      <c r="AX155" s="281"/>
      <c r="AY155" s="281"/>
      <c r="AZ155" s="281"/>
    </row>
    <row r="156" spans="1:52" ht="15" customHeight="1" x14ac:dyDescent="0.3">
      <c r="A156" s="294">
        <v>45923</v>
      </c>
      <c r="B156" s="321" t="s">
        <v>47</v>
      </c>
      <c r="C156" s="321" t="s">
        <v>47</v>
      </c>
      <c r="D156" s="294" t="s">
        <v>48</v>
      </c>
      <c r="E156" s="321" t="s">
        <v>49</v>
      </c>
      <c r="F156" s="295">
        <v>16962092</v>
      </c>
      <c r="G156" s="296"/>
      <c r="H156" s="280" t="s">
        <v>50</v>
      </c>
      <c r="I156" s="323" t="s">
        <v>111</v>
      </c>
      <c r="J156" s="323" t="s">
        <v>2515</v>
      </c>
      <c r="K156" s="294">
        <v>45928</v>
      </c>
      <c r="L156" s="294">
        <v>45931</v>
      </c>
      <c r="M156" s="284">
        <f>Table1[[#This Row],[Dep Date]]-Table1[[#This Row],[Arr Date]]</f>
        <v>3</v>
      </c>
      <c r="N156" s="323" t="s">
        <v>65</v>
      </c>
      <c r="O156" s="321">
        <v>1</v>
      </c>
      <c r="P156" s="321">
        <v>1</v>
      </c>
      <c r="Q156" s="321"/>
      <c r="R156" s="321"/>
      <c r="S156" s="321" t="s">
        <v>53</v>
      </c>
      <c r="T156" s="326" t="s">
        <v>1772</v>
      </c>
      <c r="U156" s="297"/>
      <c r="V156" s="294"/>
      <c r="W156" s="297">
        <v>0</v>
      </c>
      <c r="X156" s="294"/>
      <c r="Y156" s="329"/>
      <c r="Z156" s="329"/>
      <c r="AA156" s="332">
        <f>Table1[[#This Row],[Selling USD]]-Table1[[#This Row],[Cost USD]]</f>
        <v>0</v>
      </c>
      <c r="AB156" s="335">
        <f>80*3</f>
        <v>240</v>
      </c>
      <c r="AC156" s="298">
        <v>217.2</v>
      </c>
      <c r="AD156" s="299">
        <f>Table1[[#This Row],[Selling EUR]]-Table1[[#This Row],[Cost EUR]]</f>
        <v>-22.800000000000011</v>
      </c>
      <c r="AE156" s="321" t="s">
        <v>54</v>
      </c>
      <c r="AF156" s="294">
        <v>45925</v>
      </c>
      <c r="AG156" s="294"/>
      <c r="AH156" s="321"/>
      <c r="AI156" s="323"/>
      <c r="AJ156" s="338"/>
      <c r="AK156" s="323"/>
      <c r="AL156" s="338"/>
      <c r="AM156" s="338"/>
      <c r="AN156" s="323"/>
      <c r="AO156" s="282"/>
      <c r="AP156" s="306"/>
      <c r="AQ156" s="282"/>
      <c r="AR156" s="282"/>
      <c r="AS156" s="282"/>
      <c r="AT156" s="281"/>
      <c r="AU156" s="281"/>
      <c r="AV156" s="281"/>
      <c r="AW156" s="281"/>
      <c r="AX156" s="281"/>
      <c r="AY156" s="281"/>
      <c r="AZ156" s="281"/>
    </row>
    <row r="157" spans="1:52" ht="15" customHeight="1" x14ac:dyDescent="0.3">
      <c r="A157" s="294">
        <v>45923</v>
      </c>
      <c r="B157" s="321" t="s">
        <v>47</v>
      </c>
      <c r="C157" s="321" t="s">
        <v>47</v>
      </c>
      <c r="D157" s="294" t="s">
        <v>48</v>
      </c>
      <c r="E157" s="321" t="s">
        <v>61</v>
      </c>
      <c r="F157" s="295">
        <v>16961754</v>
      </c>
      <c r="G157" s="296"/>
      <c r="H157" s="280" t="s">
        <v>84</v>
      </c>
      <c r="I157" s="323" t="s">
        <v>122</v>
      </c>
      <c r="J157" s="323" t="s">
        <v>56</v>
      </c>
      <c r="K157" s="294">
        <v>45946</v>
      </c>
      <c r="L157" s="294">
        <v>45953</v>
      </c>
      <c r="M157" s="284">
        <f>Table1[[#This Row],[Dep Date]]-Table1[[#This Row],[Arr Date]]</f>
        <v>7</v>
      </c>
      <c r="N157" s="323" t="s">
        <v>70</v>
      </c>
      <c r="O157" s="321">
        <v>1</v>
      </c>
      <c r="P157" s="321">
        <v>3</v>
      </c>
      <c r="Q157" s="321">
        <v>1</v>
      </c>
      <c r="R157" s="321"/>
      <c r="S157" s="321" t="s">
        <v>53</v>
      </c>
      <c r="T157" s="326" t="s">
        <v>1773</v>
      </c>
      <c r="U157" s="297" t="s">
        <v>2251</v>
      </c>
      <c r="V157" s="294"/>
      <c r="W157" s="297">
        <v>0</v>
      </c>
      <c r="X157" s="294"/>
      <c r="Y157" s="329">
        <f>154*7</f>
        <v>1078</v>
      </c>
      <c r="Z157" s="329">
        <v>945</v>
      </c>
      <c r="AA157" s="332">
        <f>Table1[[#This Row],[Selling USD]]-Table1[[#This Row],[Cost USD]]</f>
        <v>-133</v>
      </c>
      <c r="AB157" s="335"/>
      <c r="AC157" s="298"/>
      <c r="AD157" s="299">
        <f>Table1[[#This Row],[Selling EUR]]-Table1[[#This Row],[Cost EUR]]</f>
        <v>0</v>
      </c>
      <c r="AE157" s="321" t="s">
        <v>54</v>
      </c>
      <c r="AF157" s="294">
        <v>45942</v>
      </c>
      <c r="AG157" s="294"/>
      <c r="AH157" s="321"/>
      <c r="AI157" s="323"/>
      <c r="AJ157" s="338"/>
      <c r="AK157" s="323"/>
      <c r="AL157" s="338"/>
      <c r="AM157" s="338"/>
      <c r="AN157" s="323"/>
      <c r="AO157" s="282"/>
      <c r="AP157" s="306"/>
      <c r="AQ157" s="282"/>
      <c r="AR157" s="282"/>
      <c r="AS157" s="282"/>
      <c r="AT157" s="281"/>
      <c r="AU157" s="281"/>
      <c r="AV157" s="281"/>
      <c r="AW157" s="281"/>
      <c r="AX157" s="281"/>
      <c r="AY157" s="281"/>
      <c r="AZ157" s="281"/>
    </row>
    <row r="158" spans="1:52" ht="15" customHeight="1" x14ac:dyDescent="0.3">
      <c r="A158" s="294">
        <v>45923</v>
      </c>
      <c r="B158" s="321" t="s">
        <v>47</v>
      </c>
      <c r="C158" s="321" t="s">
        <v>47</v>
      </c>
      <c r="D158" s="294" t="s">
        <v>79</v>
      </c>
      <c r="E158" s="321" t="s">
        <v>49</v>
      </c>
      <c r="F158" s="295">
        <v>13921273</v>
      </c>
      <c r="G158" s="296">
        <v>20243084</v>
      </c>
      <c r="H158" s="280" t="s">
        <v>84</v>
      </c>
      <c r="I158" s="323" t="s">
        <v>123</v>
      </c>
      <c r="J158" s="323" t="s">
        <v>2501</v>
      </c>
      <c r="K158" s="294">
        <v>46102</v>
      </c>
      <c r="L158" s="294">
        <v>46109</v>
      </c>
      <c r="M158" s="284">
        <f>Table1[[#This Row],[Dep Date]]-Table1[[#This Row],[Arr Date]]</f>
        <v>7</v>
      </c>
      <c r="N158" s="323" t="s">
        <v>52</v>
      </c>
      <c r="O158" s="321">
        <v>1</v>
      </c>
      <c r="P158" s="321">
        <v>2</v>
      </c>
      <c r="Q158" s="321">
        <v>1</v>
      </c>
      <c r="R158" s="321">
        <v>1</v>
      </c>
      <c r="S158" s="321" t="s">
        <v>53</v>
      </c>
      <c r="T158" s="326" t="s">
        <v>1774</v>
      </c>
      <c r="U158" s="297" t="s">
        <v>2252</v>
      </c>
      <c r="V158" s="294"/>
      <c r="W158" s="297">
        <v>0</v>
      </c>
      <c r="X158" s="294"/>
      <c r="Y158" s="329"/>
      <c r="Z158" s="329"/>
      <c r="AA158" s="332">
        <f>Table1[[#This Row],[Selling USD]]-Table1[[#This Row],[Cost USD]]</f>
        <v>0</v>
      </c>
      <c r="AB158" s="335">
        <f>71*2*0.9*7</f>
        <v>894.6</v>
      </c>
      <c r="AC158" s="298">
        <v>894.6</v>
      </c>
      <c r="AD158" s="299">
        <f>Table1[[#This Row],[Selling EUR]]-Table1[[#This Row],[Cost EUR]]</f>
        <v>0</v>
      </c>
      <c r="AE158" s="321" t="s">
        <v>54</v>
      </c>
      <c r="AF158" s="294">
        <v>46093</v>
      </c>
      <c r="AG158" s="294" t="s">
        <v>2304</v>
      </c>
      <c r="AH158" s="321"/>
      <c r="AI158" s="323"/>
      <c r="AJ158" s="338"/>
      <c r="AK158" s="323"/>
      <c r="AL158" s="338"/>
      <c r="AM158" s="338"/>
      <c r="AN158" s="323"/>
      <c r="AO158" s="282"/>
      <c r="AP158" s="306"/>
      <c r="AQ158" s="282"/>
      <c r="AR158" s="282"/>
      <c r="AS158" s="282"/>
      <c r="AT158" s="281"/>
      <c r="AU158" s="281"/>
      <c r="AV158" s="281"/>
      <c r="AW158" s="281"/>
      <c r="AX158" s="281"/>
      <c r="AY158" s="281"/>
      <c r="AZ158" s="281"/>
    </row>
    <row r="159" spans="1:52" ht="15" customHeight="1" x14ac:dyDescent="0.3">
      <c r="A159" s="294">
        <v>45924</v>
      </c>
      <c r="B159" s="321" t="s">
        <v>47</v>
      </c>
      <c r="C159" s="321" t="s">
        <v>47</v>
      </c>
      <c r="D159" s="294" t="s">
        <v>79</v>
      </c>
      <c r="E159" s="321" t="s">
        <v>49</v>
      </c>
      <c r="F159" s="295">
        <v>13923316</v>
      </c>
      <c r="G159" s="296">
        <v>20243085</v>
      </c>
      <c r="H159" s="280" t="s">
        <v>50</v>
      </c>
      <c r="I159" s="323" t="s">
        <v>125</v>
      </c>
      <c r="J159" s="323" t="s">
        <v>2516</v>
      </c>
      <c r="K159" s="294">
        <v>45971</v>
      </c>
      <c r="L159" s="294">
        <v>45978</v>
      </c>
      <c r="M159" s="284">
        <f>Table1[[#This Row],[Dep Date]]-Table1[[#This Row],[Arr Date]]</f>
        <v>7</v>
      </c>
      <c r="N159" s="323" t="s">
        <v>65</v>
      </c>
      <c r="O159" s="321">
        <v>1</v>
      </c>
      <c r="P159" s="321">
        <v>1</v>
      </c>
      <c r="Q159" s="321"/>
      <c r="R159" s="321"/>
      <c r="S159" s="321" t="s">
        <v>53</v>
      </c>
      <c r="T159" s="326" t="s">
        <v>1775</v>
      </c>
      <c r="U159" s="297"/>
      <c r="V159" s="294"/>
      <c r="W159" s="297">
        <v>0</v>
      </c>
      <c r="X159" s="294"/>
      <c r="Y159" s="329"/>
      <c r="Z159" s="329"/>
      <c r="AA159" s="332">
        <f>Table1[[#This Row],[Selling USD]]-Table1[[#This Row],[Cost USD]]</f>
        <v>0</v>
      </c>
      <c r="AB159" s="335">
        <f>26*1.5*7</f>
        <v>273</v>
      </c>
      <c r="AC159" s="298">
        <v>284.82</v>
      </c>
      <c r="AD159" s="299">
        <f>Table1[[#This Row],[Selling EUR]]-Table1[[#This Row],[Cost EUR]]</f>
        <v>11.819999999999993</v>
      </c>
      <c r="AE159" s="321" t="s">
        <v>54</v>
      </c>
      <c r="AF159" s="294">
        <v>45964</v>
      </c>
      <c r="AG159" s="294"/>
      <c r="AH159" s="321"/>
      <c r="AI159" s="323"/>
      <c r="AJ159" s="338"/>
      <c r="AK159" s="323"/>
      <c r="AL159" s="338"/>
      <c r="AM159" s="338"/>
      <c r="AN159" s="323"/>
      <c r="AO159" s="282"/>
      <c r="AP159" s="306"/>
      <c r="AQ159" s="282"/>
      <c r="AR159" s="282"/>
      <c r="AS159" s="282"/>
      <c r="AT159" s="281"/>
      <c r="AU159" s="281"/>
      <c r="AV159" s="281"/>
      <c r="AW159" s="281"/>
      <c r="AX159" s="281"/>
      <c r="AY159" s="281"/>
      <c r="AZ159" s="281"/>
    </row>
    <row r="160" spans="1:52" ht="15" customHeight="1" x14ac:dyDescent="0.3">
      <c r="A160" s="294">
        <v>45925</v>
      </c>
      <c r="B160" s="321" t="s">
        <v>47</v>
      </c>
      <c r="C160" s="321" t="s">
        <v>47</v>
      </c>
      <c r="D160" s="294" t="s">
        <v>48</v>
      </c>
      <c r="E160" s="321" t="s">
        <v>49</v>
      </c>
      <c r="F160" s="295">
        <v>16968616</v>
      </c>
      <c r="G160" s="296">
        <v>20303525</v>
      </c>
      <c r="H160" s="280" t="s">
        <v>58</v>
      </c>
      <c r="I160" s="323" t="s">
        <v>62</v>
      </c>
      <c r="J160" s="323" t="s">
        <v>63</v>
      </c>
      <c r="K160" s="294">
        <v>46010</v>
      </c>
      <c r="L160" s="294">
        <v>46018</v>
      </c>
      <c r="M160" s="284">
        <f>Table1[[#This Row],[Dep Date]]-Table1[[#This Row],[Arr Date]]</f>
        <v>8</v>
      </c>
      <c r="N160" s="323" t="s">
        <v>52</v>
      </c>
      <c r="O160" s="321">
        <v>1</v>
      </c>
      <c r="P160" s="321">
        <v>2</v>
      </c>
      <c r="Q160" s="321"/>
      <c r="R160" s="321"/>
      <c r="S160" s="321" t="s">
        <v>53</v>
      </c>
      <c r="T160" s="326" t="s">
        <v>1776</v>
      </c>
      <c r="U160" s="297"/>
      <c r="V160" s="294"/>
      <c r="W160" s="297">
        <v>0</v>
      </c>
      <c r="X160" s="294"/>
      <c r="Y160" s="329"/>
      <c r="Z160" s="329"/>
      <c r="AA160" s="332">
        <f>Table1[[#This Row],[Selling USD]]-Table1[[#This Row],[Cost USD]]</f>
        <v>0</v>
      </c>
      <c r="AB160" s="335">
        <f>43*2*2+52*2*0.9*6+90*2</f>
        <v>913.6</v>
      </c>
      <c r="AC160" s="298">
        <v>916</v>
      </c>
      <c r="AD160" s="299">
        <f>Table1[[#This Row],[Selling EUR]]-Table1[[#This Row],[Cost EUR]]</f>
        <v>2.3999999999999773</v>
      </c>
      <c r="AE160" s="321" t="s">
        <v>54</v>
      </c>
      <c r="AF160" s="294">
        <v>46001</v>
      </c>
      <c r="AG160" s="294"/>
      <c r="AH160" s="321"/>
      <c r="AI160" s="323"/>
      <c r="AJ160" s="338"/>
      <c r="AK160" s="323"/>
      <c r="AL160" s="338"/>
      <c r="AM160" s="338"/>
      <c r="AN160" s="323"/>
      <c r="AO160" s="282"/>
      <c r="AP160" s="306"/>
      <c r="AQ160" s="282"/>
      <c r="AR160" s="282"/>
      <c r="AS160" s="282"/>
      <c r="AT160" s="281"/>
      <c r="AU160" s="281"/>
      <c r="AV160" s="281"/>
      <c r="AW160" s="281"/>
      <c r="AX160" s="281"/>
      <c r="AY160" s="281"/>
      <c r="AZ160" s="281"/>
    </row>
    <row r="161" spans="1:52" ht="15" customHeight="1" x14ac:dyDescent="0.3">
      <c r="A161" s="294">
        <v>45925</v>
      </c>
      <c r="B161" s="321" t="s">
        <v>73</v>
      </c>
      <c r="C161" s="321" t="s">
        <v>73</v>
      </c>
      <c r="D161" s="294" t="s">
        <v>79</v>
      </c>
      <c r="E161" s="321" t="s">
        <v>49</v>
      </c>
      <c r="F161" s="295">
        <v>13942074</v>
      </c>
      <c r="G161" s="296" t="s">
        <v>1608</v>
      </c>
      <c r="H161" s="280" t="s">
        <v>84</v>
      </c>
      <c r="I161" s="323" t="s">
        <v>123</v>
      </c>
      <c r="J161" s="323" t="s">
        <v>2473</v>
      </c>
      <c r="K161" s="294">
        <v>46013</v>
      </c>
      <c r="L161" s="294">
        <v>46020</v>
      </c>
      <c r="M161" s="284">
        <f>Table1[[#This Row],[Dep Date]]-Table1[[#This Row],[Arr Date]]</f>
        <v>7</v>
      </c>
      <c r="N161" s="323" t="s">
        <v>52</v>
      </c>
      <c r="O161" s="321">
        <v>1</v>
      </c>
      <c r="P161" s="321">
        <v>2</v>
      </c>
      <c r="Q161" s="321"/>
      <c r="R161" s="321"/>
      <c r="S161" s="321" t="s">
        <v>53</v>
      </c>
      <c r="T161" s="326" t="s">
        <v>1777</v>
      </c>
      <c r="U161" s="297"/>
      <c r="V161" s="294"/>
      <c r="W161" s="297">
        <v>0</v>
      </c>
      <c r="X161" s="294"/>
      <c r="Y161" s="329"/>
      <c r="Z161" s="329"/>
      <c r="AA161" s="332">
        <f>Table1[[#This Row],[Selling USD]]-Table1[[#This Row],[Cost USD]]</f>
        <v>0</v>
      </c>
      <c r="AB161" s="335"/>
      <c r="AC161" s="298"/>
      <c r="AD161" s="299">
        <f>Table1[[#This Row],[Selling EUR]]-Table1[[#This Row],[Cost EUR]]</f>
        <v>0</v>
      </c>
      <c r="AE161" s="321"/>
      <c r="AF161" s="294"/>
      <c r="AG161" s="294"/>
      <c r="AH161" s="321"/>
      <c r="AI161" s="323"/>
      <c r="AJ161" s="338"/>
      <c r="AK161" s="323"/>
      <c r="AL161" s="338"/>
      <c r="AM161" s="338"/>
      <c r="AN161" s="323" t="s">
        <v>2366</v>
      </c>
      <c r="AO161" s="282"/>
      <c r="AP161" s="306"/>
      <c r="AQ161" s="282"/>
      <c r="AR161" s="282"/>
      <c r="AS161" s="282"/>
      <c r="AT161" s="281"/>
      <c r="AU161" s="281"/>
      <c r="AV161" s="281"/>
      <c r="AW161" s="281"/>
      <c r="AX161" s="281"/>
      <c r="AY161" s="281"/>
      <c r="AZ161" s="281"/>
    </row>
    <row r="162" spans="1:52" ht="15" customHeight="1" x14ac:dyDescent="0.3">
      <c r="A162" s="294">
        <v>45927</v>
      </c>
      <c r="B162" s="321" t="s">
        <v>73</v>
      </c>
      <c r="C162" s="321" t="s">
        <v>73</v>
      </c>
      <c r="D162" s="294" t="s">
        <v>79</v>
      </c>
      <c r="E162" s="321" t="s">
        <v>49</v>
      </c>
      <c r="F162" s="295">
        <v>13979478</v>
      </c>
      <c r="G162" s="296">
        <v>20303528</v>
      </c>
      <c r="H162" s="280" t="s">
        <v>84</v>
      </c>
      <c r="I162" s="323" t="s">
        <v>123</v>
      </c>
      <c r="J162" s="323" t="s">
        <v>2473</v>
      </c>
      <c r="K162" s="294">
        <v>46009</v>
      </c>
      <c r="L162" s="294">
        <v>46020</v>
      </c>
      <c r="M162" s="284">
        <f>Table1[[#This Row],[Dep Date]]-Table1[[#This Row],[Arr Date]]</f>
        <v>11</v>
      </c>
      <c r="N162" s="323" t="s">
        <v>52</v>
      </c>
      <c r="O162" s="321">
        <v>1</v>
      </c>
      <c r="P162" s="321">
        <v>2</v>
      </c>
      <c r="Q162" s="321">
        <v>1</v>
      </c>
      <c r="R162" s="321"/>
      <c r="S162" s="321" t="s">
        <v>53</v>
      </c>
      <c r="T162" s="326" t="s">
        <v>1778</v>
      </c>
      <c r="U162" s="297" t="s">
        <v>2253</v>
      </c>
      <c r="V162" s="294"/>
      <c r="W162" s="297">
        <v>0</v>
      </c>
      <c r="X162" s="294"/>
      <c r="Y162" s="329"/>
      <c r="Z162" s="329"/>
      <c r="AA162" s="332">
        <f>Table1[[#This Row],[Selling USD]]-Table1[[#This Row],[Cost USD]]</f>
        <v>0</v>
      </c>
      <c r="AB162" s="335"/>
      <c r="AC162" s="298"/>
      <c r="AD162" s="299">
        <f>Table1[[#This Row],[Selling EUR]]-Table1[[#This Row],[Cost EUR]]</f>
        <v>0</v>
      </c>
      <c r="AE162" s="321"/>
      <c r="AF162" s="294"/>
      <c r="AG162" s="294"/>
      <c r="AH162" s="321"/>
      <c r="AI162" s="323"/>
      <c r="AJ162" s="338"/>
      <c r="AK162" s="323"/>
      <c r="AL162" s="338"/>
      <c r="AM162" s="338"/>
      <c r="AN162" s="323"/>
      <c r="AO162" s="282"/>
      <c r="AP162" s="306"/>
      <c r="AQ162" s="282"/>
      <c r="AR162" s="282"/>
      <c r="AS162" s="282"/>
      <c r="AT162" s="281"/>
      <c r="AU162" s="281"/>
      <c r="AV162" s="281"/>
      <c r="AW162" s="281"/>
      <c r="AX162" s="281"/>
      <c r="AY162" s="281"/>
      <c r="AZ162" s="281"/>
    </row>
    <row r="163" spans="1:52" ht="15" customHeight="1" x14ac:dyDescent="0.3">
      <c r="A163" s="294">
        <v>45929</v>
      </c>
      <c r="B163" s="321" t="s">
        <v>47</v>
      </c>
      <c r="C163" s="321" t="s">
        <v>47</v>
      </c>
      <c r="D163" s="294" t="s">
        <v>79</v>
      </c>
      <c r="E163" s="321" t="s">
        <v>83</v>
      </c>
      <c r="F163" s="295">
        <v>13995850</v>
      </c>
      <c r="G163" s="296">
        <v>20303529</v>
      </c>
      <c r="H163" s="280" t="s">
        <v>84</v>
      </c>
      <c r="I163" s="323" t="s">
        <v>110</v>
      </c>
      <c r="J163" s="323" t="s">
        <v>1402</v>
      </c>
      <c r="K163" s="294">
        <v>45955</v>
      </c>
      <c r="L163" s="294">
        <v>45959</v>
      </c>
      <c r="M163" s="284">
        <f>Table1[[#This Row],[Dep Date]]-Table1[[#This Row],[Arr Date]]</f>
        <v>4</v>
      </c>
      <c r="N163" s="323" t="s">
        <v>52</v>
      </c>
      <c r="O163" s="321">
        <v>1</v>
      </c>
      <c r="P163" s="321">
        <v>2</v>
      </c>
      <c r="Q163" s="321"/>
      <c r="R163" s="321"/>
      <c r="S163" s="321" t="s">
        <v>53</v>
      </c>
      <c r="T163" s="326" t="s">
        <v>1779</v>
      </c>
      <c r="U163" s="297"/>
      <c r="V163" s="294"/>
      <c r="W163" s="297">
        <v>0</v>
      </c>
      <c r="X163" s="294"/>
      <c r="Y163" s="329">
        <f>37*2*4</f>
        <v>296</v>
      </c>
      <c r="Z163" s="329">
        <v>298.95999999999998</v>
      </c>
      <c r="AA163" s="332">
        <f>Table1[[#This Row],[Selling USD]]-Table1[[#This Row],[Cost USD]]</f>
        <v>2.9599999999999795</v>
      </c>
      <c r="AB163" s="335"/>
      <c r="AC163" s="298"/>
      <c r="AD163" s="299">
        <f>Table1[[#This Row],[Selling EUR]]-Table1[[#This Row],[Cost EUR]]</f>
        <v>0</v>
      </c>
      <c r="AE163" s="321" t="s">
        <v>54</v>
      </c>
      <c r="AF163" s="294">
        <v>45942</v>
      </c>
      <c r="AG163" s="294"/>
      <c r="AH163" s="321"/>
      <c r="AI163" s="323"/>
      <c r="AJ163" s="338"/>
      <c r="AK163" s="323"/>
      <c r="AL163" s="338"/>
      <c r="AM163" s="338"/>
      <c r="AN163" s="323"/>
      <c r="AO163" s="282"/>
      <c r="AP163" s="306"/>
      <c r="AQ163" s="282"/>
      <c r="AR163" s="282"/>
      <c r="AS163" s="282"/>
      <c r="AT163" s="281"/>
      <c r="AU163" s="281"/>
      <c r="AV163" s="281"/>
      <c r="AW163" s="281"/>
      <c r="AX163" s="281"/>
      <c r="AY163" s="281"/>
      <c r="AZ163" s="281"/>
    </row>
    <row r="164" spans="1:52" ht="15" customHeight="1" x14ac:dyDescent="0.3">
      <c r="A164" s="294">
        <v>45929</v>
      </c>
      <c r="B164" s="321" t="s">
        <v>47</v>
      </c>
      <c r="C164" s="321" t="s">
        <v>47</v>
      </c>
      <c r="D164" s="294" t="s">
        <v>48</v>
      </c>
      <c r="E164" s="321" t="s">
        <v>49</v>
      </c>
      <c r="F164" s="295">
        <v>16977472</v>
      </c>
      <c r="G164" s="296"/>
      <c r="H164" s="280" t="s">
        <v>50</v>
      </c>
      <c r="I164" s="323" t="s">
        <v>125</v>
      </c>
      <c r="J164" s="323" t="s">
        <v>2517</v>
      </c>
      <c r="K164" s="294">
        <v>45961</v>
      </c>
      <c r="L164" s="294">
        <v>45967</v>
      </c>
      <c r="M164" s="284">
        <f>Table1[[#This Row],[Dep Date]]-Table1[[#This Row],[Arr Date]]</f>
        <v>6</v>
      </c>
      <c r="N164" s="323" t="s">
        <v>65</v>
      </c>
      <c r="O164" s="321">
        <v>1</v>
      </c>
      <c r="P164" s="321">
        <v>1</v>
      </c>
      <c r="Q164" s="321"/>
      <c r="R164" s="321"/>
      <c r="S164" s="321" t="s">
        <v>53</v>
      </c>
      <c r="T164" s="326" t="s">
        <v>1780</v>
      </c>
      <c r="U164" s="297"/>
      <c r="V164" s="294"/>
      <c r="W164" s="297">
        <v>0</v>
      </c>
      <c r="X164" s="294"/>
      <c r="Y164" s="329"/>
      <c r="Z164" s="329"/>
      <c r="AA164" s="332">
        <f>Table1[[#This Row],[Selling USD]]-Table1[[#This Row],[Cost USD]]</f>
        <v>0</v>
      </c>
      <c r="AB164" s="335">
        <f>28*1.5*1+27*1.5*5</f>
        <v>244.5</v>
      </c>
      <c r="AC164" s="298">
        <v>256.5</v>
      </c>
      <c r="AD164" s="299">
        <f>Table1[[#This Row],[Selling EUR]]-Table1[[#This Row],[Cost EUR]]</f>
        <v>12</v>
      </c>
      <c r="AE164" s="321" t="s">
        <v>54</v>
      </c>
      <c r="AF164" s="294">
        <v>45950</v>
      </c>
      <c r="AG164" s="294"/>
      <c r="AH164" s="321"/>
      <c r="AI164" s="323"/>
      <c r="AJ164" s="338"/>
      <c r="AK164" s="323"/>
      <c r="AL164" s="338"/>
      <c r="AM164" s="338"/>
      <c r="AN164" s="323" t="s">
        <v>2367</v>
      </c>
      <c r="AO164" s="282"/>
      <c r="AP164" s="306"/>
      <c r="AQ164" s="282"/>
      <c r="AR164" s="282"/>
      <c r="AS164" s="282"/>
      <c r="AT164" s="281"/>
      <c r="AU164" s="281"/>
      <c r="AV164" s="281"/>
      <c r="AW164" s="281"/>
      <c r="AX164" s="281"/>
      <c r="AY164" s="281"/>
      <c r="AZ164" s="281"/>
    </row>
    <row r="165" spans="1:52" ht="15" customHeight="1" x14ac:dyDescent="0.3">
      <c r="A165" s="294">
        <v>45929</v>
      </c>
      <c r="B165" s="321" t="s">
        <v>47</v>
      </c>
      <c r="C165" s="321" t="s">
        <v>47</v>
      </c>
      <c r="D165" s="294" t="s">
        <v>48</v>
      </c>
      <c r="E165" s="321" t="s">
        <v>49</v>
      </c>
      <c r="F165" s="295">
        <v>16978027</v>
      </c>
      <c r="G165" s="296"/>
      <c r="H165" s="280" t="s">
        <v>50</v>
      </c>
      <c r="I165" s="323" t="s">
        <v>124</v>
      </c>
      <c r="J165" s="323" t="s">
        <v>2518</v>
      </c>
      <c r="K165" s="294">
        <v>45977</v>
      </c>
      <c r="L165" s="294">
        <v>45986</v>
      </c>
      <c r="M165" s="284">
        <f>Table1[[#This Row],[Dep Date]]-Table1[[#This Row],[Arr Date]]</f>
        <v>9</v>
      </c>
      <c r="N165" s="323" t="s">
        <v>65</v>
      </c>
      <c r="O165" s="321">
        <v>1</v>
      </c>
      <c r="P165" s="321">
        <v>1</v>
      </c>
      <c r="Q165" s="321"/>
      <c r="R165" s="321"/>
      <c r="S165" s="321" t="s">
        <v>53</v>
      </c>
      <c r="T165" s="326" t="s">
        <v>1781</v>
      </c>
      <c r="U165" s="297"/>
      <c r="V165" s="294"/>
      <c r="W165" s="297">
        <v>0</v>
      </c>
      <c r="X165" s="294"/>
      <c r="Y165" s="329"/>
      <c r="Z165" s="329"/>
      <c r="AA165" s="332">
        <f>Table1[[#This Row],[Selling USD]]-Table1[[#This Row],[Cost USD]]</f>
        <v>0</v>
      </c>
      <c r="AB165" s="335">
        <f>126*0.9*4+126*0.7*4+120*0.69*1+50</f>
        <v>939.19999999999993</v>
      </c>
      <c r="AC165" s="298">
        <v>863</v>
      </c>
      <c r="AD165" s="299">
        <f>Table1[[#This Row],[Selling EUR]]-Table1[[#This Row],[Cost EUR]]</f>
        <v>-76.199999999999932</v>
      </c>
      <c r="AE165" s="321" t="s">
        <v>54</v>
      </c>
      <c r="AF165" s="294">
        <v>45971</v>
      </c>
      <c r="AG165" s="294"/>
      <c r="AH165" s="321"/>
      <c r="AI165" s="323"/>
      <c r="AJ165" s="338"/>
      <c r="AK165" s="323"/>
      <c r="AL165" s="338"/>
      <c r="AM165" s="338"/>
      <c r="AN165" s="323" t="s">
        <v>2368</v>
      </c>
      <c r="AO165" s="282"/>
      <c r="AP165" s="306"/>
      <c r="AQ165" s="282"/>
      <c r="AR165" s="282"/>
      <c r="AS165" s="282"/>
      <c r="AT165" s="281"/>
      <c r="AU165" s="281"/>
      <c r="AV165" s="281"/>
      <c r="AW165" s="281"/>
      <c r="AX165" s="281"/>
      <c r="AY165" s="281"/>
      <c r="AZ165" s="281"/>
    </row>
    <row r="166" spans="1:52" ht="15" customHeight="1" x14ac:dyDescent="0.3">
      <c r="A166" s="294">
        <v>45930</v>
      </c>
      <c r="B166" s="321" t="s">
        <v>73</v>
      </c>
      <c r="C166" s="321" t="s">
        <v>73</v>
      </c>
      <c r="D166" s="294" t="s">
        <v>79</v>
      </c>
      <c r="E166" s="321" t="s">
        <v>49</v>
      </c>
      <c r="F166" s="295">
        <v>14010520</v>
      </c>
      <c r="G166" s="296">
        <v>20303530</v>
      </c>
      <c r="H166" s="280" t="s">
        <v>84</v>
      </c>
      <c r="I166" s="323" t="s">
        <v>123</v>
      </c>
      <c r="J166" s="323" t="s">
        <v>2473</v>
      </c>
      <c r="K166" s="294">
        <v>46009</v>
      </c>
      <c r="L166" s="294">
        <v>46020</v>
      </c>
      <c r="M166" s="284">
        <f>Table1[[#This Row],[Dep Date]]-Table1[[#This Row],[Arr Date]]</f>
        <v>11</v>
      </c>
      <c r="N166" s="323" t="s">
        <v>52</v>
      </c>
      <c r="O166" s="321">
        <v>1</v>
      </c>
      <c r="P166" s="321">
        <v>2</v>
      </c>
      <c r="Q166" s="321"/>
      <c r="R166" s="321"/>
      <c r="S166" s="321" t="s">
        <v>53</v>
      </c>
      <c r="T166" s="326" t="s">
        <v>1782</v>
      </c>
      <c r="U166" s="297" t="s">
        <v>2254</v>
      </c>
      <c r="V166" s="294"/>
      <c r="W166" s="297">
        <v>0</v>
      </c>
      <c r="X166" s="294"/>
      <c r="Y166" s="329"/>
      <c r="Z166" s="329"/>
      <c r="AA166" s="332">
        <f>Table1[[#This Row],[Selling USD]]-Table1[[#This Row],[Cost USD]]</f>
        <v>0</v>
      </c>
      <c r="AB166" s="335"/>
      <c r="AC166" s="298"/>
      <c r="AD166" s="299">
        <f>Table1[[#This Row],[Selling EUR]]-Table1[[#This Row],[Cost EUR]]</f>
        <v>0</v>
      </c>
      <c r="AE166" s="321"/>
      <c r="AF166" s="294"/>
      <c r="AG166" s="294"/>
      <c r="AH166" s="321"/>
      <c r="AI166" s="323"/>
      <c r="AJ166" s="338"/>
      <c r="AK166" s="323"/>
      <c r="AL166" s="338"/>
      <c r="AM166" s="338"/>
      <c r="AN166" s="323"/>
      <c r="AO166" s="282"/>
      <c r="AP166" s="306"/>
      <c r="AQ166" s="282"/>
      <c r="AR166" s="282"/>
      <c r="AS166" s="282"/>
      <c r="AT166" s="281"/>
      <c r="AU166" s="281"/>
      <c r="AV166" s="281"/>
      <c r="AW166" s="281"/>
      <c r="AX166" s="281"/>
      <c r="AY166" s="281"/>
      <c r="AZ166" s="281"/>
    </row>
    <row r="167" spans="1:52" ht="15" customHeight="1" x14ac:dyDescent="0.3">
      <c r="A167" s="294">
        <v>45930</v>
      </c>
      <c r="B167" s="321" t="s">
        <v>47</v>
      </c>
      <c r="C167" s="321" t="s">
        <v>47</v>
      </c>
      <c r="D167" s="294" t="s">
        <v>48</v>
      </c>
      <c r="E167" s="321" t="s">
        <v>61</v>
      </c>
      <c r="F167" s="295">
        <v>16979321</v>
      </c>
      <c r="G167" s="296">
        <v>20303532</v>
      </c>
      <c r="H167" s="280" t="s">
        <v>84</v>
      </c>
      <c r="I167" s="323" t="s">
        <v>129</v>
      </c>
      <c r="J167" s="323" t="s">
        <v>2449</v>
      </c>
      <c r="K167" s="294">
        <v>46071</v>
      </c>
      <c r="L167" s="294">
        <v>46078</v>
      </c>
      <c r="M167" s="284">
        <f>Table1[[#This Row],[Dep Date]]-Table1[[#This Row],[Arr Date]]</f>
        <v>7</v>
      </c>
      <c r="N167" s="323" t="s">
        <v>65</v>
      </c>
      <c r="O167" s="321">
        <v>1</v>
      </c>
      <c r="P167" s="321">
        <v>1</v>
      </c>
      <c r="Q167" s="321"/>
      <c r="R167" s="321"/>
      <c r="S167" s="321" t="s">
        <v>53</v>
      </c>
      <c r="T167" s="326" t="s">
        <v>1783</v>
      </c>
      <c r="U167" s="297"/>
      <c r="V167" s="294"/>
      <c r="W167" s="297">
        <v>0</v>
      </c>
      <c r="X167" s="294"/>
      <c r="Y167" s="329">
        <f>59*7</f>
        <v>413</v>
      </c>
      <c r="Z167" s="329">
        <v>280</v>
      </c>
      <c r="AA167" s="332">
        <f>Table1[[#This Row],[Selling USD]]-Table1[[#This Row],[Cost USD]]</f>
        <v>-133</v>
      </c>
      <c r="AB167" s="335"/>
      <c r="AC167" s="298"/>
      <c r="AD167" s="299">
        <f>Table1[[#This Row],[Selling EUR]]-Table1[[#This Row],[Cost EUR]]</f>
        <v>0</v>
      </c>
      <c r="AE167" s="321" t="s">
        <v>54</v>
      </c>
      <c r="AF167" s="294">
        <v>46054</v>
      </c>
      <c r="AG167" s="294"/>
      <c r="AH167" s="321"/>
      <c r="AI167" s="323"/>
      <c r="AJ167" s="338"/>
      <c r="AK167" s="323"/>
      <c r="AL167" s="338"/>
      <c r="AM167" s="338"/>
      <c r="AN167" s="324" t="s">
        <v>2369</v>
      </c>
      <c r="AO167" s="282"/>
      <c r="AP167" s="306"/>
      <c r="AQ167" s="282"/>
      <c r="AR167" s="282"/>
      <c r="AS167" s="282"/>
      <c r="AT167" s="281"/>
      <c r="AU167" s="281"/>
      <c r="AV167" s="281"/>
      <c r="AW167" s="281"/>
      <c r="AX167" s="281"/>
      <c r="AY167" s="281"/>
      <c r="AZ167" s="281"/>
    </row>
    <row r="168" spans="1:52" ht="15" customHeight="1" x14ac:dyDescent="0.3">
      <c r="A168" s="294">
        <v>45932</v>
      </c>
      <c r="B168" s="321" t="s">
        <v>47</v>
      </c>
      <c r="C168" s="321" t="s">
        <v>47</v>
      </c>
      <c r="D168" s="294" t="s">
        <v>48</v>
      </c>
      <c r="E168" s="321" t="s">
        <v>49</v>
      </c>
      <c r="F168" s="295">
        <v>16985341</v>
      </c>
      <c r="G168" s="296"/>
      <c r="H168" s="280" t="s">
        <v>50</v>
      </c>
      <c r="I168" s="323" t="s">
        <v>125</v>
      </c>
      <c r="J168" s="323" t="s">
        <v>2511</v>
      </c>
      <c r="K168" s="294">
        <v>45960</v>
      </c>
      <c r="L168" s="294">
        <v>45967</v>
      </c>
      <c r="M168" s="284">
        <f>Table1[[#This Row],[Dep Date]]-Table1[[#This Row],[Arr Date]]</f>
        <v>7</v>
      </c>
      <c r="N168" s="323" t="s">
        <v>65</v>
      </c>
      <c r="O168" s="321">
        <v>1</v>
      </c>
      <c r="P168" s="321">
        <v>1</v>
      </c>
      <c r="Q168" s="321"/>
      <c r="R168" s="321"/>
      <c r="S168" s="321" t="s">
        <v>53</v>
      </c>
      <c r="T168" s="326" t="s">
        <v>1784</v>
      </c>
      <c r="U168" s="297"/>
      <c r="V168" s="294"/>
      <c r="W168" s="297">
        <v>0</v>
      </c>
      <c r="X168" s="294"/>
      <c r="Y168" s="329"/>
      <c r="Z168" s="329"/>
      <c r="AA168" s="332">
        <f>Table1[[#This Row],[Selling USD]]-Table1[[#This Row],[Cost USD]]</f>
        <v>0</v>
      </c>
      <c r="AB168" s="335">
        <f>28*1.5*2+27*1.5*1*5</f>
        <v>286.5</v>
      </c>
      <c r="AC168" s="298">
        <v>300.5</v>
      </c>
      <c r="AD168" s="299">
        <f>Table1[[#This Row],[Selling EUR]]-Table1[[#This Row],[Cost EUR]]</f>
        <v>14</v>
      </c>
      <c r="AE168" s="321" t="s">
        <v>54</v>
      </c>
      <c r="AF168" s="294">
        <v>45956</v>
      </c>
      <c r="AG168" s="294"/>
      <c r="AH168" s="321"/>
      <c r="AI168" s="323"/>
      <c r="AJ168" s="338"/>
      <c r="AK168" s="323"/>
      <c r="AL168" s="338"/>
      <c r="AM168" s="338"/>
      <c r="AN168" s="323"/>
      <c r="AO168" s="282"/>
      <c r="AP168" s="306"/>
      <c r="AQ168" s="282"/>
      <c r="AR168" s="282"/>
      <c r="AS168" s="282"/>
      <c r="AT168" s="281"/>
      <c r="AU168" s="281"/>
      <c r="AV168" s="281"/>
      <c r="AW168" s="281"/>
      <c r="AX168" s="281"/>
      <c r="AY168" s="281"/>
      <c r="AZ168" s="281"/>
    </row>
    <row r="169" spans="1:52" ht="15" customHeight="1" x14ac:dyDescent="0.3">
      <c r="A169" s="294">
        <v>45933</v>
      </c>
      <c r="B169" s="321" t="s">
        <v>47</v>
      </c>
      <c r="C169" s="321" t="s">
        <v>47</v>
      </c>
      <c r="D169" s="294" t="s">
        <v>79</v>
      </c>
      <c r="E169" s="321" t="s">
        <v>49</v>
      </c>
      <c r="F169" s="295">
        <v>14057363</v>
      </c>
      <c r="G169" s="296">
        <v>20303532</v>
      </c>
      <c r="H169" s="280" t="s">
        <v>84</v>
      </c>
      <c r="I169" s="323" t="s">
        <v>123</v>
      </c>
      <c r="J169" s="323" t="s">
        <v>2519</v>
      </c>
      <c r="K169" s="294">
        <v>46009</v>
      </c>
      <c r="L169" s="294">
        <v>46018</v>
      </c>
      <c r="M169" s="284">
        <f>Table1[[#This Row],[Dep Date]]-Table1[[#This Row],[Arr Date]]</f>
        <v>9</v>
      </c>
      <c r="N169" s="323" t="s">
        <v>52</v>
      </c>
      <c r="O169" s="321">
        <v>1</v>
      </c>
      <c r="P169" s="321">
        <v>2</v>
      </c>
      <c r="Q169" s="321"/>
      <c r="R169" s="321"/>
      <c r="S169" s="321" t="s">
        <v>53</v>
      </c>
      <c r="T169" s="326" t="s">
        <v>1785</v>
      </c>
      <c r="U169" s="297"/>
      <c r="V169" s="294"/>
      <c r="W169" s="297">
        <v>0</v>
      </c>
      <c r="X169" s="294"/>
      <c r="Y169" s="329"/>
      <c r="Z169" s="329"/>
      <c r="AA169" s="332">
        <f>Table1[[#This Row],[Selling USD]]-Table1[[#This Row],[Cost USD]]</f>
        <v>0</v>
      </c>
      <c r="AB169" s="335">
        <f>56*2*0.9*4+64*2*0.9*5</f>
        <v>979.2</v>
      </c>
      <c r="AC169" s="298">
        <v>988.99</v>
      </c>
      <c r="AD169" s="299">
        <f>Table1[[#This Row],[Selling EUR]]-Table1[[#This Row],[Cost EUR]]</f>
        <v>9.7899999999999636</v>
      </c>
      <c r="AE169" s="321" t="s">
        <v>54</v>
      </c>
      <c r="AF169" s="294">
        <v>46001</v>
      </c>
      <c r="AG169" s="294" t="s">
        <v>2304</v>
      </c>
      <c r="AH169" s="321"/>
      <c r="AI169" s="323"/>
      <c r="AJ169" s="338"/>
      <c r="AK169" s="323"/>
      <c r="AL169" s="338"/>
      <c r="AM169" s="338"/>
      <c r="AN169" s="323"/>
      <c r="AO169" s="282"/>
      <c r="AP169" s="306"/>
      <c r="AQ169" s="282"/>
      <c r="AR169" s="282"/>
      <c r="AS169" s="282"/>
      <c r="AT169" s="281"/>
      <c r="AU169" s="281"/>
      <c r="AV169" s="281"/>
      <c r="AW169" s="281"/>
      <c r="AX169" s="281"/>
      <c r="AY169" s="281"/>
      <c r="AZ169" s="281"/>
    </row>
    <row r="170" spans="1:52" ht="15" customHeight="1" x14ac:dyDescent="0.3">
      <c r="A170" s="294">
        <v>45934</v>
      </c>
      <c r="B170" s="321" t="s">
        <v>47</v>
      </c>
      <c r="C170" s="321" t="s">
        <v>47</v>
      </c>
      <c r="D170" s="294" t="s">
        <v>79</v>
      </c>
      <c r="E170" s="321" t="s">
        <v>83</v>
      </c>
      <c r="F170" s="295">
        <v>14064243</v>
      </c>
      <c r="G170" s="296">
        <v>20303533</v>
      </c>
      <c r="H170" s="280" t="s">
        <v>50</v>
      </c>
      <c r="I170" s="323" t="s">
        <v>82</v>
      </c>
      <c r="J170" s="323" t="s">
        <v>2520</v>
      </c>
      <c r="K170" s="294">
        <v>45969</v>
      </c>
      <c r="L170" s="294">
        <v>45974</v>
      </c>
      <c r="M170" s="284">
        <f>Table1[[#This Row],[Dep Date]]-Table1[[#This Row],[Arr Date]]</f>
        <v>5</v>
      </c>
      <c r="N170" s="323" t="s">
        <v>52</v>
      </c>
      <c r="O170" s="321">
        <v>1</v>
      </c>
      <c r="P170" s="321">
        <v>2</v>
      </c>
      <c r="Q170" s="321">
        <v>1</v>
      </c>
      <c r="R170" s="321">
        <v>1</v>
      </c>
      <c r="S170" s="321" t="s">
        <v>53</v>
      </c>
      <c r="T170" s="326" t="s">
        <v>1786</v>
      </c>
      <c r="U170" s="297" t="s">
        <v>2255</v>
      </c>
      <c r="V170" s="294"/>
      <c r="W170" s="297">
        <v>0</v>
      </c>
      <c r="X170" s="294"/>
      <c r="Y170" s="329">
        <f>75*2*5</f>
        <v>750</v>
      </c>
      <c r="Z170" s="329">
        <v>757.5</v>
      </c>
      <c r="AA170" s="332">
        <f>Table1[[#This Row],[Selling USD]]-Table1[[#This Row],[Cost USD]]</f>
        <v>7.5</v>
      </c>
      <c r="AB170" s="335"/>
      <c r="AC170" s="298"/>
      <c r="AD170" s="299">
        <f>Table1[[#This Row],[Selling EUR]]-Table1[[#This Row],[Cost EUR]]</f>
        <v>0</v>
      </c>
      <c r="AE170" s="321" t="s">
        <v>54</v>
      </c>
      <c r="AF170" s="294">
        <v>45963</v>
      </c>
      <c r="AG170" s="294" t="s">
        <v>2289</v>
      </c>
      <c r="AH170" s="321"/>
      <c r="AI170" s="323"/>
      <c r="AJ170" s="338"/>
      <c r="AK170" s="323"/>
      <c r="AL170" s="338"/>
      <c r="AM170" s="338"/>
      <c r="AN170" s="323"/>
      <c r="AO170" s="282"/>
      <c r="AP170" s="306"/>
      <c r="AQ170" s="282"/>
      <c r="AR170" s="282"/>
      <c r="AS170" s="282"/>
      <c r="AT170" s="281"/>
      <c r="AU170" s="281"/>
      <c r="AV170" s="281"/>
      <c r="AW170" s="281"/>
      <c r="AX170" s="281"/>
      <c r="AY170" s="281"/>
      <c r="AZ170" s="281"/>
    </row>
    <row r="171" spans="1:52" ht="15" customHeight="1" x14ac:dyDescent="0.3">
      <c r="A171" s="294">
        <v>45934</v>
      </c>
      <c r="B171" s="321" t="s">
        <v>47</v>
      </c>
      <c r="C171" s="321" t="s">
        <v>47</v>
      </c>
      <c r="D171" s="294" t="s">
        <v>48</v>
      </c>
      <c r="E171" s="321" t="s">
        <v>49</v>
      </c>
      <c r="F171" s="295">
        <v>16989938</v>
      </c>
      <c r="G171" s="296"/>
      <c r="H171" s="280" t="s">
        <v>50</v>
      </c>
      <c r="I171" s="323" t="s">
        <v>124</v>
      </c>
      <c r="J171" s="323" t="s">
        <v>2518</v>
      </c>
      <c r="K171" s="294">
        <v>45987</v>
      </c>
      <c r="L171" s="294">
        <v>45993</v>
      </c>
      <c r="M171" s="284">
        <f>Table1[[#This Row],[Dep Date]]-Table1[[#This Row],[Arr Date]]</f>
        <v>6</v>
      </c>
      <c r="N171" s="323" t="s">
        <v>65</v>
      </c>
      <c r="O171" s="321">
        <v>1</v>
      </c>
      <c r="P171" s="321">
        <v>1</v>
      </c>
      <c r="Q171" s="321"/>
      <c r="R171" s="321"/>
      <c r="S171" s="321" t="s">
        <v>53</v>
      </c>
      <c r="T171" s="326" t="s">
        <v>1787</v>
      </c>
      <c r="U171" s="297"/>
      <c r="V171" s="294"/>
      <c r="W171" s="297">
        <v>0</v>
      </c>
      <c r="X171" s="294"/>
      <c r="Y171" s="329"/>
      <c r="Z171" s="329"/>
      <c r="AA171" s="332">
        <f>Table1[[#This Row],[Selling USD]]-Table1[[#This Row],[Cost USD]]</f>
        <v>0</v>
      </c>
      <c r="AB171" s="335">
        <f>120*0.69*6+50</f>
        <v>546.79999999999995</v>
      </c>
      <c r="AC171" s="298">
        <v>564.79999999999995</v>
      </c>
      <c r="AD171" s="299">
        <f>Table1[[#This Row],[Selling EUR]]-Table1[[#This Row],[Cost EUR]]</f>
        <v>18</v>
      </c>
      <c r="AE171" s="321" t="s">
        <v>54</v>
      </c>
      <c r="AF171" s="294">
        <v>45978</v>
      </c>
      <c r="AG171" s="294"/>
      <c r="AH171" s="321"/>
      <c r="AI171" s="323"/>
      <c r="AJ171" s="338"/>
      <c r="AK171" s="323"/>
      <c r="AL171" s="338"/>
      <c r="AM171" s="338"/>
      <c r="AN171" s="323"/>
      <c r="AO171" s="282"/>
      <c r="AP171" s="306"/>
      <c r="AQ171" s="282"/>
      <c r="AR171" s="282"/>
      <c r="AS171" s="282"/>
      <c r="AT171" s="281"/>
      <c r="AU171" s="281"/>
      <c r="AV171" s="281"/>
      <c r="AW171" s="281"/>
      <c r="AX171" s="281"/>
      <c r="AY171" s="281"/>
      <c r="AZ171" s="281"/>
    </row>
    <row r="172" spans="1:52" ht="15" customHeight="1" x14ac:dyDescent="0.3">
      <c r="A172" s="294">
        <v>45934</v>
      </c>
      <c r="B172" s="321" t="s">
        <v>47</v>
      </c>
      <c r="C172" s="321" t="s">
        <v>47</v>
      </c>
      <c r="D172" s="294" t="s">
        <v>48</v>
      </c>
      <c r="E172" s="321" t="s">
        <v>61</v>
      </c>
      <c r="F172" s="295">
        <v>16989743</v>
      </c>
      <c r="G172" s="296"/>
      <c r="H172" s="280" t="s">
        <v>50</v>
      </c>
      <c r="I172" s="323" t="s">
        <v>111</v>
      </c>
      <c r="J172" s="323" t="s">
        <v>2521</v>
      </c>
      <c r="K172" s="294">
        <v>46011</v>
      </c>
      <c r="L172" s="294">
        <v>46022</v>
      </c>
      <c r="M172" s="284">
        <f>Table1[[#This Row],[Dep Date]]-Table1[[#This Row],[Arr Date]]</f>
        <v>11</v>
      </c>
      <c r="N172" s="323" t="s">
        <v>52</v>
      </c>
      <c r="O172" s="321">
        <v>1</v>
      </c>
      <c r="P172" s="321">
        <v>2</v>
      </c>
      <c r="Q172" s="321"/>
      <c r="R172" s="321"/>
      <c r="S172" s="321" t="s">
        <v>53</v>
      </c>
      <c r="T172" s="326" t="s">
        <v>1788</v>
      </c>
      <c r="U172" s="297"/>
      <c r="V172" s="294"/>
      <c r="W172" s="297">
        <v>0</v>
      </c>
      <c r="X172" s="294"/>
      <c r="Y172" s="329">
        <f>36*2*4+39*2*7</f>
        <v>834</v>
      </c>
      <c r="Z172" s="329">
        <v>900</v>
      </c>
      <c r="AA172" s="332">
        <f>Table1[[#This Row],[Selling USD]]-Table1[[#This Row],[Cost USD]]</f>
        <v>66</v>
      </c>
      <c r="AB172" s="335"/>
      <c r="AC172" s="298"/>
      <c r="AD172" s="299">
        <f>Table1[[#This Row],[Selling EUR]]-Table1[[#This Row],[Cost EUR]]</f>
        <v>0</v>
      </c>
      <c r="AE172" s="321" t="s">
        <v>54</v>
      </c>
      <c r="AF172" s="294" t="s">
        <v>2256</v>
      </c>
      <c r="AG172" s="294"/>
      <c r="AH172" s="321"/>
      <c r="AI172" s="323"/>
      <c r="AJ172" s="338"/>
      <c r="AK172" s="323"/>
      <c r="AL172" s="338"/>
      <c r="AM172" s="338"/>
      <c r="AN172" s="323"/>
      <c r="AO172" s="282"/>
      <c r="AP172" s="306"/>
      <c r="AQ172" s="282"/>
      <c r="AR172" s="282"/>
      <c r="AS172" s="282"/>
      <c r="AT172" s="281"/>
      <c r="AU172" s="281"/>
      <c r="AV172" s="281"/>
      <c r="AW172" s="281"/>
      <c r="AX172" s="281"/>
      <c r="AY172" s="281"/>
      <c r="AZ172" s="281"/>
    </row>
    <row r="173" spans="1:52" ht="15" customHeight="1" x14ac:dyDescent="0.3">
      <c r="A173" s="294">
        <v>45935</v>
      </c>
      <c r="B173" s="321" t="s">
        <v>47</v>
      </c>
      <c r="C173" s="321" t="s">
        <v>47</v>
      </c>
      <c r="D173" s="294" t="s">
        <v>48</v>
      </c>
      <c r="E173" s="321" t="s">
        <v>49</v>
      </c>
      <c r="F173" s="295">
        <v>16991348</v>
      </c>
      <c r="G173" s="296"/>
      <c r="H173" s="280" t="s">
        <v>58</v>
      </c>
      <c r="I173" s="323" t="s">
        <v>115</v>
      </c>
      <c r="J173" s="323" t="s">
        <v>2522</v>
      </c>
      <c r="K173" s="294">
        <v>45959</v>
      </c>
      <c r="L173" s="294">
        <v>45972</v>
      </c>
      <c r="M173" s="284">
        <f>Table1[[#This Row],[Dep Date]]-Table1[[#This Row],[Arr Date]]</f>
        <v>13</v>
      </c>
      <c r="N173" s="323" t="s">
        <v>52</v>
      </c>
      <c r="O173" s="321">
        <v>1</v>
      </c>
      <c r="P173" s="321">
        <v>2</v>
      </c>
      <c r="Q173" s="321"/>
      <c r="R173" s="321"/>
      <c r="S173" s="321" t="s">
        <v>53</v>
      </c>
      <c r="T173" s="326" t="s">
        <v>1789</v>
      </c>
      <c r="U173" s="297"/>
      <c r="V173" s="294"/>
      <c r="W173" s="297">
        <v>0</v>
      </c>
      <c r="X173" s="294"/>
      <c r="Y173" s="329"/>
      <c r="Z173" s="329"/>
      <c r="AA173" s="332">
        <f>Table1[[#This Row],[Selling USD]]-Table1[[#This Row],[Cost USD]]</f>
        <v>0</v>
      </c>
      <c r="AB173" s="335">
        <f>53*2*3+47*2*10</f>
        <v>1258</v>
      </c>
      <c r="AC173" s="298">
        <v>1490</v>
      </c>
      <c r="AD173" s="299">
        <f>Table1[[#This Row],[Selling EUR]]-Table1[[#This Row],[Cost EUR]]</f>
        <v>232</v>
      </c>
      <c r="AE173" s="321" t="s">
        <v>54</v>
      </c>
      <c r="AF173" s="294">
        <v>45946</v>
      </c>
      <c r="AG173" s="294"/>
      <c r="AH173" s="321"/>
      <c r="AI173" s="323"/>
      <c r="AJ173" s="338"/>
      <c r="AK173" s="323"/>
      <c r="AL173" s="338"/>
      <c r="AM173" s="338"/>
      <c r="AN173" s="323"/>
      <c r="AO173" s="282"/>
      <c r="AP173" s="306"/>
      <c r="AQ173" s="282"/>
      <c r="AR173" s="282"/>
      <c r="AS173" s="282"/>
      <c r="AT173" s="281"/>
      <c r="AU173" s="281"/>
      <c r="AV173" s="281"/>
      <c r="AW173" s="281"/>
      <c r="AX173" s="281"/>
      <c r="AY173" s="281"/>
      <c r="AZ173" s="281"/>
    </row>
    <row r="174" spans="1:52" ht="15" customHeight="1" x14ac:dyDescent="0.3">
      <c r="A174" s="294">
        <v>45935</v>
      </c>
      <c r="B174" s="321" t="s">
        <v>47</v>
      </c>
      <c r="C174" s="321" t="s">
        <v>47</v>
      </c>
      <c r="D174" s="294" t="s">
        <v>79</v>
      </c>
      <c r="E174" s="321" t="s">
        <v>49</v>
      </c>
      <c r="F174" s="295">
        <v>14080547</v>
      </c>
      <c r="G174" s="296">
        <v>20303534</v>
      </c>
      <c r="H174" s="280" t="s">
        <v>84</v>
      </c>
      <c r="I174" s="323" t="s">
        <v>123</v>
      </c>
      <c r="J174" s="323" t="s">
        <v>2519</v>
      </c>
      <c r="K174" s="294">
        <v>46009</v>
      </c>
      <c r="L174" s="294">
        <v>46020</v>
      </c>
      <c r="M174" s="284">
        <f>Table1[[#This Row],[Dep Date]]-Table1[[#This Row],[Arr Date]]</f>
        <v>11</v>
      </c>
      <c r="N174" s="323" t="s">
        <v>52</v>
      </c>
      <c r="O174" s="321">
        <v>1</v>
      </c>
      <c r="P174" s="321">
        <v>2</v>
      </c>
      <c r="Q174" s="321">
        <v>1</v>
      </c>
      <c r="R174" s="321"/>
      <c r="S174" s="321" t="s">
        <v>53</v>
      </c>
      <c r="T174" s="326" t="s">
        <v>1778</v>
      </c>
      <c r="U174" s="297" t="s">
        <v>2254</v>
      </c>
      <c r="V174" s="294"/>
      <c r="W174" s="297">
        <v>0</v>
      </c>
      <c r="X174" s="294"/>
      <c r="Y174" s="329"/>
      <c r="Z174" s="329"/>
      <c r="AA174" s="332">
        <f>Table1[[#This Row],[Selling USD]]-Table1[[#This Row],[Cost USD]]</f>
        <v>0</v>
      </c>
      <c r="AB174" s="335">
        <f>56*2*0.9*4+64*2*0.9*6+75*2*0.9*1</f>
        <v>1229.4000000000001</v>
      </c>
      <c r="AC174" s="298">
        <v>1241.69</v>
      </c>
      <c r="AD174" s="299">
        <f>Table1[[#This Row],[Selling EUR]]-Table1[[#This Row],[Cost EUR]]</f>
        <v>12.289999999999964</v>
      </c>
      <c r="AE174" s="321" t="s">
        <v>54</v>
      </c>
      <c r="AF174" s="294">
        <v>46001</v>
      </c>
      <c r="AG174" s="294" t="s">
        <v>2304</v>
      </c>
      <c r="AH174" s="321"/>
      <c r="AI174" s="323"/>
      <c r="AJ174" s="338"/>
      <c r="AK174" s="323"/>
      <c r="AL174" s="338"/>
      <c r="AM174" s="338"/>
      <c r="AN174" s="323"/>
      <c r="AO174" s="282"/>
      <c r="AP174" s="306"/>
      <c r="AQ174" s="282"/>
      <c r="AR174" s="282"/>
      <c r="AS174" s="282"/>
      <c r="AT174" s="281"/>
      <c r="AU174" s="281"/>
      <c r="AV174" s="281"/>
      <c r="AW174" s="281"/>
      <c r="AX174" s="281"/>
      <c r="AY174" s="281"/>
      <c r="AZ174" s="281"/>
    </row>
    <row r="175" spans="1:52" ht="15" customHeight="1" x14ac:dyDescent="0.3">
      <c r="A175" s="294">
        <v>45937</v>
      </c>
      <c r="B175" s="321" t="s">
        <v>47</v>
      </c>
      <c r="C175" s="321" t="s">
        <v>47</v>
      </c>
      <c r="D175" s="294" t="s">
        <v>48</v>
      </c>
      <c r="E175" s="321" t="s">
        <v>49</v>
      </c>
      <c r="F175" s="295">
        <v>16995433</v>
      </c>
      <c r="G175" s="296"/>
      <c r="H175" s="280" t="s">
        <v>58</v>
      </c>
      <c r="I175" s="323" t="s">
        <v>59</v>
      </c>
      <c r="J175" s="323" t="s">
        <v>2443</v>
      </c>
      <c r="K175" s="294">
        <v>45982</v>
      </c>
      <c r="L175" s="294">
        <v>45989</v>
      </c>
      <c r="M175" s="284">
        <f>Table1[[#This Row],[Dep Date]]-Table1[[#This Row],[Arr Date]]</f>
        <v>7</v>
      </c>
      <c r="N175" s="323" t="s">
        <v>65</v>
      </c>
      <c r="O175" s="321">
        <v>1</v>
      </c>
      <c r="P175" s="321">
        <v>1</v>
      </c>
      <c r="Q175" s="321"/>
      <c r="R175" s="321"/>
      <c r="S175" s="321" t="s">
        <v>53</v>
      </c>
      <c r="T175" s="326" t="s">
        <v>1790</v>
      </c>
      <c r="U175" s="297"/>
      <c r="V175" s="294"/>
      <c r="W175" s="297">
        <v>0</v>
      </c>
      <c r="X175" s="294"/>
      <c r="Y175" s="329"/>
      <c r="Z175" s="329"/>
      <c r="AA175" s="332">
        <f>Table1[[#This Row],[Selling USD]]-Table1[[#This Row],[Cost USD]]</f>
        <v>0</v>
      </c>
      <c r="AB175" s="335">
        <f>39*1.6*0.7*4+36*1.6*0.7*3</f>
        <v>295.68</v>
      </c>
      <c r="AC175" s="298">
        <v>215.6</v>
      </c>
      <c r="AD175" s="299">
        <f>Table1[[#This Row],[Selling EUR]]-Table1[[#This Row],[Cost EUR]]</f>
        <v>-80.080000000000013</v>
      </c>
      <c r="AE175" s="321" t="s">
        <v>54</v>
      </c>
      <c r="AF175" s="294">
        <v>45977</v>
      </c>
      <c r="AG175" s="294" t="s">
        <v>2289</v>
      </c>
      <c r="AH175" s="321"/>
      <c r="AI175" s="323"/>
      <c r="AJ175" s="338"/>
      <c r="AK175" s="323"/>
      <c r="AL175" s="338"/>
      <c r="AM175" s="338"/>
      <c r="AN175" s="324" t="s">
        <v>2370</v>
      </c>
      <c r="AO175" s="282"/>
      <c r="AP175" s="306"/>
      <c r="AQ175" s="282"/>
      <c r="AR175" s="282"/>
      <c r="AS175" s="282"/>
      <c r="AT175" s="281"/>
      <c r="AU175" s="281"/>
      <c r="AV175" s="281"/>
      <c r="AW175" s="281"/>
      <c r="AX175" s="281"/>
      <c r="AY175" s="281"/>
      <c r="AZ175" s="281"/>
    </row>
    <row r="176" spans="1:52" ht="15" customHeight="1" x14ac:dyDescent="0.3">
      <c r="A176" s="294">
        <v>45937</v>
      </c>
      <c r="B176" s="321" t="s">
        <v>47</v>
      </c>
      <c r="C176" s="321" t="s">
        <v>47</v>
      </c>
      <c r="D176" s="294" t="s">
        <v>79</v>
      </c>
      <c r="E176" s="321" t="s">
        <v>49</v>
      </c>
      <c r="F176" s="295">
        <v>14106195</v>
      </c>
      <c r="G176" s="296">
        <v>20303537</v>
      </c>
      <c r="H176" s="280" t="s">
        <v>58</v>
      </c>
      <c r="I176" s="323" t="s">
        <v>59</v>
      </c>
      <c r="J176" s="323" t="s">
        <v>2523</v>
      </c>
      <c r="K176" s="294">
        <v>46012</v>
      </c>
      <c r="L176" s="294">
        <v>46021</v>
      </c>
      <c r="M176" s="284">
        <f>Table1[[#This Row],[Dep Date]]-Table1[[#This Row],[Arr Date]]</f>
        <v>9</v>
      </c>
      <c r="N176" s="323" t="s">
        <v>52</v>
      </c>
      <c r="O176" s="321">
        <v>1</v>
      </c>
      <c r="P176" s="321">
        <v>2</v>
      </c>
      <c r="Q176" s="321"/>
      <c r="R176" s="321"/>
      <c r="S176" s="321" t="s">
        <v>53</v>
      </c>
      <c r="T176" s="326" t="s">
        <v>1791</v>
      </c>
      <c r="U176" s="297"/>
      <c r="V176" s="294"/>
      <c r="W176" s="297">
        <v>0</v>
      </c>
      <c r="X176" s="294"/>
      <c r="Y176" s="329"/>
      <c r="Z176" s="329"/>
      <c r="AA176" s="332">
        <f>Table1[[#This Row],[Selling USD]]-Table1[[#This Row],[Cost USD]]</f>
        <v>0</v>
      </c>
      <c r="AB176" s="335">
        <f>39*2*0.7*5+49*2*0.7*4+60*2</f>
        <v>667.4</v>
      </c>
      <c r="AC176" s="298">
        <v>698.33</v>
      </c>
      <c r="AD176" s="299">
        <f>Table1[[#This Row],[Selling EUR]]-Table1[[#This Row],[Cost EUR]]</f>
        <v>30.930000000000064</v>
      </c>
      <c r="AE176" s="321" t="s">
        <v>54</v>
      </c>
      <c r="AF176" s="294">
        <v>46012</v>
      </c>
      <c r="AG176" s="294" t="s">
        <v>2291</v>
      </c>
      <c r="AH176" s="321"/>
      <c r="AI176" s="323"/>
      <c r="AJ176" s="338"/>
      <c r="AK176" s="323"/>
      <c r="AL176" s="338"/>
      <c r="AM176" s="338"/>
      <c r="AN176" s="323" t="s">
        <v>2371</v>
      </c>
      <c r="AO176" s="282"/>
      <c r="AP176" s="306"/>
      <c r="AQ176" s="282"/>
      <c r="AR176" s="282"/>
      <c r="AS176" s="282"/>
      <c r="AT176" s="281"/>
      <c r="AU176" s="281"/>
      <c r="AV176" s="281"/>
      <c r="AW176" s="281"/>
      <c r="AX176" s="281"/>
      <c r="AY176" s="281"/>
      <c r="AZ176" s="281"/>
    </row>
    <row r="177" spans="1:52" ht="15" customHeight="1" x14ac:dyDescent="0.3">
      <c r="A177" s="294">
        <v>45938</v>
      </c>
      <c r="B177" s="321" t="s">
        <v>47</v>
      </c>
      <c r="C177" s="321" t="s">
        <v>47</v>
      </c>
      <c r="D177" s="294" t="s">
        <v>79</v>
      </c>
      <c r="E177" s="321" t="s">
        <v>49</v>
      </c>
      <c r="F177" s="295">
        <v>14114681</v>
      </c>
      <c r="G177" s="296">
        <v>20303539</v>
      </c>
      <c r="H177" s="280" t="s">
        <v>84</v>
      </c>
      <c r="I177" s="323" t="s">
        <v>129</v>
      </c>
      <c r="J177" s="323" t="s">
        <v>1402</v>
      </c>
      <c r="K177" s="294">
        <v>45952</v>
      </c>
      <c r="L177" s="294">
        <v>45959</v>
      </c>
      <c r="M177" s="284">
        <f>Table1[[#This Row],[Dep Date]]-Table1[[#This Row],[Arr Date]]</f>
        <v>7</v>
      </c>
      <c r="N177" s="323" t="s">
        <v>52</v>
      </c>
      <c r="O177" s="321">
        <v>1</v>
      </c>
      <c r="P177" s="321">
        <v>2</v>
      </c>
      <c r="Q177" s="321">
        <v>1</v>
      </c>
      <c r="R177" s="321">
        <v>1</v>
      </c>
      <c r="S177" s="321" t="s">
        <v>53</v>
      </c>
      <c r="T177" s="326" t="s">
        <v>1792</v>
      </c>
      <c r="U177" s="297" t="s">
        <v>2257</v>
      </c>
      <c r="V177" s="294"/>
      <c r="W177" s="297">
        <v>0</v>
      </c>
      <c r="X177" s="294"/>
      <c r="Y177" s="329">
        <f>40*2*7</f>
        <v>560</v>
      </c>
      <c r="Z177" s="329">
        <v>565.6</v>
      </c>
      <c r="AA177" s="332">
        <f>Table1[[#This Row],[Selling USD]]-Table1[[#This Row],[Cost USD]]</f>
        <v>5.6000000000000227</v>
      </c>
      <c r="AB177" s="335"/>
      <c r="AC177" s="298"/>
      <c r="AD177" s="299">
        <f>Table1[[#This Row],[Selling EUR]]-Table1[[#This Row],[Cost EUR]]</f>
        <v>0</v>
      </c>
      <c r="AE177" s="321" t="s">
        <v>54</v>
      </c>
      <c r="AF177" s="294">
        <v>45945</v>
      </c>
      <c r="AG177" s="294"/>
      <c r="AH177" s="321"/>
      <c r="AI177" s="323"/>
      <c r="AJ177" s="338"/>
      <c r="AK177" s="323"/>
      <c r="AL177" s="338"/>
      <c r="AM177" s="338"/>
      <c r="AN177" s="323" t="s">
        <v>2372</v>
      </c>
      <c r="AO177" s="282"/>
      <c r="AP177" s="306"/>
      <c r="AQ177" s="282"/>
      <c r="AR177" s="282"/>
      <c r="AS177" s="282"/>
      <c r="AT177" s="281"/>
      <c r="AU177" s="281"/>
      <c r="AV177" s="281"/>
      <c r="AW177" s="281"/>
      <c r="AX177" s="281"/>
      <c r="AY177" s="281"/>
      <c r="AZ177" s="281"/>
    </row>
    <row r="178" spans="1:52" ht="15" customHeight="1" x14ac:dyDescent="0.3">
      <c r="A178" s="294">
        <v>45942</v>
      </c>
      <c r="B178" s="321" t="s">
        <v>47</v>
      </c>
      <c r="C178" s="321" t="s">
        <v>47</v>
      </c>
      <c r="D178" s="294" t="s">
        <v>79</v>
      </c>
      <c r="E178" s="321" t="s">
        <v>61</v>
      </c>
      <c r="F178" s="295">
        <v>14175319</v>
      </c>
      <c r="G178" s="296">
        <v>20303545</v>
      </c>
      <c r="H178" s="280" t="s">
        <v>50</v>
      </c>
      <c r="I178" s="323" t="s">
        <v>127</v>
      </c>
      <c r="J178" s="323" t="s">
        <v>1554</v>
      </c>
      <c r="K178" s="294">
        <v>45970</v>
      </c>
      <c r="L178" s="294">
        <v>45979</v>
      </c>
      <c r="M178" s="284">
        <f>Table1[[#This Row],[Dep Date]]-Table1[[#This Row],[Arr Date]]</f>
        <v>9</v>
      </c>
      <c r="N178" s="323" t="s">
        <v>52</v>
      </c>
      <c r="O178" s="321">
        <v>1</v>
      </c>
      <c r="P178" s="321">
        <v>2</v>
      </c>
      <c r="Q178" s="321"/>
      <c r="R178" s="321"/>
      <c r="S178" s="321" t="s">
        <v>53</v>
      </c>
      <c r="T178" s="326" t="s">
        <v>1793</v>
      </c>
      <c r="U178" s="297"/>
      <c r="V178" s="294"/>
      <c r="W178" s="297">
        <v>0</v>
      </c>
      <c r="X178" s="294"/>
      <c r="Y178" s="329">
        <f>75*2*9*0.7</f>
        <v>944.99999999999989</v>
      </c>
      <c r="Z178" s="329">
        <v>954.45</v>
      </c>
      <c r="AA178" s="332">
        <f>Table1[[#This Row],[Selling USD]]-Table1[[#This Row],[Cost USD]]</f>
        <v>9.4500000000001592</v>
      </c>
      <c r="AB178" s="335"/>
      <c r="AC178" s="298"/>
      <c r="AD178" s="299">
        <f>Table1[[#This Row],[Selling EUR]]-Table1[[#This Row],[Cost EUR]]</f>
        <v>0</v>
      </c>
      <c r="AE178" s="321" t="s">
        <v>54</v>
      </c>
      <c r="AF178" s="294">
        <v>45963</v>
      </c>
      <c r="AG178" s="294"/>
      <c r="AH178" s="321"/>
      <c r="AI178" s="323"/>
      <c r="AJ178" s="338"/>
      <c r="AK178" s="323"/>
      <c r="AL178" s="338"/>
      <c r="AM178" s="338"/>
      <c r="AN178" s="323"/>
      <c r="AO178" s="282"/>
      <c r="AP178" s="306"/>
      <c r="AQ178" s="282"/>
      <c r="AR178" s="282"/>
      <c r="AS178" s="282"/>
      <c r="AT178" s="281"/>
      <c r="AU178" s="281"/>
      <c r="AV178" s="281"/>
      <c r="AW178" s="281"/>
      <c r="AX178" s="281"/>
      <c r="AY178" s="281"/>
      <c r="AZ178" s="281"/>
    </row>
    <row r="179" spans="1:52" ht="15" customHeight="1" x14ac:dyDescent="0.3">
      <c r="A179" s="294">
        <v>45942</v>
      </c>
      <c r="B179" s="321" t="s">
        <v>47</v>
      </c>
      <c r="C179" s="321" t="s">
        <v>47</v>
      </c>
      <c r="D179" s="294" t="s">
        <v>48</v>
      </c>
      <c r="E179" s="321" t="s">
        <v>61</v>
      </c>
      <c r="F179" s="295">
        <v>17007099</v>
      </c>
      <c r="G179" s="296"/>
      <c r="H179" s="280" t="s">
        <v>84</v>
      </c>
      <c r="I179" s="323" t="s">
        <v>129</v>
      </c>
      <c r="J179" s="323" t="s">
        <v>2524</v>
      </c>
      <c r="K179" s="294">
        <v>46015</v>
      </c>
      <c r="L179" s="294">
        <v>46024</v>
      </c>
      <c r="M179" s="284">
        <f>Table1[[#This Row],[Dep Date]]-Table1[[#This Row],[Arr Date]]</f>
        <v>9</v>
      </c>
      <c r="N179" s="323" t="s">
        <v>52</v>
      </c>
      <c r="O179" s="321">
        <v>1</v>
      </c>
      <c r="P179" s="321">
        <v>2</v>
      </c>
      <c r="Q179" s="321"/>
      <c r="R179" s="321"/>
      <c r="S179" s="321" t="s">
        <v>53</v>
      </c>
      <c r="T179" s="326" t="s">
        <v>1794</v>
      </c>
      <c r="U179" s="297"/>
      <c r="V179" s="294"/>
      <c r="W179" s="297">
        <v>0</v>
      </c>
      <c r="X179" s="294"/>
      <c r="Y179" s="329">
        <f>36*2*3+43*2*6+60*2</f>
        <v>852</v>
      </c>
      <c r="Z179" s="329">
        <v>786</v>
      </c>
      <c r="AA179" s="332">
        <f>Table1[[#This Row],[Selling USD]]-Table1[[#This Row],[Cost USD]]</f>
        <v>-66</v>
      </c>
      <c r="AB179" s="335"/>
      <c r="AC179" s="298"/>
      <c r="AD179" s="299">
        <f>Table1[[#This Row],[Selling EUR]]-Table1[[#This Row],[Cost EUR]]</f>
        <v>0</v>
      </c>
      <c r="AE179" s="321" t="s">
        <v>54</v>
      </c>
      <c r="AF179" s="294">
        <v>46005</v>
      </c>
      <c r="AG179" s="294"/>
      <c r="AH179" s="321"/>
      <c r="AI179" s="323"/>
      <c r="AJ179" s="338"/>
      <c r="AK179" s="323"/>
      <c r="AL179" s="338"/>
      <c r="AM179" s="338"/>
      <c r="AN179" s="323" t="s">
        <v>2373</v>
      </c>
      <c r="AO179" s="282"/>
      <c r="AP179" s="306"/>
      <c r="AQ179" s="282"/>
      <c r="AR179" s="282"/>
      <c r="AS179" s="282"/>
      <c r="AT179" s="281"/>
      <c r="AU179" s="281"/>
      <c r="AV179" s="281"/>
      <c r="AW179" s="281"/>
      <c r="AX179" s="281"/>
      <c r="AY179" s="281"/>
      <c r="AZ179" s="281"/>
    </row>
    <row r="180" spans="1:52" ht="15" customHeight="1" x14ac:dyDescent="0.3">
      <c r="A180" s="294">
        <v>45943</v>
      </c>
      <c r="B180" s="321" t="s">
        <v>47</v>
      </c>
      <c r="C180" s="321" t="s">
        <v>47</v>
      </c>
      <c r="D180" s="294" t="s">
        <v>48</v>
      </c>
      <c r="E180" s="321" t="s">
        <v>49</v>
      </c>
      <c r="F180" s="295">
        <v>17008224</v>
      </c>
      <c r="G180" s="296"/>
      <c r="H180" s="280" t="s">
        <v>50</v>
      </c>
      <c r="I180" s="323" t="s">
        <v>125</v>
      </c>
      <c r="J180" s="323" t="s">
        <v>2506</v>
      </c>
      <c r="K180" s="294">
        <v>45983</v>
      </c>
      <c r="L180" s="294">
        <v>45987</v>
      </c>
      <c r="M180" s="284">
        <f>Table1[[#This Row],[Dep Date]]-Table1[[#This Row],[Arr Date]]</f>
        <v>4</v>
      </c>
      <c r="N180" s="323" t="s">
        <v>52</v>
      </c>
      <c r="O180" s="321">
        <v>1</v>
      </c>
      <c r="P180" s="321">
        <v>2</v>
      </c>
      <c r="Q180" s="321"/>
      <c r="R180" s="321"/>
      <c r="S180" s="321" t="s">
        <v>53</v>
      </c>
      <c r="T180" s="326" t="s">
        <v>1795</v>
      </c>
      <c r="U180" s="297"/>
      <c r="V180" s="294"/>
      <c r="W180" s="297">
        <v>0</v>
      </c>
      <c r="X180" s="294"/>
      <c r="Y180" s="329"/>
      <c r="Z180" s="329"/>
      <c r="AA180" s="332">
        <f>Table1[[#This Row],[Selling USD]]-Table1[[#This Row],[Cost USD]]</f>
        <v>0</v>
      </c>
      <c r="AB180" s="335">
        <f>26*2*4</f>
        <v>208</v>
      </c>
      <c r="AC180" s="298">
        <v>224</v>
      </c>
      <c r="AD180" s="299">
        <f>Table1[[#This Row],[Selling EUR]]-Table1[[#This Row],[Cost EUR]]</f>
        <v>16</v>
      </c>
      <c r="AE180" s="321" t="s">
        <v>54</v>
      </c>
      <c r="AF180" s="294">
        <v>45971</v>
      </c>
      <c r="AG180" s="294"/>
      <c r="AH180" s="321"/>
      <c r="AI180" s="323"/>
      <c r="AJ180" s="338"/>
      <c r="AK180" s="323"/>
      <c r="AL180" s="338"/>
      <c r="AM180" s="338"/>
      <c r="AN180" s="323" t="s">
        <v>2374</v>
      </c>
      <c r="AO180" s="282"/>
      <c r="AP180" s="306"/>
      <c r="AQ180" s="282"/>
      <c r="AR180" s="282"/>
      <c r="AS180" s="282"/>
      <c r="AT180" s="281"/>
      <c r="AU180" s="281"/>
      <c r="AV180" s="281"/>
      <c r="AW180" s="281"/>
      <c r="AX180" s="281"/>
      <c r="AY180" s="281"/>
      <c r="AZ180" s="281"/>
    </row>
    <row r="181" spans="1:52" ht="15" customHeight="1" x14ac:dyDescent="0.3">
      <c r="A181" s="294">
        <v>45943</v>
      </c>
      <c r="B181" s="321" t="s">
        <v>47</v>
      </c>
      <c r="C181" s="321" t="s">
        <v>47</v>
      </c>
      <c r="D181" s="294" t="s">
        <v>48</v>
      </c>
      <c r="E181" s="321" t="s">
        <v>49</v>
      </c>
      <c r="F181" s="295">
        <v>17008190</v>
      </c>
      <c r="G181" s="296"/>
      <c r="H181" s="280" t="s">
        <v>50</v>
      </c>
      <c r="I181" s="323" t="s">
        <v>96</v>
      </c>
      <c r="J181" s="323" t="s">
        <v>2525</v>
      </c>
      <c r="K181" s="294">
        <v>45992</v>
      </c>
      <c r="L181" s="294">
        <v>46000</v>
      </c>
      <c r="M181" s="284">
        <f>Table1[[#This Row],[Dep Date]]-Table1[[#This Row],[Arr Date]]</f>
        <v>8</v>
      </c>
      <c r="N181" s="323" t="s">
        <v>65</v>
      </c>
      <c r="O181" s="321">
        <v>1</v>
      </c>
      <c r="P181" s="321">
        <v>1</v>
      </c>
      <c r="Q181" s="321"/>
      <c r="R181" s="321"/>
      <c r="S181" s="321" t="s">
        <v>53</v>
      </c>
      <c r="T181" s="326" t="s">
        <v>1796</v>
      </c>
      <c r="U181" s="297"/>
      <c r="V181" s="294"/>
      <c r="W181" s="297">
        <v>0</v>
      </c>
      <c r="X181" s="294"/>
      <c r="Y181" s="329"/>
      <c r="Z181" s="329"/>
      <c r="AA181" s="332">
        <f>Table1[[#This Row],[Selling USD]]-Table1[[#This Row],[Cost USD]]</f>
        <v>0</v>
      </c>
      <c r="AB181" s="335">
        <f>65*1.7*0.85*8</f>
        <v>751.4</v>
      </c>
      <c r="AC181" s="298">
        <v>775.4</v>
      </c>
      <c r="AD181" s="299">
        <f>Table1[[#This Row],[Selling EUR]]-Table1[[#This Row],[Cost EUR]]</f>
        <v>24</v>
      </c>
      <c r="AE181" s="321" t="s">
        <v>54</v>
      </c>
      <c r="AF181" s="294">
        <v>45985</v>
      </c>
      <c r="AG181" s="294"/>
      <c r="AH181" s="321"/>
      <c r="AI181" s="323"/>
      <c r="AJ181" s="338"/>
      <c r="AK181" s="323"/>
      <c r="AL181" s="338"/>
      <c r="AM181" s="338"/>
      <c r="AN181" s="323" t="s">
        <v>2375</v>
      </c>
      <c r="AO181" s="282"/>
      <c r="AP181" s="306"/>
      <c r="AQ181" s="282"/>
      <c r="AR181" s="282"/>
      <c r="AS181" s="282"/>
      <c r="AT181" s="281"/>
      <c r="AU181" s="281"/>
      <c r="AV181" s="281"/>
      <c r="AW181" s="281"/>
      <c r="AX181" s="281"/>
      <c r="AY181" s="281"/>
      <c r="AZ181" s="281"/>
    </row>
    <row r="182" spans="1:52" ht="15" customHeight="1" x14ac:dyDescent="0.3">
      <c r="A182" s="294">
        <v>45944</v>
      </c>
      <c r="B182" s="321" t="s">
        <v>47</v>
      </c>
      <c r="C182" s="321" t="s">
        <v>47</v>
      </c>
      <c r="D182" s="294" t="s">
        <v>48</v>
      </c>
      <c r="E182" s="321" t="s">
        <v>49</v>
      </c>
      <c r="F182" s="295">
        <v>17011166</v>
      </c>
      <c r="G182" s="296"/>
      <c r="H182" s="280" t="s">
        <v>50</v>
      </c>
      <c r="I182" s="323" t="s">
        <v>125</v>
      </c>
      <c r="J182" s="323" t="s">
        <v>2526</v>
      </c>
      <c r="K182" s="294">
        <v>45960</v>
      </c>
      <c r="L182" s="294">
        <v>45967</v>
      </c>
      <c r="M182" s="284">
        <f>Table1[[#This Row],[Dep Date]]-Table1[[#This Row],[Arr Date]]</f>
        <v>7</v>
      </c>
      <c r="N182" s="323" t="s">
        <v>65</v>
      </c>
      <c r="O182" s="321">
        <v>1</v>
      </c>
      <c r="P182" s="321">
        <v>1</v>
      </c>
      <c r="Q182" s="321"/>
      <c r="R182" s="321"/>
      <c r="S182" s="321" t="s">
        <v>53</v>
      </c>
      <c r="T182" s="326" t="s">
        <v>1797</v>
      </c>
      <c r="U182" s="297"/>
      <c r="V182" s="294"/>
      <c r="W182" s="297">
        <v>0</v>
      </c>
      <c r="X182" s="294"/>
      <c r="Y182" s="329"/>
      <c r="Z182" s="329"/>
      <c r="AA182" s="332">
        <f>Table1[[#This Row],[Selling USD]]-Table1[[#This Row],[Cost USD]]</f>
        <v>0</v>
      </c>
      <c r="AB182" s="335">
        <f>28*1.5*2+27*1.5*5</f>
        <v>286.5</v>
      </c>
      <c r="AC182" s="298">
        <v>300.5</v>
      </c>
      <c r="AD182" s="299">
        <f>Table1[[#This Row],[Selling EUR]]-Table1[[#This Row],[Cost EUR]]</f>
        <v>14</v>
      </c>
      <c r="AE182" s="321" t="s">
        <v>54</v>
      </c>
      <c r="AF182" s="294">
        <v>45956</v>
      </c>
      <c r="AG182" s="294"/>
      <c r="AH182" s="321"/>
      <c r="AI182" s="323"/>
      <c r="AJ182" s="338"/>
      <c r="AK182" s="323"/>
      <c r="AL182" s="338"/>
      <c r="AM182" s="338"/>
      <c r="AN182" s="323"/>
      <c r="AO182" s="282"/>
      <c r="AP182" s="306"/>
      <c r="AQ182" s="282"/>
      <c r="AR182" s="282"/>
      <c r="AS182" s="282"/>
      <c r="AT182" s="281"/>
      <c r="AU182" s="281"/>
      <c r="AV182" s="281"/>
      <c r="AW182" s="281"/>
      <c r="AX182" s="281"/>
      <c r="AY182" s="281"/>
      <c r="AZ182" s="281"/>
    </row>
    <row r="183" spans="1:52" ht="15" customHeight="1" x14ac:dyDescent="0.3">
      <c r="A183" s="294">
        <v>45968</v>
      </c>
      <c r="B183" s="321" t="s">
        <v>47</v>
      </c>
      <c r="C183" s="321" t="s">
        <v>47</v>
      </c>
      <c r="D183" s="294" t="s">
        <v>48</v>
      </c>
      <c r="E183" s="321" t="s">
        <v>49</v>
      </c>
      <c r="F183" s="295">
        <v>17071614</v>
      </c>
      <c r="G183" s="296"/>
      <c r="H183" s="280" t="s">
        <v>50</v>
      </c>
      <c r="I183" s="323" t="s">
        <v>130</v>
      </c>
      <c r="J183" s="323" t="s">
        <v>2527</v>
      </c>
      <c r="K183" s="294">
        <v>46052</v>
      </c>
      <c r="L183" s="294">
        <v>46059</v>
      </c>
      <c r="M183" s="284">
        <f>Table1[[#This Row],[Dep Date]]-Table1[[#This Row],[Arr Date]]</f>
        <v>7</v>
      </c>
      <c r="N183" s="323" t="s">
        <v>52</v>
      </c>
      <c r="O183" s="321">
        <v>1</v>
      </c>
      <c r="P183" s="321">
        <v>2</v>
      </c>
      <c r="Q183" s="321">
        <v>1</v>
      </c>
      <c r="R183" s="321"/>
      <c r="S183" s="321" t="s">
        <v>53</v>
      </c>
      <c r="T183" s="326" t="s">
        <v>1798</v>
      </c>
      <c r="U183" s="297">
        <v>10</v>
      </c>
      <c r="V183" s="294"/>
      <c r="W183" s="297">
        <v>0</v>
      </c>
      <c r="X183" s="294"/>
      <c r="Y183" s="329"/>
      <c r="Z183" s="329"/>
      <c r="AA183" s="332">
        <f>Table1[[#This Row],[Selling USD]]-Table1[[#This Row],[Cost USD]]</f>
        <v>0</v>
      </c>
      <c r="AB183" s="335">
        <f>(70*2*3+75*2*4)*0.85</f>
        <v>867</v>
      </c>
      <c r="AC183" s="298">
        <v>909</v>
      </c>
      <c r="AD183" s="299">
        <f>Table1[[#This Row],[Selling EUR]]-Table1[[#This Row],[Cost EUR]]</f>
        <v>42</v>
      </c>
      <c r="AE183" s="321" t="s">
        <v>54</v>
      </c>
      <c r="AF183" s="294">
        <v>46044</v>
      </c>
      <c r="AG183" s="294" t="s">
        <v>2357</v>
      </c>
      <c r="AH183" s="321"/>
      <c r="AI183" s="323"/>
      <c r="AJ183" s="338"/>
      <c r="AK183" s="323"/>
      <c r="AL183" s="338"/>
      <c r="AM183" s="338"/>
      <c r="AN183" s="323"/>
      <c r="AO183" s="282"/>
      <c r="AP183" s="306"/>
      <c r="AQ183" s="282"/>
      <c r="AR183" s="282"/>
      <c r="AS183" s="282"/>
      <c r="AT183" s="281"/>
      <c r="AU183" s="281"/>
      <c r="AV183" s="281"/>
      <c r="AW183" s="281"/>
      <c r="AX183" s="281"/>
      <c r="AY183" s="281"/>
      <c r="AZ183" s="281"/>
    </row>
    <row r="184" spans="1:52" ht="15" customHeight="1" x14ac:dyDescent="0.3">
      <c r="A184" s="294">
        <v>45944</v>
      </c>
      <c r="B184" s="321" t="s">
        <v>47</v>
      </c>
      <c r="C184" s="321" t="s">
        <v>47</v>
      </c>
      <c r="D184" s="294" t="s">
        <v>48</v>
      </c>
      <c r="E184" s="321" t="s">
        <v>49</v>
      </c>
      <c r="F184" s="295">
        <v>17011764</v>
      </c>
      <c r="G184" s="296"/>
      <c r="H184" s="280" t="s">
        <v>50</v>
      </c>
      <c r="I184" s="323" t="s">
        <v>90</v>
      </c>
      <c r="J184" s="323" t="s">
        <v>2460</v>
      </c>
      <c r="K184" s="294">
        <v>45977</v>
      </c>
      <c r="L184" s="294">
        <v>45986</v>
      </c>
      <c r="M184" s="284">
        <f>Table1[[#This Row],[Dep Date]]-Table1[[#This Row],[Arr Date]]</f>
        <v>9</v>
      </c>
      <c r="N184" s="323" t="s">
        <v>52</v>
      </c>
      <c r="O184" s="321">
        <v>1</v>
      </c>
      <c r="P184" s="321">
        <v>2</v>
      </c>
      <c r="Q184" s="321"/>
      <c r="R184" s="321"/>
      <c r="S184" s="321" t="s">
        <v>53</v>
      </c>
      <c r="T184" s="326" t="s">
        <v>1799</v>
      </c>
      <c r="U184" s="297"/>
      <c r="V184" s="294"/>
      <c r="W184" s="297">
        <v>0</v>
      </c>
      <c r="X184" s="294"/>
      <c r="Y184" s="329"/>
      <c r="Z184" s="329"/>
      <c r="AA184" s="332">
        <f>Table1[[#This Row],[Selling USD]]-Table1[[#This Row],[Cost USD]]</f>
        <v>0</v>
      </c>
      <c r="AB184" s="335">
        <f>60*2*5+45*2*4</f>
        <v>960</v>
      </c>
      <c r="AC184" s="298">
        <v>1014</v>
      </c>
      <c r="AD184" s="299">
        <f>Table1[[#This Row],[Selling EUR]]-Table1[[#This Row],[Cost EUR]]</f>
        <v>54</v>
      </c>
      <c r="AE184" s="321" t="s">
        <v>54</v>
      </c>
      <c r="AF184" s="294">
        <v>45953</v>
      </c>
      <c r="AG184" s="294"/>
      <c r="AH184" s="321"/>
      <c r="AI184" s="323"/>
      <c r="AJ184" s="338"/>
      <c r="AK184" s="323"/>
      <c r="AL184" s="338"/>
      <c r="AM184" s="338"/>
      <c r="AN184" s="323"/>
      <c r="AO184" s="282"/>
      <c r="AP184" s="306"/>
      <c r="AQ184" s="282"/>
      <c r="AR184" s="282"/>
      <c r="AS184" s="282"/>
      <c r="AT184" s="281"/>
      <c r="AU184" s="281"/>
      <c r="AV184" s="281"/>
      <c r="AW184" s="281"/>
      <c r="AX184" s="281"/>
      <c r="AY184" s="281"/>
      <c r="AZ184" s="281"/>
    </row>
    <row r="185" spans="1:52" ht="15" customHeight="1" x14ac:dyDescent="0.3">
      <c r="A185" s="294">
        <v>45946</v>
      </c>
      <c r="B185" s="321" t="s">
        <v>47</v>
      </c>
      <c r="C185" s="321" t="s">
        <v>47</v>
      </c>
      <c r="D185" s="294" t="s">
        <v>48</v>
      </c>
      <c r="E185" s="321" t="s">
        <v>49</v>
      </c>
      <c r="F185" s="295">
        <v>17015969</v>
      </c>
      <c r="G185" s="296"/>
      <c r="H185" s="280" t="s">
        <v>58</v>
      </c>
      <c r="I185" s="323" t="s">
        <v>115</v>
      </c>
      <c r="J185" s="323" t="s">
        <v>2528</v>
      </c>
      <c r="K185" s="294">
        <v>45974</v>
      </c>
      <c r="L185" s="294">
        <v>45981</v>
      </c>
      <c r="M185" s="284">
        <f>Table1[[#This Row],[Dep Date]]-Table1[[#This Row],[Arr Date]]</f>
        <v>7</v>
      </c>
      <c r="N185" s="323" t="s">
        <v>65</v>
      </c>
      <c r="O185" s="321">
        <v>1</v>
      </c>
      <c r="P185" s="321">
        <v>1</v>
      </c>
      <c r="Q185" s="321"/>
      <c r="R185" s="321"/>
      <c r="S185" s="321" t="s">
        <v>53</v>
      </c>
      <c r="T185" s="326" t="s">
        <v>1800</v>
      </c>
      <c r="U185" s="297"/>
      <c r="V185" s="294"/>
      <c r="W185" s="297">
        <v>0</v>
      </c>
      <c r="X185" s="294"/>
      <c r="Y185" s="329"/>
      <c r="Z185" s="329"/>
      <c r="AA185" s="332">
        <f>Table1[[#This Row],[Selling USD]]-Table1[[#This Row],[Cost USD]]</f>
        <v>0</v>
      </c>
      <c r="AB185" s="335">
        <f>67*7*0.9</f>
        <v>422.1</v>
      </c>
      <c r="AC185" s="298">
        <v>490</v>
      </c>
      <c r="AD185" s="299">
        <f>Table1[[#This Row],[Selling EUR]]-Table1[[#This Row],[Cost EUR]]</f>
        <v>67.899999999999977</v>
      </c>
      <c r="AE185" s="321" t="s">
        <v>54</v>
      </c>
      <c r="AF185" s="294">
        <v>45963</v>
      </c>
      <c r="AG185" s="294"/>
      <c r="AH185" s="321"/>
      <c r="AI185" s="323"/>
      <c r="AJ185" s="338"/>
      <c r="AK185" s="323"/>
      <c r="AL185" s="338"/>
      <c r="AM185" s="338"/>
      <c r="AN185" s="323"/>
      <c r="AO185" s="282"/>
      <c r="AP185" s="306"/>
      <c r="AQ185" s="282"/>
      <c r="AR185" s="282"/>
      <c r="AS185" s="282"/>
      <c r="AT185" s="281"/>
      <c r="AU185" s="281"/>
      <c r="AV185" s="281"/>
      <c r="AW185" s="281"/>
      <c r="AX185" s="281"/>
      <c r="AY185" s="281"/>
      <c r="AZ185" s="281"/>
    </row>
    <row r="186" spans="1:52" ht="15" customHeight="1" x14ac:dyDescent="0.3">
      <c r="A186" s="294">
        <v>45946</v>
      </c>
      <c r="B186" s="321" t="s">
        <v>47</v>
      </c>
      <c r="C186" s="321" t="s">
        <v>47</v>
      </c>
      <c r="D186" s="294" t="s">
        <v>79</v>
      </c>
      <c r="E186" s="321" t="s">
        <v>49</v>
      </c>
      <c r="F186" s="295">
        <v>14233018</v>
      </c>
      <c r="G186" s="296">
        <v>20303553</v>
      </c>
      <c r="H186" s="280" t="s">
        <v>84</v>
      </c>
      <c r="I186" s="323" t="s">
        <v>123</v>
      </c>
      <c r="J186" s="323" t="s">
        <v>2501</v>
      </c>
      <c r="K186" s="294">
        <v>46012</v>
      </c>
      <c r="L186" s="294">
        <v>46018</v>
      </c>
      <c r="M186" s="284">
        <f>Table1[[#This Row],[Dep Date]]-Table1[[#This Row],[Arr Date]]</f>
        <v>6</v>
      </c>
      <c r="N186" s="323" t="s">
        <v>52</v>
      </c>
      <c r="O186" s="321">
        <v>1</v>
      </c>
      <c r="P186" s="321">
        <v>2</v>
      </c>
      <c r="Q186" s="321"/>
      <c r="R186" s="321"/>
      <c r="S186" s="321" t="s">
        <v>53</v>
      </c>
      <c r="T186" s="327" t="s">
        <v>1801</v>
      </c>
      <c r="U186" s="297"/>
      <c r="V186" s="294"/>
      <c r="W186" s="297">
        <v>0</v>
      </c>
      <c r="X186" s="294"/>
      <c r="Y186" s="329"/>
      <c r="Z186" s="329"/>
      <c r="AA186" s="332">
        <f>Table1[[#This Row],[Selling USD]]-Table1[[#This Row],[Cost USD]]</f>
        <v>0</v>
      </c>
      <c r="AB186" s="335">
        <f>65*2*0.9*1+73*2*0.9*5</f>
        <v>774</v>
      </c>
      <c r="AC186" s="298">
        <v>781.74</v>
      </c>
      <c r="AD186" s="299">
        <f>Table1[[#This Row],[Selling EUR]]-Table1[[#This Row],[Cost EUR]]</f>
        <v>7.7400000000000091</v>
      </c>
      <c r="AE186" s="321" t="s">
        <v>54</v>
      </c>
      <c r="AF186" s="294">
        <v>46006</v>
      </c>
      <c r="AG186" s="294" t="s">
        <v>2304</v>
      </c>
      <c r="AH186" s="321"/>
      <c r="AI186" s="323"/>
      <c r="AJ186" s="338"/>
      <c r="AK186" s="323"/>
      <c r="AL186" s="338"/>
      <c r="AM186" s="338"/>
      <c r="AN186" s="323"/>
      <c r="AO186" s="282"/>
      <c r="AP186" s="306"/>
      <c r="AQ186" s="282"/>
      <c r="AR186" s="282"/>
      <c r="AS186" s="282"/>
      <c r="AT186" s="281"/>
      <c r="AU186" s="281"/>
      <c r="AV186" s="281"/>
      <c r="AW186" s="281"/>
      <c r="AX186" s="281"/>
      <c r="AY186" s="281"/>
      <c r="AZ186" s="281"/>
    </row>
    <row r="187" spans="1:52" ht="15" customHeight="1" x14ac:dyDescent="0.3">
      <c r="A187" s="294">
        <v>45946</v>
      </c>
      <c r="B187" s="321" t="s">
        <v>47</v>
      </c>
      <c r="C187" s="321" t="s">
        <v>47</v>
      </c>
      <c r="D187" s="294" t="s">
        <v>79</v>
      </c>
      <c r="E187" s="321" t="s">
        <v>49</v>
      </c>
      <c r="F187" s="295">
        <v>14225028</v>
      </c>
      <c r="G187" s="296">
        <v>20303549</v>
      </c>
      <c r="H187" s="280" t="s">
        <v>58</v>
      </c>
      <c r="I187" s="323" t="s">
        <v>59</v>
      </c>
      <c r="J187" s="323" t="s">
        <v>99</v>
      </c>
      <c r="K187" s="294">
        <v>46074</v>
      </c>
      <c r="L187" s="294">
        <v>46081</v>
      </c>
      <c r="M187" s="284">
        <f>Table1[[#This Row],[Dep Date]]-Table1[[#This Row],[Arr Date]]</f>
        <v>7</v>
      </c>
      <c r="N187" s="323" t="s">
        <v>52</v>
      </c>
      <c r="O187" s="321">
        <v>1</v>
      </c>
      <c r="P187" s="321">
        <v>2</v>
      </c>
      <c r="Q187" s="321"/>
      <c r="R187" s="321"/>
      <c r="S187" s="321" t="s">
        <v>53</v>
      </c>
      <c r="T187" s="326" t="s">
        <v>1802</v>
      </c>
      <c r="U187" s="297"/>
      <c r="V187" s="294"/>
      <c r="W187" s="297">
        <v>0</v>
      </c>
      <c r="X187" s="294"/>
      <c r="Y187" s="329"/>
      <c r="Z187" s="329"/>
      <c r="AA187" s="332">
        <f>Table1[[#This Row],[Selling USD]]-Table1[[#This Row],[Cost USD]]</f>
        <v>0</v>
      </c>
      <c r="AB187" s="335">
        <f>36*2*0.7*7</f>
        <v>352.8</v>
      </c>
      <c r="AC187" s="298">
        <v>356.33</v>
      </c>
      <c r="AD187" s="299">
        <f>Table1[[#This Row],[Selling EUR]]-Table1[[#This Row],[Cost EUR]]</f>
        <v>3.5299999999999727</v>
      </c>
      <c r="AE187" s="321" t="s">
        <v>54</v>
      </c>
      <c r="AF187" s="294">
        <v>46063</v>
      </c>
      <c r="AG187" s="294" t="s">
        <v>2291</v>
      </c>
      <c r="AH187" s="321"/>
      <c r="AI187" s="323"/>
      <c r="AJ187" s="338"/>
      <c r="AK187" s="323"/>
      <c r="AL187" s="338"/>
      <c r="AM187" s="338"/>
      <c r="AN187" s="323"/>
      <c r="AO187" s="282"/>
      <c r="AP187" s="306"/>
      <c r="AQ187" s="282"/>
      <c r="AR187" s="282"/>
      <c r="AS187" s="282"/>
      <c r="AT187" s="281"/>
      <c r="AU187" s="281"/>
      <c r="AV187" s="281"/>
      <c r="AW187" s="281"/>
      <c r="AX187" s="281"/>
      <c r="AY187" s="281"/>
      <c r="AZ187" s="281"/>
    </row>
    <row r="188" spans="1:52" ht="15" customHeight="1" x14ac:dyDescent="0.3">
      <c r="A188" s="294">
        <v>45947</v>
      </c>
      <c r="B188" s="321" t="s">
        <v>73</v>
      </c>
      <c r="C188" s="321" t="s">
        <v>73</v>
      </c>
      <c r="D188" s="294" t="s">
        <v>79</v>
      </c>
      <c r="E188" s="321" t="s">
        <v>106</v>
      </c>
      <c r="F188" s="295">
        <v>14237915</v>
      </c>
      <c r="G188" s="296">
        <v>20303554</v>
      </c>
      <c r="H188" s="280" t="s">
        <v>50</v>
      </c>
      <c r="I188" s="323" t="s">
        <v>82</v>
      </c>
      <c r="J188" s="323" t="s">
        <v>2529</v>
      </c>
      <c r="K188" s="294">
        <v>46037</v>
      </c>
      <c r="L188" s="294">
        <v>46040</v>
      </c>
      <c r="M188" s="284">
        <f>Table1[[#This Row],[Dep Date]]-Table1[[#This Row],[Arr Date]]</f>
        <v>3</v>
      </c>
      <c r="N188" s="323" t="s">
        <v>52</v>
      </c>
      <c r="O188" s="321">
        <v>1</v>
      </c>
      <c r="P188" s="321">
        <v>2</v>
      </c>
      <c r="Q188" s="321"/>
      <c r="R188" s="321"/>
      <c r="S188" s="321" t="s">
        <v>53</v>
      </c>
      <c r="T188" s="326" t="s">
        <v>1803</v>
      </c>
      <c r="U188" s="297"/>
      <c r="V188" s="294"/>
      <c r="W188" s="297">
        <v>0</v>
      </c>
      <c r="X188" s="294"/>
      <c r="Y188" s="329"/>
      <c r="Z188" s="329"/>
      <c r="AA188" s="332">
        <f>Table1[[#This Row],[Selling USD]]-Table1[[#This Row],[Cost USD]]</f>
        <v>0</v>
      </c>
      <c r="AB188" s="335"/>
      <c r="AC188" s="298"/>
      <c r="AD188" s="299">
        <f>Table1[[#This Row],[Selling EUR]]-Table1[[#This Row],[Cost EUR]]</f>
        <v>0</v>
      </c>
      <c r="AE188" s="321"/>
      <c r="AF188" s="294"/>
      <c r="AG188" s="294"/>
      <c r="AH188" s="321"/>
      <c r="AI188" s="323"/>
      <c r="AJ188" s="338"/>
      <c r="AK188" s="323"/>
      <c r="AL188" s="338"/>
      <c r="AM188" s="338"/>
      <c r="AN188" s="323"/>
      <c r="AO188" s="282"/>
      <c r="AP188" s="306"/>
      <c r="AQ188" s="282"/>
      <c r="AR188" s="282"/>
      <c r="AS188" s="282"/>
      <c r="AT188" s="281"/>
      <c r="AU188" s="281"/>
      <c r="AV188" s="281"/>
      <c r="AW188" s="281"/>
      <c r="AX188" s="281"/>
      <c r="AY188" s="281"/>
      <c r="AZ188" s="281"/>
    </row>
    <row r="189" spans="1:52" ht="15" customHeight="1" x14ac:dyDescent="0.3">
      <c r="A189" s="294">
        <v>45948</v>
      </c>
      <c r="B189" s="321" t="s">
        <v>47</v>
      </c>
      <c r="C189" s="321" t="s">
        <v>47</v>
      </c>
      <c r="D189" s="294" t="s">
        <v>48</v>
      </c>
      <c r="E189" s="321" t="s">
        <v>49</v>
      </c>
      <c r="F189" s="295">
        <v>17021109</v>
      </c>
      <c r="G189" s="296"/>
      <c r="H189" s="280" t="s">
        <v>50</v>
      </c>
      <c r="I189" s="323" t="s">
        <v>125</v>
      </c>
      <c r="J189" s="323" t="s">
        <v>2446</v>
      </c>
      <c r="K189" s="294">
        <v>46015</v>
      </c>
      <c r="L189" s="294">
        <v>46020</v>
      </c>
      <c r="M189" s="284">
        <f>Table1[[#This Row],[Dep Date]]-Table1[[#This Row],[Arr Date]]</f>
        <v>5</v>
      </c>
      <c r="N189" s="323" t="s">
        <v>52</v>
      </c>
      <c r="O189" s="321">
        <v>1</v>
      </c>
      <c r="P189" s="321">
        <v>2</v>
      </c>
      <c r="Q189" s="321"/>
      <c r="R189" s="321"/>
      <c r="S189" s="321" t="s">
        <v>53</v>
      </c>
      <c r="T189" s="326" t="s">
        <v>1804</v>
      </c>
      <c r="U189" s="297"/>
      <c r="V189" s="294"/>
      <c r="W189" s="297">
        <v>0</v>
      </c>
      <c r="X189" s="294"/>
      <c r="Y189" s="329"/>
      <c r="Z189" s="329"/>
      <c r="AA189" s="332">
        <f>Table1[[#This Row],[Selling USD]]-Table1[[#This Row],[Cost USD]]</f>
        <v>0</v>
      </c>
      <c r="AB189" s="335">
        <f>26*2*4+30*2*1</f>
        <v>268</v>
      </c>
      <c r="AC189" s="298">
        <v>288</v>
      </c>
      <c r="AD189" s="299">
        <f>Table1[[#This Row],[Selling EUR]]-Table1[[#This Row],[Cost EUR]]</f>
        <v>20</v>
      </c>
      <c r="AE189" s="321" t="s">
        <v>54</v>
      </c>
      <c r="AF189" s="294">
        <v>46012</v>
      </c>
      <c r="AG189" s="294" t="s">
        <v>2291</v>
      </c>
      <c r="AH189" s="321"/>
      <c r="AI189" s="323"/>
      <c r="AJ189" s="338"/>
      <c r="AK189" s="323"/>
      <c r="AL189" s="338"/>
      <c r="AM189" s="338"/>
      <c r="AN189" s="323"/>
      <c r="AO189" s="282"/>
      <c r="AP189" s="306"/>
      <c r="AQ189" s="282"/>
      <c r="AR189" s="282"/>
      <c r="AS189" s="282"/>
      <c r="AT189" s="281"/>
      <c r="AU189" s="281"/>
      <c r="AV189" s="281"/>
      <c r="AW189" s="281"/>
      <c r="AX189" s="281"/>
      <c r="AY189" s="281"/>
      <c r="AZ189" s="281"/>
    </row>
    <row r="190" spans="1:52" ht="15" customHeight="1" x14ac:dyDescent="0.3">
      <c r="A190" s="294">
        <v>45948</v>
      </c>
      <c r="B190" s="321" t="s">
        <v>47</v>
      </c>
      <c r="C190" s="321" t="s">
        <v>47</v>
      </c>
      <c r="D190" s="294" t="s">
        <v>79</v>
      </c>
      <c r="E190" s="321" t="s">
        <v>49</v>
      </c>
      <c r="F190" s="295">
        <v>14256639</v>
      </c>
      <c r="G190" s="296">
        <v>20303557</v>
      </c>
      <c r="H190" s="280" t="s">
        <v>84</v>
      </c>
      <c r="I190" s="323" t="s">
        <v>123</v>
      </c>
      <c r="J190" s="324" t="s">
        <v>2530</v>
      </c>
      <c r="K190" s="294">
        <v>46102</v>
      </c>
      <c r="L190" s="294">
        <v>46109</v>
      </c>
      <c r="M190" s="284">
        <f>Table1[[#This Row],[Dep Date]]-Table1[[#This Row],[Arr Date]]</f>
        <v>7</v>
      </c>
      <c r="N190" s="323" t="s">
        <v>65</v>
      </c>
      <c r="O190" s="321">
        <v>1</v>
      </c>
      <c r="P190" s="321">
        <v>2</v>
      </c>
      <c r="Q190" s="321">
        <v>1</v>
      </c>
      <c r="R190" s="321">
        <v>1</v>
      </c>
      <c r="S190" s="321" t="s">
        <v>53</v>
      </c>
      <c r="T190" s="326" t="s">
        <v>1805</v>
      </c>
      <c r="U190" s="297" t="s">
        <v>2258</v>
      </c>
      <c r="V190" s="294"/>
      <c r="W190" s="297">
        <v>0</v>
      </c>
      <c r="X190" s="294"/>
      <c r="Y190" s="329"/>
      <c r="Z190" s="329"/>
      <c r="AA190" s="332">
        <f>Table1[[#This Row],[Selling USD]]-Table1[[#This Row],[Cost USD]]</f>
        <v>0</v>
      </c>
      <c r="AB190" s="335">
        <f>62*1.5*0.9*7+65*1.5*0.9*7</f>
        <v>1200.1500000000001</v>
      </c>
      <c r="AC190" s="298">
        <v>1212.1500000000001</v>
      </c>
      <c r="AD190" s="299">
        <f>Table1[[#This Row],[Selling EUR]]-Table1[[#This Row],[Cost EUR]]</f>
        <v>12</v>
      </c>
      <c r="AE190" s="321" t="s">
        <v>54</v>
      </c>
      <c r="AF190" s="294">
        <v>46091</v>
      </c>
      <c r="AG190" s="294" t="s">
        <v>2304</v>
      </c>
      <c r="AH190" s="321"/>
      <c r="AI190" s="323"/>
      <c r="AJ190" s="338"/>
      <c r="AK190" s="323"/>
      <c r="AL190" s="338"/>
      <c r="AM190" s="338"/>
      <c r="AN190" s="323"/>
      <c r="AO190" s="282"/>
      <c r="AP190" s="306"/>
      <c r="AQ190" s="282"/>
      <c r="AR190" s="282"/>
      <c r="AS190" s="282"/>
      <c r="AT190" s="281"/>
      <c r="AU190" s="281"/>
      <c r="AV190" s="281"/>
      <c r="AW190" s="281"/>
      <c r="AX190" s="281"/>
      <c r="AY190" s="281"/>
      <c r="AZ190" s="281"/>
    </row>
    <row r="191" spans="1:52" ht="15" customHeight="1" x14ac:dyDescent="0.3">
      <c r="A191" s="294">
        <v>45949</v>
      </c>
      <c r="B191" s="321" t="s">
        <v>47</v>
      </c>
      <c r="C191" s="321" t="s">
        <v>47</v>
      </c>
      <c r="D191" s="294" t="s">
        <v>79</v>
      </c>
      <c r="E191" s="321" t="s">
        <v>106</v>
      </c>
      <c r="F191" s="295">
        <v>14269366</v>
      </c>
      <c r="G191" s="296">
        <v>20303561</v>
      </c>
      <c r="H191" s="280" t="s">
        <v>84</v>
      </c>
      <c r="I191" s="323" t="s">
        <v>131</v>
      </c>
      <c r="J191" s="323" t="s">
        <v>98</v>
      </c>
      <c r="K191" s="294">
        <v>45961</v>
      </c>
      <c r="L191" s="294">
        <v>45968</v>
      </c>
      <c r="M191" s="284">
        <f>Table1[[#This Row],[Dep Date]]-Table1[[#This Row],[Arr Date]]</f>
        <v>7</v>
      </c>
      <c r="N191" s="323" t="s">
        <v>65</v>
      </c>
      <c r="O191" s="321">
        <v>1</v>
      </c>
      <c r="P191" s="321">
        <v>1</v>
      </c>
      <c r="Q191" s="321"/>
      <c r="R191" s="321"/>
      <c r="S191" s="321" t="s">
        <v>53</v>
      </c>
      <c r="T191" s="326" t="s">
        <v>1806</v>
      </c>
      <c r="U191" s="297"/>
      <c r="V191" s="294"/>
      <c r="W191" s="297">
        <v>0</v>
      </c>
      <c r="X191" s="294"/>
      <c r="Y191" s="329">
        <f>45*1.6*1+36*1.6*6</f>
        <v>417.6</v>
      </c>
      <c r="Z191" s="329">
        <v>421.78</v>
      </c>
      <c r="AA191" s="332">
        <f>Table1[[#This Row],[Selling USD]]-Table1[[#This Row],[Cost USD]]</f>
        <v>4.17999999999995</v>
      </c>
      <c r="AB191" s="335"/>
      <c r="AC191" s="298"/>
      <c r="AD191" s="299">
        <f>Table1[[#This Row],[Selling EUR]]-Table1[[#This Row],[Cost EUR]]</f>
        <v>0</v>
      </c>
      <c r="AE191" s="321" t="s">
        <v>54</v>
      </c>
      <c r="AF191" s="294">
        <v>45956</v>
      </c>
      <c r="AG191" s="294"/>
      <c r="AH191" s="321"/>
      <c r="AI191" s="323"/>
      <c r="AJ191" s="338"/>
      <c r="AK191" s="323"/>
      <c r="AL191" s="338"/>
      <c r="AM191" s="338"/>
      <c r="AN191" s="323"/>
      <c r="AO191" s="282"/>
      <c r="AP191" s="306"/>
      <c r="AQ191" s="282"/>
      <c r="AR191" s="282"/>
      <c r="AS191" s="282"/>
      <c r="AT191" s="281"/>
      <c r="AU191" s="281"/>
      <c r="AV191" s="281"/>
      <c r="AW191" s="281"/>
      <c r="AX191" s="281"/>
      <c r="AY191" s="281"/>
      <c r="AZ191" s="281"/>
    </row>
    <row r="192" spans="1:52" ht="15" customHeight="1" x14ac:dyDescent="0.3">
      <c r="A192" s="294">
        <v>45949</v>
      </c>
      <c r="B192" s="321" t="s">
        <v>47</v>
      </c>
      <c r="C192" s="321" t="s">
        <v>47</v>
      </c>
      <c r="D192" s="294" t="s">
        <v>79</v>
      </c>
      <c r="E192" s="321" t="s">
        <v>49</v>
      </c>
      <c r="F192" s="295">
        <v>14272598</v>
      </c>
      <c r="G192" s="296">
        <v>20303562</v>
      </c>
      <c r="H192" s="280" t="s">
        <v>84</v>
      </c>
      <c r="I192" s="323" t="s">
        <v>123</v>
      </c>
      <c r="J192" s="323" t="s">
        <v>2501</v>
      </c>
      <c r="K192" s="294">
        <v>46011</v>
      </c>
      <c r="L192" s="294">
        <v>46023</v>
      </c>
      <c r="M192" s="284">
        <f>Table1[[#This Row],[Dep Date]]-Table1[[#This Row],[Arr Date]]</f>
        <v>12</v>
      </c>
      <c r="N192" s="323" t="s">
        <v>52</v>
      </c>
      <c r="O192" s="321">
        <v>1</v>
      </c>
      <c r="P192" s="321">
        <v>2</v>
      </c>
      <c r="Q192" s="321">
        <v>2</v>
      </c>
      <c r="R192" s="321"/>
      <c r="S192" s="321" t="s">
        <v>53</v>
      </c>
      <c r="T192" s="326" t="s">
        <v>1807</v>
      </c>
      <c r="U192" s="297" t="s">
        <v>2259</v>
      </c>
      <c r="V192" s="294"/>
      <c r="W192" s="297">
        <v>0</v>
      </c>
      <c r="X192" s="294"/>
      <c r="Y192" s="329"/>
      <c r="Z192" s="329"/>
      <c r="AA192" s="332">
        <f>Table1[[#This Row],[Selling USD]]-Table1[[#This Row],[Cost USD]]</f>
        <v>0</v>
      </c>
      <c r="AB192" s="335">
        <f>65*2*0.9*2+73*2*0.9*6+84*2*0.9*4+140*2+70</f>
        <v>1977.2000000000003</v>
      </c>
      <c r="AC192" s="298">
        <v>1993.47</v>
      </c>
      <c r="AD192" s="299">
        <f>Table1[[#This Row],[Selling EUR]]-Table1[[#This Row],[Cost EUR]]</f>
        <v>16.269999999999754</v>
      </c>
      <c r="AE192" s="321" t="s">
        <v>54</v>
      </c>
      <c r="AF192" s="294">
        <v>46002</v>
      </c>
      <c r="AG192" s="294" t="s">
        <v>2304</v>
      </c>
      <c r="AH192" s="321"/>
      <c r="AI192" s="323"/>
      <c r="AJ192" s="338"/>
      <c r="AK192" s="323"/>
      <c r="AL192" s="338"/>
      <c r="AM192" s="338"/>
      <c r="AN192" s="323"/>
      <c r="AO192" s="282"/>
      <c r="AP192" s="306"/>
      <c r="AQ192" s="282"/>
      <c r="AR192" s="282"/>
      <c r="AS192" s="282"/>
      <c r="AT192" s="281"/>
      <c r="AU192" s="281"/>
      <c r="AV192" s="281"/>
      <c r="AW192" s="281"/>
      <c r="AX192" s="281"/>
      <c r="AY192" s="281"/>
      <c r="AZ192" s="281"/>
    </row>
    <row r="193" spans="1:52" ht="15" customHeight="1" x14ac:dyDescent="0.3">
      <c r="A193" s="294">
        <v>45949</v>
      </c>
      <c r="B193" s="321" t="s">
        <v>73</v>
      </c>
      <c r="C193" s="321" t="s">
        <v>73</v>
      </c>
      <c r="D193" s="294" t="s">
        <v>79</v>
      </c>
      <c r="E193" s="321" t="s">
        <v>49</v>
      </c>
      <c r="F193" s="295">
        <v>14263938</v>
      </c>
      <c r="G193" s="296">
        <v>20303560</v>
      </c>
      <c r="H193" s="280" t="s">
        <v>50</v>
      </c>
      <c r="I193" s="323" t="s">
        <v>124</v>
      </c>
      <c r="J193" s="323" t="s">
        <v>1470</v>
      </c>
      <c r="K193" s="294">
        <v>46020</v>
      </c>
      <c r="L193" s="294">
        <v>46023</v>
      </c>
      <c r="M193" s="284">
        <f>Table1[[#This Row],[Dep Date]]-Table1[[#This Row],[Arr Date]]</f>
        <v>3</v>
      </c>
      <c r="N193" s="323" t="s">
        <v>65</v>
      </c>
      <c r="O193" s="321">
        <v>1</v>
      </c>
      <c r="P193" s="321">
        <v>1</v>
      </c>
      <c r="Q193" s="321"/>
      <c r="R193" s="321"/>
      <c r="S193" s="321" t="s">
        <v>53</v>
      </c>
      <c r="T193" s="326" t="s">
        <v>1808</v>
      </c>
      <c r="U193" s="297" t="s">
        <v>2251</v>
      </c>
      <c r="V193" s="294"/>
      <c r="W193" s="297">
        <v>0</v>
      </c>
      <c r="X193" s="294"/>
      <c r="Y193" s="329"/>
      <c r="Z193" s="329"/>
      <c r="AA193" s="332">
        <f>Table1[[#This Row],[Selling USD]]-Table1[[#This Row],[Cost USD]]</f>
        <v>0</v>
      </c>
      <c r="AB193" s="335">
        <f>144*0.69*3+252+126+50+40</f>
        <v>766.07999999999993</v>
      </c>
      <c r="AC193" s="298">
        <v>769.06</v>
      </c>
      <c r="AD193" s="299">
        <f>Table1[[#This Row],[Selling EUR]]-Table1[[#This Row],[Cost EUR]]</f>
        <v>2.9800000000000182</v>
      </c>
      <c r="AE193" s="321" t="s">
        <v>54</v>
      </c>
      <c r="AF193" s="294">
        <v>46012</v>
      </c>
      <c r="AG193" s="294" t="s">
        <v>2357</v>
      </c>
      <c r="AH193" s="321"/>
      <c r="AI193" s="323"/>
      <c r="AJ193" s="338"/>
      <c r="AK193" s="323"/>
      <c r="AL193" s="338"/>
      <c r="AM193" s="338"/>
      <c r="AN193" s="323"/>
      <c r="AO193" s="282"/>
      <c r="AP193" s="306"/>
      <c r="AQ193" s="282"/>
      <c r="AR193" s="282"/>
      <c r="AS193" s="282"/>
      <c r="AT193" s="281"/>
      <c r="AU193" s="281"/>
      <c r="AV193" s="281"/>
      <c r="AW193" s="281"/>
      <c r="AX193" s="281"/>
      <c r="AY193" s="281"/>
      <c r="AZ193" s="281"/>
    </row>
    <row r="194" spans="1:52" ht="15" customHeight="1" x14ac:dyDescent="0.3">
      <c r="A194" s="294">
        <v>45949</v>
      </c>
      <c r="B194" s="321" t="s">
        <v>73</v>
      </c>
      <c r="C194" s="321" t="s">
        <v>73</v>
      </c>
      <c r="D194" s="294" t="s">
        <v>79</v>
      </c>
      <c r="E194" s="321" t="s">
        <v>49</v>
      </c>
      <c r="F194" s="295">
        <v>14263864</v>
      </c>
      <c r="G194" s="296">
        <v>20303558</v>
      </c>
      <c r="H194" s="280" t="s">
        <v>50</v>
      </c>
      <c r="I194" s="323" t="s">
        <v>124</v>
      </c>
      <c r="J194" s="323" t="s">
        <v>1470</v>
      </c>
      <c r="K194" s="294">
        <v>46020</v>
      </c>
      <c r="L194" s="294">
        <v>46023</v>
      </c>
      <c r="M194" s="284">
        <f>Table1[[#This Row],[Dep Date]]-Table1[[#This Row],[Arr Date]]</f>
        <v>3</v>
      </c>
      <c r="N194" s="323" t="s">
        <v>52</v>
      </c>
      <c r="O194" s="321">
        <v>1</v>
      </c>
      <c r="P194" s="321">
        <v>2</v>
      </c>
      <c r="Q194" s="321">
        <v>1</v>
      </c>
      <c r="R194" s="321"/>
      <c r="S194" s="321" t="s">
        <v>53</v>
      </c>
      <c r="T194" s="326" t="s">
        <v>1809</v>
      </c>
      <c r="U194" s="297" t="s">
        <v>2251</v>
      </c>
      <c r="V194" s="294"/>
      <c r="W194" s="297">
        <v>0</v>
      </c>
      <c r="X194" s="294"/>
      <c r="Y194" s="329"/>
      <c r="Z194" s="329"/>
      <c r="AA194" s="332">
        <f>Table1[[#This Row],[Selling USD]]-Table1[[#This Row],[Cost USD]]</f>
        <v>0</v>
      </c>
      <c r="AB194" s="335">
        <f>96*2*0.69*3+252*2+126+50*2+40</f>
        <v>1167.44</v>
      </c>
      <c r="AC194" s="298">
        <v>1171.4100000000001</v>
      </c>
      <c r="AD194" s="299">
        <f>Table1[[#This Row],[Selling EUR]]-Table1[[#This Row],[Cost EUR]]</f>
        <v>3.9700000000000273</v>
      </c>
      <c r="AE194" s="321" t="s">
        <v>54</v>
      </c>
      <c r="AF194" s="294">
        <v>46012</v>
      </c>
      <c r="AG194" s="294" t="s">
        <v>2304</v>
      </c>
      <c r="AH194" s="321"/>
      <c r="AI194" s="323"/>
      <c r="AJ194" s="338"/>
      <c r="AK194" s="323"/>
      <c r="AL194" s="338"/>
      <c r="AM194" s="338"/>
      <c r="AN194" s="323"/>
      <c r="AO194" s="282"/>
      <c r="AP194" s="306"/>
      <c r="AQ194" s="282"/>
      <c r="AR194" s="282"/>
      <c r="AS194" s="282"/>
      <c r="AT194" s="281"/>
      <c r="AU194" s="281"/>
      <c r="AV194" s="281"/>
      <c r="AW194" s="281"/>
      <c r="AX194" s="281"/>
      <c r="AY194" s="281"/>
      <c r="AZ194" s="281"/>
    </row>
    <row r="195" spans="1:52" ht="15" customHeight="1" x14ac:dyDescent="0.3">
      <c r="A195" s="294">
        <v>45992</v>
      </c>
      <c r="B195" s="321" t="s">
        <v>47</v>
      </c>
      <c r="C195" s="321" t="s">
        <v>47</v>
      </c>
      <c r="D195" s="294" t="s">
        <v>79</v>
      </c>
      <c r="E195" s="321" t="s">
        <v>49</v>
      </c>
      <c r="F195" s="295">
        <v>14849795</v>
      </c>
      <c r="G195" s="296">
        <v>20303634</v>
      </c>
      <c r="H195" s="280" t="s">
        <v>50</v>
      </c>
      <c r="I195" s="323" t="s">
        <v>124</v>
      </c>
      <c r="J195" s="323" t="s">
        <v>1470</v>
      </c>
      <c r="K195" s="294">
        <v>46020</v>
      </c>
      <c r="L195" s="294">
        <v>46023</v>
      </c>
      <c r="M195" s="284">
        <f>Table1[[#This Row],[Dep Date]]-Table1[[#This Row],[Arr Date]]</f>
        <v>3</v>
      </c>
      <c r="N195" s="323" t="s">
        <v>65</v>
      </c>
      <c r="O195" s="321">
        <v>1</v>
      </c>
      <c r="P195" s="321">
        <v>1</v>
      </c>
      <c r="Q195" s="321">
        <v>1</v>
      </c>
      <c r="R195" s="321"/>
      <c r="S195" s="321" t="s">
        <v>53</v>
      </c>
      <c r="T195" s="326" t="s">
        <v>1808</v>
      </c>
      <c r="U195" s="297">
        <v>12</v>
      </c>
      <c r="V195" s="294">
        <v>41608</v>
      </c>
      <c r="W195" s="297">
        <v>0</v>
      </c>
      <c r="X195" s="294"/>
      <c r="Y195" s="329"/>
      <c r="Z195" s="329"/>
      <c r="AA195" s="332">
        <f>Table1[[#This Row],[Selling USD]]-Table1[[#This Row],[Cost USD]]</f>
        <v>0</v>
      </c>
      <c r="AB195" s="335">
        <f>144*0.7*3+252*0.8+126*0.8+50+40</f>
        <v>694.8</v>
      </c>
      <c r="AC195" s="298">
        <v>728.06</v>
      </c>
      <c r="AD195" s="299">
        <f>Table1[[#This Row],[Selling EUR]]-Table1[[#This Row],[Cost EUR]]</f>
        <v>33.259999999999991</v>
      </c>
      <c r="AE195" s="321" t="s">
        <v>54</v>
      </c>
      <c r="AF195" s="294" t="s">
        <v>2260</v>
      </c>
      <c r="AG195" s="294"/>
      <c r="AH195" s="321"/>
      <c r="AI195" s="323"/>
      <c r="AJ195" s="338"/>
      <c r="AK195" s="323"/>
      <c r="AL195" s="338"/>
      <c r="AM195" s="338"/>
      <c r="AN195" s="323"/>
      <c r="AO195" s="282"/>
      <c r="AP195" s="306"/>
      <c r="AQ195" s="282"/>
      <c r="AR195" s="282"/>
      <c r="AS195" s="282"/>
      <c r="AT195" s="281"/>
      <c r="AU195" s="281"/>
      <c r="AV195" s="281"/>
      <c r="AW195" s="281"/>
      <c r="AX195" s="281"/>
      <c r="AY195" s="281"/>
      <c r="AZ195" s="281"/>
    </row>
    <row r="196" spans="1:52" ht="15" customHeight="1" x14ac:dyDescent="0.3">
      <c r="A196" s="294">
        <v>45950</v>
      </c>
      <c r="B196" s="321" t="s">
        <v>47</v>
      </c>
      <c r="C196" s="321" t="s">
        <v>47</v>
      </c>
      <c r="D196" s="294" t="s">
        <v>79</v>
      </c>
      <c r="E196" s="321" t="s">
        <v>106</v>
      </c>
      <c r="F196" s="295">
        <v>14282379</v>
      </c>
      <c r="G196" s="296">
        <v>20303563</v>
      </c>
      <c r="H196" s="280" t="s">
        <v>50</v>
      </c>
      <c r="I196" s="323" t="s">
        <v>55</v>
      </c>
      <c r="J196" s="323" t="s">
        <v>99</v>
      </c>
      <c r="K196" s="294">
        <v>45964</v>
      </c>
      <c r="L196" s="294">
        <v>45969</v>
      </c>
      <c r="M196" s="284">
        <f>Table1[[#This Row],[Dep Date]]-Table1[[#This Row],[Arr Date]]</f>
        <v>5</v>
      </c>
      <c r="N196" s="323" t="s">
        <v>52</v>
      </c>
      <c r="O196" s="321">
        <v>1</v>
      </c>
      <c r="P196" s="321">
        <v>2</v>
      </c>
      <c r="Q196" s="321"/>
      <c r="R196" s="321"/>
      <c r="S196" s="321" t="s">
        <v>53</v>
      </c>
      <c r="T196" s="326" t="s">
        <v>1810</v>
      </c>
      <c r="U196" s="297"/>
      <c r="V196" s="294"/>
      <c r="W196" s="297">
        <v>0</v>
      </c>
      <c r="X196" s="294"/>
      <c r="Y196" s="329">
        <f>59*2*5</f>
        <v>590</v>
      </c>
      <c r="Z196" s="329">
        <v>595.9</v>
      </c>
      <c r="AA196" s="332">
        <f>Table1[[#This Row],[Selling USD]]-Table1[[#This Row],[Cost USD]]</f>
        <v>5.8999999999999773</v>
      </c>
      <c r="AB196" s="335"/>
      <c r="AC196" s="298"/>
      <c r="AD196" s="299">
        <f>Table1[[#This Row],[Selling EUR]]-Table1[[#This Row],[Cost EUR]]</f>
        <v>0</v>
      </c>
      <c r="AE196" s="321" t="s">
        <v>54</v>
      </c>
      <c r="AF196" s="294">
        <v>45956</v>
      </c>
      <c r="AG196" s="294"/>
      <c r="AH196" s="321"/>
      <c r="AI196" s="323"/>
      <c r="AJ196" s="338"/>
      <c r="AK196" s="323"/>
      <c r="AL196" s="338"/>
      <c r="AM196" s="338"/>
      <c r="AN196" s="323"/>
      <c r="AO196" s="282"/>
      <c r="AP196" s="306"/>
      <c r="AQ196" s="282"/>
      <c r="AR196" s="282"/>
      <c r="AS196" s="282"/>
      <c r="AT196" s="281"/>
      <c r="AU196" s="281"/>
      <c r="AV196" s="281"/>
      <c r="AW196" s="281"/>
      <c r="AX196" s="281"/>
      <c r="AY196" s="281"/>
      <c r="AZ196" s="281"/>
    </row>
    <row r="197" spans="1:52" ht="15" customHeight="1" x14ac:dyDescent="0.3">
      <c r="A197" s="294">
        <v>45950</v>
      </c>
      <c r="B197" s="321" t="s">
        <v>47</v>
      </c>
      <c r="C197" s="321" t="s">
        <v>47</v>
      </c>
      <c r="D197" s="294" t="s">
        <v>79</v>
      </c>
      <c r="E197" s="321" t="s">
        <v>61</v>
      </c>
      <c r="F197" s="295">
        <v>14286651</v>
      </c>
      <c r="G197" s="296">
        <v>20303565</v>
      </c>
      <c r="H197" s="280" t="s">
        <v>50</v>
      </c>
      <c r="I197" s="323" t="s">
        <v>127</v>
      </c>
      <c r="J197" s="323" t="s">
        <v>1554</v>
      </c>
      <c r="K197" s="294">
        <v>46006</v>
      </c>
      <c r="L197" s="294">
        <v>46020</v>
      </c>
      <c r="M197" s="284">
        <f>Table1[[#This Row],[Dep Date]]-Table1[[#This Row],[Arr Date]]</f>
        <v>14</v>
      </c>
      <c r="N197" s="323" t="s">
        <v>65</v>
      </c>
      <c r="O197" s="321">
        <v>1</v>
      </c>
      <c r="P197" s="321">
        <v>1</v>
      </c>
      <c r="Q197" s="321">
        <v>1</v>
      </c>
      <c r="R197" s="321"/>
      <c r="S197" s="321" t="s">
        <v>53</v>
      </c>
      <c r="T197" s="326" t="s">
        <v>1811</v>
      </c>
      <c r="U197" s="297" t="s">
        <v>2261</v>
      </c>
      <c r="V197" s="294"/>
      <c r="W197" s="297">
        <v>0</v>
      </c>
      <c r="X197" s="294"/>
      <c r="Y197" s="329">
        <f>90*1*0.75*9+127.5*0.7*5+80*1+40</f>
        <v>1173.75</v>
      </c>
      <c r="Z197" s="329">
        <v>1184.29</v>
      </c>
      <c r="AA197" s="332">
        <f>Table1[[#This Row],[Selling USD]]-Table1[[#This Row],[Cost USD]]</f>
        <v>10.539999999999964</v>
      </c>
      <c r="AB197" s="335"/>
      <c r="AC197" s="298"/>
      <c r="AD197" s="299">
        <f>Table1[[#This Row],[Selling EUR]]-Table1[[#This Row],[Cost EUR]]</f>
        <v>0</v>
      </c>
      <c r="AE197" s="321" t="s">
        <v>54</v>
      </c>
      <c r="AF197" s="294">
        <v>45998</v>
      </c>
      <c r="AG197" s="294" t="s">
        <v>2376</v>
      </c>
      <c r="AH197" s="321"/>
      <c r="AI197" s="323"/>
      <c r="AJ197" s="338"/>
      <c r="AK197" s="323"/>
      <c r="AL197" s="338"/>
      <c r="AM197" s="338"/>
      <c r="AN197" s="323"/>
      <c r="AO197" s="282"/>
      <c r="AP197" s="306"/>
      <c r="AQ197" s="282"/>
      <c r="AR197" s="282"/>
      <c r="AS197" s="282"/>
      <c r="AT197" s="281"/>
      <c r="AU197" s="281"/>
      <c r="AV197" s="281"/>
      <c r="AW197" s="281"/>
      <c r="AX197" s="281"/>
      <c r="AY197" s="281"/>
      <c r="AZ197" s="281"/>
    </row>
    <row r="198" spans="1:52" ht="15" customHeight="1" x14ac:dyDescent="0.3">
      <c r="A198" s="294">
        <v>45951</v>
      </c>
      <c r="B198" s="321" t="s">
        <v>47</v>
      </c>
      <c r="C198" s="321" t="s">
        <v>47</v>
      </c>
      <c r="D198" s="294" t="s">
        <v>79</v>
      </c>
      <c r="E198" s="321" t="s">
        <v>49</v>
      </c>
      <c r="F198" s="295">
        <v>14294871</v>
      </c>
      <c r="G198" s="296">
        <v>20303566</v>
      </c>
      <c r="H198" s="280" t="s">
        <v>50</v>
      </c>
      <c r="I198" s="323" t="s">
        <v>120</v>
      </c>
      <c r="J198" s="323" t="s">
        <v>2531</v>
      </c>
      <c r="K198" s="294">
        <v>45966</v>
      </c>
      <c r="L198" s="294">
        <v>45969</v>
      </c>
      <c r="M198" s="284">
        <f>Table1[[#This Row],[Dep Date]]-Table1[[#This Row],[Arr Date]]</f>
        <v>3</v>
      </c>
      <c r="N198" s="323" t="s">
        <v>65</v>
      </c>
      <c r="O198" s="321">
        <v>1</v>
      </c>
      <c r="P198" s="321">
        <v>1</v>
      </c>
      <c r="Q198" s="321"/>
      <c r="R198" s="321"/>
      <c r="S198" s="321" t="s">
        <v>53</v>
      </c>
      <c r="T198" s="326" t="s">
        <v>1812</v>
      </c>
      <c r="U198" s="297"/>
      <c r="V198" s="294"/>
      <c r="W198" s="297">
        <v>0</v>
      </c>
      <c r="X198" s="294"/>
      <c r="Y198" s="329">
        <f>82.5*0.7*3</f>
        <v>173.24999999999997</v>
      </c>
      <c r="Z198" s="329">
        <v>181.91</v>
      </c>
      <c r="AA198" s="332">
        <f>Table1[[#This Row],[Selling USD]]-Table1[[#This Row],[Cost USD]]</f>
        <v>8.660000000000025</v>
      </c>
      <c r="AB198" s="335"/>
      <c r="AC198" s="298"/>
      <c r="AD198" s="299">
        <f>Table1[[#This Row],[Selling EUR]]-Table1[[#This Row],[Cost EUR]]</f>
        <v>0</v>
      </c>
      <c r="AE198" s="321" t="s">
        <v>54</v>
      </c>
      <c r="AF198" s="294">
        <v>45963</v>
      </c>
      <c r="AG198" s="294" t="s">
        <v>2289</v>
      </c>
      <c r="AH198" s="321"/>
      <c r="AI198" s="323"/>
      <c r="AJ198" s="338"/>
      <c r="AK198" s="323"/>
      <c r="AL198" s="338"/>
      <c r="AM198" s="338"/>
      <c r="AN198" s="323"/>
      <c r="AO198" s="282"/>
      <c r="AP198" s="306"/>
      <c r="AQ198" s="282"/>
      <c r="AR198" s="282"/>
      <c r="AS198" s="282"/>
      <c r="AT198" s="281"/>
      <c r="AU198" s="281"/>
      <c r="AV198" s="281"/>
      <c r="AW198" s="281"/>
      <c r="AX198" s="281"/>
      <c r="AY198" s="281"/>
      <c r="AZ198" s="281"/>
    </row>
    <row r="199" spans="1:52" ht="15" customHeight="1" x14ac:dyDescent="0.3">
      <c r="A199" s="294">
        <v>45951</v>
      </c>
      <c r="B199" s="321" t="s">
        <v>47</v>
      </c>
      <c r="C199" s="321" t="s">
        <v>47</v>
      </c>
      <c r="D199" s="294" t="s">
        <v>48</v>
      </c>
      <c r="E199" s="321" t="s">
        <v>61</v>
      </c>
      <c r="F199" s="295">
        <v>17025422</v>
      </c>
      <c r="G199" s="296"/>
      <c r="H199" s="280" t="s">
        <v>50</v>
      </c>
      <c r="I199" s="323" t="s">
        <v>108</v>
      </c>
      <c r="J199" s="323" t="s">
        <v>2532</v>
      </c>
      <c r="K199" s="294">
        <v>45967</v>
      </c>
      <c r="L199" s="294">
        <v>45971</v>
      </c>
      <c r="M199" s="284">
        <f>Table1[[#This Row],[Dep Date]]-Table1[[#This Row],[Arr Date]]</f>
        <v>4</v>
      </c>
      <c r="N199" s="323" t="s">
        <v>52</v>
      </c>
      <c r="O199" s="321">
        <v>1</v>
      </c>
      <c r="P199" s="321">
        <v>2</v>
      </c>
      <c r="Q199" s="321"/>
      <c r="R199" s="321"/>
      <c r="S199" s="321" t="s">
        <v>53</v>
      </c>
      <c r="T199" s="326" t="s">
        <v>1813</v>
      </c>
      <c r="U199" s="297"/>
      <c r="V199" s="294"/>
      <c r="W199" s="297">
        <v>0</v>
      </c>
      <c r="X199" s="294"/>
      <c r="Y199" s="329">
        <f>57*2*4</f>
        <v>456</v>
      </c>
      <c r="Z199" s="329">
        <v>480</v>
      </c>
      <c r="AA199" s="332">
        <f>Table1[[#This Row],[Selling USD]]-Table1[[#This Row],[Cost USD]]</f>
        <v>24</v>
      </c>
      <c r="AB199" s="335"/>
      <c r="AC199" s="298"/>
      <c r="AD199" s="299">
        <f>Table1[[#This Row],[Selling EUR]]-Table1[[#This Row],[Cost EUR]]</f>
        <v>0</v>
      </c>
      <c r="AE199" s="321" t="s">
        <v>54</v>
      </c>
      <c r="AF199" s="294">
        <v>45957</v>
      </c>
      <c r="AG199" s="294"/>
      <c r="AH199" s="321"/>
      <c r="AI199" s="323"/>
      <c r="AJ199" s="338"/>
      <c r="AK199" s="323"/>
      <c r="AL199" s="338"/>
      <c r="AM199" s="338"/>
      <c r="AN199" s="323"/>
      <c r="AO199" s="282"/>
      <c r="AP199" s="306"/>
      <c r="AQ199" s="282"/>
      <c r="AR199" s="282"/>
      <c r="AS199" s="282"/>
      <c r="AT199" s="281"/>
      <c r="AU199" s="281"/>
      <c r="AV199" s="281"/>
      <c r="AW199" s="281"/>
      <c r="AX199" s="281"/>
      <c r="AY199" s="281"/>
      <c r="AZ199" s="281"/>
    </row>
    <row r="200" spans="1:52" ht="15" customHeight="1" x14ac:dyDescent="0.3">
      <c r="A200" s="294">
        <v>45951</v>
      </c>
      <c r="B200" s="321" t="s">
        <v>47</v>
      </c>
      <c r="C200" s="321" t="s">
        <v>47</v>
      </c>
      <c r="D200" s="294" t="s">
        <v>79</v>
      </c>
      <c r="E200" s="321" t="s">
        <v>49</v>
      </c>
      <c r="F200" s="295">
        <v>14298436</v>
      </c>
      <c r="G200" s="296">
        <v>20303567</v>
      </c>
      <c r="H200" s="280" t="s">
        <v>58</v>
      </c>
      <c r="I200" s="323" t="s">
        <v>59</v>
      </c>
      <c r="J200" s="323" t="s">
        <v>2501</v>
      </c>
      <c r="K200" s="294">
        <v>45992</v>
      </c>
      <c r="L200" s="294">
        <v>45999</v>
      </c>
      <c r="M200" s="284">
        <f>Table1[[#This Row],[Dep Date]]-Table1[[#This Row],[Arr Date]]</f>
        <v>7</v>
      </c>
      <c r="N200" s="323" t="s">
        <v>52</v>
      </c>
      <c r="O200" s="321">
        <v>1</v>
      </c>
      <c r="P200" s="321">
        <v>2</v>
      </c>
      <c r="Q200" s="321"/>
      <c r="R200" s="321"/>
      <c r="S200" s="321" t="s">
        <v>53</v>
      </c>
      <c r="T200" s="326" t="s">
        <v>1814</v>
      </c>
      <c r="U200" s="297"/>
      <c r="V200" s="294"/>
      <c r="W200" s="297">
        <v>0</v>
      </c>
      <c r="X200" s="294"/>
      <c r="Y200" s="329"/>
      <c r="Z200" s="329"/>
      <c r="AA200" s="332">
        <f>Table1[[#This Row],[Selling USD]]-Table1[[#This Row],[Cost USD]]</f>
        <v>0</v>
      </c>
      <c r="AB200" s="335">
        <f>41*2*0.7*7</f>
        <v>401.8</v>
      </c>
      <c r="AC200" s="298">
        <v>425.61</v>
      </c>
      <c r="AD200" s="299">
        <f>Table1[[#This Row],[Selling EUR]]-Table1[[#This Row],[Cost EUR]]</f>
        <v>23.810000000000002</v>
      </c>
      <c r="AE200" s="321" t="s">
        <v>54</v>
      </c>
      <c r="AF200" s="294">
        <v>45986</v>
      </c>
      <c r="AG200" s="294"/>
      <c r="AH200" s="321"/>
      <c r="AI200" s="323"/>
      <c r="AJ200" s="338"/>
      <c r="AK200" s="323"/>
      <c r="AL200" s="338"/>
      <c r="AM200" s="338"/>
      <c r="AN200" s="323"/>
      <c r="AO200" s="282"/>
      <c r="AP200" s="306"/>
      <c r="AQ200" s="282"/>
      <c r="AR200" s="282"/>
      <c r="AS200" s="282"/>
      <c r="AT200" s="281"/>
      <c r="AU200" s="281"/>
      <c r="AV200" s="281"/>
      <c r="AW200" s="281"/>
      <c r="AX200" s="281"/>
      <c r="AY200" s="281"/>
      <c r="AZ200" s="281"/>
    </row>
    <row r="201" spans="1:52" ht="15" customHeight="1" x14ac:dyDescent="0.3">
      <c r="A201" s="294">
        <v>45952</v>
      </c>
      <c r="B201" s="321" t="s">
        <v>73</v>
      </c>
      <c r="C201" s="321" t="s">
        <v>73</v>
      </c>
      <c r="D201" s="294" t="s">
        <v>79</v>
      </c>
      <c r="E201" s="321" t="s">
        <v>49</v>
      </c>
      <c r="F201" s="295">
        <v>14314389</v>
      </c>
      <c r="G201" s="296">
        <v>20303568</v>
      </c>
      <c r="H201" s="280" t="s">
        <v>50</v>
      </c>
      <c r="I201" s="323" t="s">
        <v>125</v>
      </c>
      <c r="J201" s="323" t="s">
        <v>2516</v>
      </c>
      <c r="K201" s="294">
        <v>46013</v>
      </c>
      <c r="L201" s="294">
        <v>46020</v>
      </c>
      <c r="M201" s="284">
        <f>Table1[[#This Row],[Dep Date]]-Table1[[#This Row],[Arr Date]]</f>
        <v>7</v>
      </c>
      <c r="N201" s="323" t="s">
        <v>52</v>
      </c>
      <c r="O201" s="321">
        <v>1</v>
      </c>
      <c r="P201" s="321">
        <v>2</v>
      </c>
      <c r="Q201" s="321"/>
      <c r="R201" s="321"/>
      <c r="S201" s="321" t="s">
        <v>53</v>
      </c>
      <c r="T201" s="326" t="s">
        <v>1815</v>
      </c>
      <c r="U201" s="297"/>
      <c r="V201" s="294"/>
      <c r="W201" s="297">
        <v>0</v>
      </c>
      <c r="X201" s="294"/>
      <c r="Y201" s="329"/>
      <c r="Z201" s="329"/>
      <c r="AA201" s="332">
        <f>Table1[[#This Row],[Selling USD]]-Table1[[#This Row],[Cost USD]]</f>
        <v>0</v>
      </c>
      <c r="AB201" s="335"/>
      <c r="AC201" s="298"/>
      <c r="AD201" s="299">
        <f>Table1[[#This Row],[Selling EUR]]-Table1[[#This Row],[Cost EUR]]</f>
        <v>0</v>
      </c>
      <c r="AE201" s="321"/>
      <c r="AF201" s="294"/>
      <c r="AG201" s="294"/>
      <c r="AH201" s="321"/>
      <c r="AI201" s="323"/>
      <c r="AJ201" s="338"/>
      <c r="AK201" s="323"/>
      <c r="AL201" s="338"/>
      <c r="AM201" s="338"/>
      <c r="AN201" s="323"/>
      <c r="AO201" s="282"/>
      <c r="AP201" s="306"/>
      <c r="AQ201" s="282"/>
      <c r="AR201" s="282"/>
      <c r="AS201" s="282"/>
      <c r="AT201" s="281"/>
      <c r="AU201" s="281"/>
      <c r="AV201" s="281"/>
      <c r="AW201" s="281"/>
      <c r="AX201" s="281"/>
      <c r="AY201" s="281"/>
      <c r="AZ201" s="281"/>
    </row>
    <row r="202" spans="1:52" ht="15" customHeight="1" x14ac:dyDescent="0.3">
      <c r="A202" s="294">
        <v>45952</v>
      </c>
      <c r="B202" s="321" t="s">
        <v>47</v>
      </c>
      <c r="C202" s="321" t="s">
        <v>47</v>
      </c>
      <c r="D202" s="294" t="s">
        <v>79</v>
      </c>
      <c r="E202" s="321" t="s">
        <v>49</v>
      </c>
      <c r="F202" s="295">
        <v>14315126</v>
      </c>
      <c r="G202" s="296">
        <v>20303571</v>
      </c>
      <c r="H202" s="280" t="s">
        <v>84</v>
      </c>
      <c r="I202" s="323" t="s">
        <v>123</v>
      </c>
      <c r="J202" s="323" t="s">
        <v>2501</v>
      </c>
      <c r="K202" s="294">
        <v>46020</v>
      </c>
      <c r="L202" s="294">
        <v>46027</v>
      </c>
      <c r="M202" s="284">
        <f>Table1[[#This Row],[Dep Date]]-Table1[[#This Row],[Arr Date]]</f>
        <v>7</v>
      </c>
      <c r="N202" s="323" t="s">
        <v>52</v>
      </c>
      <c r="O202" s="321">
        <v>1</v>
      </c>
      <c r="P202" s="321">
        <v>2</v>
      </c>
      <c r="Q202" s="321"/>
      <c r="R202" s="321"/>
      <c r="S202" s="321" t="s">
        <v>53</v>
      </c>
      <c r="T202" s="326" t="s">
        <v>1816</v>
      </c>
      <c r="U202" s="297"/>
      <c r="V202" s="294"/>
      <c r="W202" s="297">
        <v>0</v>
      </c>
      <c r="X202" s="294"/>
      <c r="Y202" s="329"/>
      <c r="Z202" s="329"/>
      <c r="AA202" s="332">
        <f>Table1[[#This Row],[Selling USD]]-Table1[[#This Row],[Cost USD]]</f>
        <v>0</v>
      </c>
      <c r="AB202" s="335">
        <f>84*2*0.9*5+72*2*0.9*2+140*2</f>
        <v>1295.2</v>
      </c>
      <c r="AC202" s="298">
        <v>1305.3499999999999</v>
      </c>
      <c r="AD202" s="299">
        <f>Table1[[#This Row],[Selling EUR]]-Table1[[#This Row],[Cost EUR]]</f>
        <v>10.149999999999864</v>
      </c>
      <c r="AE202" s="321" t="s">
        <v>54</v>
      </c>
      <c r="AF202" s="294">
        <v>46012</v>
      </c>
      <c r="AG202" s="294" t="s">
        <v>2304</v>
      </c>
      <c r="AH202" s="321"/>
      <c r="AI202" s="323"/>
      <c r="AJ202" s="338"/>
      <c r="AK202" s="323"/>
      <c r="AL202" s="338"/>
      <c r="AM202" s="338"/>
      <c r="AN202" s="323"/>
      <c r="AO202" s="282"/>
      <c r="AP202" s="306"/>
      <c r="AQ202" s="282"/>
      <c r="AR202" s="282"/>
      <c r="AS202" s="282"/>
      <c r="AT202" s="281"/>
      <c r="AU202" s="281"/>
      <c r="AV202" s="281"/>
      <c r="AW202" s="281"/>
      <c r="AX202" s="281"/>
      <c r="AY202" s="281"/>
      <c r="AZ202" s="281"/>
    </row>
    <row r="203" spans="1:52" ht="15" customHeight="1" x14ac:dyDescent="0.3">
      <c r="A203" s="294">
        <v>45952</v>
      </c>
      <c r="B203" s="321" t="s">
        <v>73</v>
      </c>
      <c r="C203" s="321" t="s">
        <v>73</v>
      </c>
      <c r="D203" s="294" t="s">
        <v>79</v>
      </c>
      <c r="E203" s="321" t="s">
        <v>49</v>
      </c>
      <c r="F203" s="295">
        <v>14314802</v>
      </c>
      <c r="G203" s="296">
        <v>20303569</v>
      </c>
      <c r="H203" s="280" t="s">
        <v>84</v>
      </c>
      <c r="I203" s="323" t="s">
        <v>123</v>
      </c>
      <c r="J203" s="323" t="s">
        <v>2533</v>
      </c>
      <c r="K203" s="294">
        <v>46020</v>
      </c>
      <c r="L203" s="294">
        <v>46027</v>
      </c>
      <c r="M203" s="284">
        <f>Table1[[#This Row],[Dep Date]]-Table1[[#This Row],[Arr Date]]</f>
        <v>7</v>
      </c>
      <c r="N203" s="323" t="s">
        <v>52</v>
      </c>
      <c r="O203" s="321">
        <v>1</v>
      </c>
      <c r="P203" s="321">
        <v>2</v>
      </c>
      <c r="Q203" s="321"/>
      <c r="R203" s="321"/>
      <c r="S203" s="321" t="s">
        <v>53</v>
      </c>
      <c r="T203" s="326" t="s">
        <v>1817</v>
      </c>
      <c r="U203" s="297"/>
      <c r="V203" s="294"/>
      <c r="W203" s="297">
        <v>0</v>
      </c>
      <c r="X203" s="294"/>
      <c r="Y203" s="329"/>
      <c r="Z203" s="329"/>
      <c r="AA203" s="332">
        <f>Table1[[#This Row],[Selling USD]]-Table1[[#This Row],[Cost USD]]</f>
        <v>0</v>
      </c>
      <c r="AB203" s="335"/>
      <c r="AC203" s="298"/>
      <c r="AD203" s="299">
        <f>Table1[[#This Row],[Selling EUR]]-Table1[[#This Row],[Cost EUR]]</f>
        <v>0</v>
      </c>
      <c r="AE203" s="321"/>
      <c r="AF203" s="294"/>
      <c r="AG203" s="294"/>
      <c r="AH203" s="321"/>
      <c r="AI203" s="323"/>
      <c r="AJ203" s="338"/>
      <c r="AK203" s="323"/>
      <c r="AL203" s="338"/>
      <c r="AM203" s="338"/>
      <c r="AN203" s="323"/>
      <c r="AO203" s="282"/>
      <c r="AP203" s="306"/>
      <c r="AQ203" s="282"/>
      <c r="AR203" s="282"/>
      <c r="AS203" s="282"/>
      <c r="AT203" s="281"/>
      <c r="AU203" s="281"/>
      <c r="AV203" s="281"/>
      <c r="AW203" s="281"/>
      <c r="AX203" s="281"/>
      <c r="AY203" s="281"/>
      <c r="AZ203" s="281"/>
    </row>
    <row r="204" spans="1:52" ht="15" customHeight="1" x14ac:dyDescent="0.3">
      <c r="A204" s="294">
        <v>45952</v>
      </c>
      <c r="B204" s="321" t="s">
        <v>47</v>
      </c>
      <c r="C204" s="321" t="s">
        <v>47</v>
      </c>
      <c r="D204" s="294" t="s">
        <v>79</v>
      </c>
      <c r="E204" s="321" t="s">
        <v>49</v>
      </c>
      <c r="F204" s="295">
        <v>14314969</v>
      </c>
      <c r="G204" s="296">
        <v>20303570</v>
      </c>
      <c r="H204" s="280" t="s">
        <v>84</v>
      </c>
      <c r="I204" s="323" t="s">
        <v>123</v>
      </c>
      <c r="J204" s="323" t="s">
        <v>2501</v>
      </c>
      <c r="K204" s="294">
        <v>46020</v>
      </c>
      <c r="L204" s="294">
        <v>46027</v>
      </c>
      <c r="M204" s="284">
        <f>Table1[[#This Row],[Dep Date]]-Table1[[#This Row],[Arr Date]]</f>
        <v>7</v>
      </c>
      <c r="N204" s="323" t="s">
        <v>70</v>
      </c>
      <c r="O204" s="321">
        <v>1</v>
      </c>
      <c r="P204" s="321">
        <v>3</v>
      </c>
      <c r="Q204" s="321"/>
      <c r="R204" s="321"/>
      <c r="S204" s="321" t="s">
        <v>53</v>
      </c>
      <c r="T204" s="326" t="s">
        <v>1818</v>
      </c>
      <c r="U204" s="297"/>
      <c r="V204" s="294"/>
      <c r="W204" s="297">
        <v>0</v>
      </c>
      <c r="X204" s="294"/>
      <c r="Y204" s="329"/>
      <c r="Z204" s="329"/>
      <c r="AA204" s="332">
        <f>Table1[[#This Row],[Selling USD]]-Table1[[#This Row],[Cost USD]]</f>
        <v>0</v>
      </c>
      <c r="AB204" s="335">
        <f>82*3*0.9*5+70*3*0.9*2+140*3</f>
        <v>1905</v>
      </c>
      <c r="AC204" s="298">
        <v>1919.85</v>
      </c>
      <c r="AD204" s="299">
        <f>Table1[[#This Row],[Selling EUR]]-Table1[[#This Row],[Cost EUR]]</f>
        <v>14.849999999999909</v>
      </c>
      <c r="AE204" s="321" t="s">
        <v>54</v>
      </c>
      <c r="AF204" s="294">
        <v>46012</v>
      </c>
      <c r="AG204" s="294" t="s">
        <v>2304</v>
      </c>
      <c r="AH204" s="321"/>
      <c r="AI204" s="323"/>
      <c r="AJ204" s="338"/>
      <c r="AK204" s="323"/>
      <c r="AL204" s="338"/>
      <c r="AM204" s="338"/>
      <c r="AN204" s="323"/>
      <c r="AO204" s="282"/>
      <c r="AP204" s="306"/>
      <c r="AQ204" s="282"/>
      <c r="AR204" s="282"/>
      <c r="AS204" s="282"/>
      <c r="AT204" s="281"/>
      <c r="AU204" s="281"/>
      <c r="AV204" s="281"/>
      <c r="AW204" s="281"/>
      <c r="AX204" s="281"/>
      <c r="AY204" s="281"/>
      <c r="AZ204" s="281"/>
    </row>
    <row r="205" spans="1:52" ht="15" customHeight="1" x14ac:dyDescent="0.3">
      <c r="A205" s="294">
        <v>45953</v>
      </c>
      <c r="B205" s="321" t="s">
        <v>47</v>
      </c>
      <c r="C205" s="321" t="s">
        <v>47</v>
      </c>
      <c r="D205" s="294" t="s">
        <v>48</v>
      </c>
      <c r="E205" s="321" t="s">
        <v>61</v>
      </c>
      <c r="F205" s="295">
        <v>17035144</v>
      </c>
      <c r="G205" s="296"/>
      <c r="H205" s="280" t="s">
        <v>84</v>
      </c>
      <c r="I205" s="323" t="s">
        <v>113</v>
      </c>
      <c r="J205" s="323" t="s">
        <v>2534</v>
      </c>
      <c r="K205" s="294">
        <v>45975</v>
      </c>
      <c r="L205" s="294">
        <v>45982</v>
      </c>
      <c r="M205" s="284">
        <f>Table1[[#This Row],[Dep Date]]-Table1[[#This Row],[Arr Date]]</f>
        <v>7</v>
      </c>
      <c r="N205" s="323" t="s">
        <v>52</v>
      </c>
      <c r="O205" s="321">
        <v>1</v>
      </c>
      <c r="P205" s="321">
        <v>2</v>
      </c>
      <c r="Q205" s="321"/>
      <c r="R205" s="321"/>
      <c r="S205" s="321" t="s">
        <v>53</v>
      </c>
      <c r="T205" s="326" t="s">
        <v>1819</v>
      </c>
      <c r="U205" s="297"/>
      <c r="V205" s="294"/>
      <c r="W205" s="297">
        <v>0</v>
      </c>
      <c r="X205" s="294"/>
      <c r="Y205" s="329">
        <f>210*2*7*0.55</f>
        <v>1617.0000000000002</v>
      </c>
      <c r="Z205" s="329">
        <v>1645</v>
      </c>
      <c r="AA205" s="332">
        <f>Table1[[#This Row],[Selling USD]]-Table1[[#This Row],[Cost USD]]</f>
        <v>27.999999999999773</v>
      </c>
      <c r="AB205" s="335"/>
      <c r="AC205" s="298"/>
      <c r="AD205" s="299">
        <f>Table1[[#This Row],[Selling EUR]]-Table1[[#This Row],[Cost EUR]]</f>
        <v>0</v>
      </c>
      <c r="AE205" s="321" t="s">
        <v>54</v>
      </c>
      <c r="AF205" s="294">
        <v>45963</v>
      </c>
      <c r="AG205" s="294" t="s">
        <v>2296</v>
      </c>
      <c r="AH205" s="321"/>
      <c r="AI205" s="323"/>
      <c r="AJ205" s="338"/>
      <c r="AK205" s="323"/>
      <c r="AL205" s="338"/>
      <c r="AM205" s="338"/>
      <c r="AN205" s="323" t="s">
        <v>2377</v>
      </c>
      <c r="AO205" s="282"/>
      <c r="AP205" s="306"/>
      <c r="AQ205" s="282"/>
      <c r="AR205" s="282"/>
      <c r="AS205" s="282"/>
      <c r="AT205" s="281"/>
      <c r="AU205" s="281"/>
      <c r="AV205" s="281"/>
      <c r="AW205" s="281"/>
      <c r="AX205" s="281"/>
      <c r="AY205" s="281"/>
      <c r="AZ205" s="281"/>
    </row>
    <row r="206" spans="1:52" ht="15" customHeight="1" x14ac:dyDescent="0.3">
      <c r="A206" s="294">
        <v>45953</v>
      </c>
      <c r="B206" s="321" t="s">
        <v>47</v>
      </c>
      <c r="C206" s="321" t="s">
        <v>47</v>
      </c>
      <c r="D206" s="294" t="s">
        <v>48</v>
      </c>
      <c r="E206" s="321" t="s">
        <v>61</v>
      </c>
      <c r="F206" s="295">
        <v>17034922</v>
      </c>
      <c r="G206" s="296">
        <v>20303573</v>
      </c>
      <c r="H206" s="280" t="s">
        <v>84</v>
      </c>
      <c r="I206" s="323" t="s">
        <v>113</v>
      </c>
      <c r="J206" s="323" t="s">
        <v>2535</v>
      </c>
      <c r="K206" s="294">
        <v>46032</v>
      </c>
      <c r="L206" s="294">
        <v>46053</v>
      </c>
      <c r="M206" s="284">
        <f>Table1[[#This Row],[Dep Date]]-Table1[[#This Row],[Arr Date]]</f>
        <v>21</v>
      </c>
      <c r="N206" s="323" t="s">
        <v>52</v>
      </c>
      <c r="O206" s="321">
        <v>1</v>
      </c>
      <c r="P206" s="321">
        <v>2</v>
      </c>
      <c r="Q206" s="321"/>
      <c r="R206" s="321"/>
      <c r="S206" s="321" t="s">
        <v>53</v>
      </c>
      <c r="T206" s="326" t="s">
        <v>1820</v>
      </c>
      <c r="U206" s="297"/>
      <c r="V206" s="294"/>
      <c r="W206" s="297">
        <v>0</v>
      </c>
      <c r="X206" s="294"/>
      <c r="Y206" s="329">
        <f>174*2*21*0.57</f>
        <v>4165.5599999999995</v>
      </c>
      <c r="Z206" s="329">
        <v>4249.5600000000004</v>
      </c>
      <c r="AA206" s="332">
        <f>Table1[[#This Row],[Selling USD]]-Table1[[#This Row],[Cost USD]]</f>
        <v>84.000000000000909</v>
      </c>
      <c r="AB206" s="335"/>
      <c r="AC206" s="298"/>
      <c r="AD206" s="299">
        <f>Table1[[#This Row],[Selling EUR]]-Table1[[#This Row],[Cost EUR]]</f>
        <v>0</v>
      </c>
      <c r="AE206" s="321" t="s">
        <v>54</v>
      </c>
      <c r="AF206" s="294">
        <v>46022</v>
      </c>
      <c r="AG206" s="294" t="s">
        <v>2291</v>
      </c>
      <c r="AH206" s="321"/>
      <c r="AI206" s="323"/>
      <c r="AJ206" s="338"/>
      <c r="AK206" s="323"/>
      <c r="AL206" s="338"/>
      <c r="AM206" s="338"/>
      <c r="AN206" s="323"/>
      <c r="AO206" s="282"/>
      <c r="AP206" s="306"/>
      <c r="AQ206" s="282"/>
      <c r="AR206" s="282"/>
      <c r="AS206" s="282"/>
      <c r="AT206" s="281"/>
      <c r="AU206" s="281"/>
      <c r="AV206" s="281"/>
      <c r="AW206" s="281"/>
      <c r="AX206" s="281"/>
      <c r="AY206" s="281"/>
      <c r="AZ206" s="281"/>
    </row>
    <row r="207" spans="1:52" ht="15" customHeight="1" x14ac:dyDescent="0.3">
      <c r="A207" s="294">
        <v>45953</v>
      </c>
      <c r="B207" s="321" t="s">
        <v>73</v>
      </c>
      <c r="C207" s="321" t="s">
        <v>73</v>
      </c>
      <c r="D207" s="294" t="s">
        <v>48</v>
      </c>
      <c r="E207" s="321" t="s">
        <v>61</v>
      </c>
      <c r="F207" s="295">
        <v>17034679</v>
      </c>
      <c r="G207" s="296">
        <v>20303572</v>
      </c>
      <c r="H207" s="280" t="s">
        <v>84</v>
      </c>
      <c r="I207" s="323" t="s">
        <v>113</v>
      </c>
      <c r="J207" s="323" t="s">
        <v>2536</v>
      </c>
      <c r="K207" s="294">
        <v>46080</v>
      </c>
      <c r="L207" s="294">
        <v>46089</v>
      </c>
      <c r="M207" s="284">
        <f>Table1[[#This Row],[Dep Date]]-Table1[[#This Row],[Arr Date]]</f>
        <v>9</v>
      </c>
      <c r="N207" s="323" t="s">
        <v>52</v>
      </c>
      <c r="O207" s="321">
        <v>1</v>
      </c>
      <c r="P207" s="321">
        <v>2</v>
      </c>
      <c r="Q207" s="321"/>
      <c r="R207" s="321"/>
      <c r="S207" s="321" t="s">
        <v>53</v>
      </c>
      <c r="T207" s="326" t="s">
        <v>1821</v>
      </c>
      <c r="U207" s="297"/>
      <c r="V207" s="294"/>
      <c r="W207" s="297">
        <v>0</v>
      </c>
      <c r="X207" s="294"/>
      <c r="Y207" s="329"/>
      <c r="Z207" s="329"/>
      <c r="AA207" s="332">
        <f>Table1[[#This Row],[Selling USD]]-Table1[[#This Row],[Cost USD]]</f>
        <v>0</v>
      </c>
      <c r="AB207" s="335"/>
      <c r="AC207" s="298"/>
      <c r="AD207" s="299">
        <f>Table1[[#This Row],[Selling EUR]]-Table1[[#This Row],[Cost EUR]]</f>
        <v>0</v>
      </c>
      <c r="AE207" s="321"/>
      <c r="AF207" s="294"/>
      <c r="AG207" s="294"/>
      <c r="AH207" s="321"/>
      <c r="AI207" s="323"/>
      <c r="AJ207" s="338"/>
      <c r="AK207" s="323"/>
      <c r="AL207" s="338"/>
      <c r="AM207" s="338"/>
      <c r="AN207" s="323" t="s">
        <v>2378</v>
      </c>
      <c r="AO207" s="282"/>
      <c r="AP207" s="306"/>
      <c r="AQ207" s="282"/>
      <c r="AR207" s="282"/>
      <c r="AS207" s="282"/>
      <c r="AT207" s="281"/>
      <c r="AU207" s="281"/>
      <c r="AV207" s="281"/>
      <c r="AW207" s="281"/>
      <c r="AX207" s="281"/>
      <c r="AY207" s="281"/>
      <c r="AZ207" s="281"/>
    </row>
    <row r="208" spans="1:52" ht="15" customHeight="1" x14ac:dyDescent="0.3">
      <c r="A208" s="294">
        <v>45954</v>
      </c>
      <c r="B208" s="321" t="s">
        <v>47</v>
      </c>
      <c r="C208" s="321" t="s">
        <v>47</v>
      </c>
      <c r="D208" s="294" t="s">
        <v>79</v>
      </c>
      <c r="E208" s="321" t="s">
        <v>61</v>
      </c>
      <c r="F208" s="295">
        <v>14345467</v>
      </c>
      <c r="G208" s="296">
        <v>20303573</v>
      </c>
      <c r="H208" s="280" t="s">
        <v>50</v>
      </c>
      <c r="I208" s="323" t="s">
        <v>117</v>
      </c>
      <c r="J208" s="323" t="s">
        <v>2537</v>
      </c>
      <c r="K208" s="294">
        <v>45984</v>
      </c>
      <c r="L208" s="294">
        <v>45987</v>
      </c>
      <c r="M208" s="284">
        <f>Table1[[#This Row],[Dep Date]]-Table1[[#This Row],[Arr Date]]</f>
        <v>3</v>
      </c>
      <c r="N208" s="323" t="s">
        <v>52</v>
      </c>
      <c r="O208" s="321">
        <v>1</v>
      </c>
      <c r="P208" s="321">
        <v>2</v>
      </c>
      <c r="Q208" s="321"/>
      <c r="R208" s="321"/>
      <c r="S208" s="321" t="s">
        <v>53</v>
      </c>
      <c r="T208" s="326" t="s">
        <v>1822</v>
      </c>
      <c r="U208" s="297"/>
      <c r="V208" s="294"/>
      <c r="W208" s="297">
        <v>0</v>
      </c>
      <c r="X208" s="294"/>
      <c r="Y208" s="329">
        <f>100*0.75*2*1+90*0.75*2*2</f>
        <v>420</v>
      </c>
      <c r="Z208" s="329">
        <v>424.2</v>
      </c>
      <c r="AA208" s="332">
        <f>Table1[[#This Row],[Selling USD]]-Table1[[#This Row],[Cost USD]]</f>
        <v>4.1999999999999886</v>
      </c>
      <c r="AB208" s="335"/>
      <c r="AC208" s="298"/>
      <c r="AD208" s="299">
        <f>Table1[[#This Row],[Selling EUR]]-Table1[[#This Row],[Cost EUR]]</f>
        <v>0</v>
      </c>
      <c r="AE208" s="321" t="s">
        <v>54</v>
      </c>
      <c r="AF208" s="294">
        <v>45973</v>
      </c>
      <c r="AG208" s="294" t="s">
        <v>2376</v>
      </c>
      <c r="AH208" s="321"/>
      <c r="AI208" s="323"/>
      <c r="AJ208" s="338"/>
      <c r="AK208" s="323"/>
      <c r="AL208" s="338"/>
      <c r="AM208" s="338"/>
      <c r="AN208" s="323"/>
      <c r="AO208" s="282"/>
      <c r="AP208" s="306"/>
      <c r="AQ208" s="282"/>
      <c r="AR208" s="282"/>
      <c r="AS208" s="282"/>
      <c r="AT208" s="281"/>
      <c r="AU208" s="281"/>
      <c r="AV208" s="281"/>
      <c r="AW208" s="281"/>
      <c r="AX208" s="281"/>
      <c r="AY208" s="281"/>
      <c r="AZ208" s="281"/>
    </row>
    <row r="209" spans="1:52" ht="15" customHeight="1" x14ac:dyDescent="0.3">
      <c r="A209" s="294">
        <v>45954</v>
      </c>
      <c r="B209" s="321" t="s">
        <v>47</v>
      </c>
      <c r="C209" s="321" t="s">
        <v>47</v>
      </c>
      <c r="D209" s="294" t="s">
        <v>48</v>
      </c>
      <c r="E209" s="321" t="s">
        <v>49</v>
      </c>
      <c r="F209" s="295">
        <v>17036561</v>
      </c>
      <c r="G209" s="296"/>
      <c r="H209" s="280" t="s">
        <v>50</v>
      </c>
      <c r="I209" s="323" t="s">
        <v>108</v>
      </c>
      <c r="J209" s="323" t="s">
        <v>2538</v>
      </c>
      <c r="K209" s="294">
        <v>45963</v>
      </c>
      <c r="L209" s="294">
        <v>45967</v>
      </c>
      <c r="M209" s="284">
        <f>Table1[[#This Row],[Dep Date]]-Table1[[#This Row],[Arr Date]]</f>
        <v>4</v>
      </c>
      <c r="N209" s="323" t="s">
        <v>52</v>
      </c>
      <c r="O209" s="321">
        <v>1</v>
      </c>
      <c r="P209" s="321">
        <v>2</v>
      </c>
      <c r="Q209" s="321"/>
      <c r="R209" s="321"/>
      <c r="S209" s="321" t="s">
        <v>53</v>
      </c>
      <c r="T209" s="326" t="s">
        <v>1823</v>
      </c>
      <c r="U209" s="297"/>
      <c r="V209" s="294"/>
      <c r="W209" s="297">
        <v>0</v>
      </c>
      <c r="X209" s="294"/>
      <c r="Y209" s="329"/>
      <c r="Z209" s="329"/>
      <c r="AA209" s="332">
        <f>Table1[[#This Row],[Selling USD]]-Table1[[#This Row],[Cost USD]]</f>
        <v>0</v>
      </c>
      <c r="AB209" s="335">
        <f>55*2*4</f>
        <v>440</v>
      </c>
      <c r="AC209" s="298">
        <v>456</v>
      </c>
      <c r="AD209" s="299">
        <f>Table1[[#This Row],[Selling EUR]]-Table1[[#This Row],[Cost EUR]]</f>
        <v>16</v>
      </c>
      <c r="AE209" s="321" t="s">
        <v>54</v>
      </c>
      <c r="AF209" s="294">
        <v>45958</v>
      </c>
      <c r="AG209" s="294" t="s">
        <v>2289</v>
      </c>
      <c r="AH209" s="321"/>
      <c r="AI209" s="323"/>
      <c r="AJ209" s="338"/>
      <c r="AK209" s="323"/>
      <c r="AL209" s="338"/>
      <c r="AM209" s="338"/>
      <c r="AN209" s="323" t="s">
        <v>2379</v>
      </c>
      <c r="AO209" s="282"/>
      <c r="AP209" s="306"/>
      <c r="AQ209" s="282"/>
      <c r="AR209" s="282"/>
      <c r="AS209" s="282"/>
      <c r="AT209" s="281"/>
      <c r="AU209" s="281"/>
      <c r="AV209" s="281"/>
      <c r="AW209" s="281"/>
      <c r="AX209" s="281"/>
      <c r="AY209" s="281"/>
      <c r="AZ209" s="281"/>
    </row>
    <row r="210" spans="1:52" ht="15" customHeight="1" x14ac:dyDescent="0.3">
      <c r="A210" s="294">
        <v>45954</v>
      </c>
      <c r="B210" s="321" t="s">
        <v>47</v>
      </c>
      <c r="C210" s="321" t="s">
        <v>47</v>
      </c>
      <c r="D210" s="294" t="s">
        <v>79</v>
      </c>
      <c r="E210" s="321" t="s">
        <v>83</v>
      </c>
      <c r="F210" s="295">
        <v>14339563</v>
      </c>
      <c r="G210" s="296">
        <v>20303572</v>
      </c>
      <c r="H210" s="280" t="s">
        <v>50</v>
      </c>
      <c r="I210" s="323" t="s">
        <v>82</v>
      </c>
      <c r="J210" s="323" t="s">
        <v>2520</v>
      </c>
      <c r="K210" s="294">
        <v>45972</v>
      </c>
      <c r="L210" s="294">
        <v>45978</v>
      </c>
      <c r="M210" s="284">
        <f>Table1[[#This Row],[Dep Date]]-Table1[[#This Row],[Arr Date]]</f>
        <v>6</v>
      </c>
      <c r="N210" s="323" t="s">
        <v>52</v>
      </c>
      <c r="O210" s="321">
        <v>1</v>
      </c>
      <c r="P210" s="321">
        <v>2</v>
      </c>
      <c r="Q210" s="321">
        <v>2</v>
      </c>
      <c r="R210" s="321"/>
      <c r="S210" s="321" t="s">
        <v>53</v>
      </c>
      <c r="T210" s="326" t="s">
        <v>1824</v>
      </c>
      <c r="U210" s="297" t="s">
        <v>2262</v>
      </c>
      <c r="V210" s="294"/>
      <c r="W210" s="297">
        <v>0</v>
      </c>
      <c r="X210" s="294"/>
      <c r="Y210" s="329">
        <f>75*2.5*5+67*2.5</f>
        <v>1105</v>
      </c>
      <c r="Z210" s="329">
        <v>1116.05</v>
      </c>
      <c r="AA210" s="332">
        <f>Table1[[#This Row],[Selling USD]]-Table1[[#This Row],[Cost USD]]</f>
        <v>11.049999999999955</v>
      </c>
      <c r="AB210" s="335"/>
      <c r="AC210" s="298"/>
      <c r="AD210" s="299">
        <f>Table1[[#This Row],[Selling EUR]]-Table1[[#This Row],[Cost EUR]]</f>
        <v>0</v>
      </c>
      <c r="AE210" s="321" t="s">
        <v>54</v>
      </c>
      <c r="AF210" s="294">
        <v>45964</v>
      </c>
      <c r="AG210" s="294"/>
      <c r="AH210" s="321"/>
      <c r="AI210" s="323"/>
      <c r="AJ210" s="338"/>
      <c r="AK210" s="323"/>
      <c r="AL210" s="338"/>
      <c r="AM210" s="338"/>
      <c r="AN210" s="323" t="s">
        <v>2380</v>
      </c>
      <c r="AO210" s="282"/>
      <c r="AP210" s="306"/>
      <c r="AQ210" s="282"/>
      <c r="AR210" s="282"/>
      <c r="AS210" s="282"/>
      <c r="AT210" s="281"/>
      <c r="AU210" s="281"/>
      <c r="AV210" s="281"/>
      <c r="AW210" s="281"/>
      <c r="AX210" s="281"/>
      <c r="AY210" s="281"/>
      <c r="AZ210" s="281"/>
    </row>
    <row r="211" spans="1:52" ht="15" customHeight="1" x14ac:dyDescent="0.3">
      <c r="A211" s="294">
        <v>45954</v>
      </c>
      <c r="B211" s="321" t="s">
        <v>47</v>
      </c>
      <c r="C211" s="321" t="s">
        <v>47</v>
      </c>
      <c r="D211" s="294" t="s">
        <v>79</v>
      </c>
      <c r="E211" s="321" t="s">
        <v>49</v>
      </c>
      <c r="F211" s="295">
        <v>14347243</v>
      </c>
      <c r="G211" s="296">
        <v>20303574</v>
      </c>
      <c r="H211" s="280" t="s">
        <v>50</v>
      </c>
      <c r="I211" s="323" t="s">
        <v>117</v>
      </c>
      <c r="J211" s="323" t="s">
        <v>2539</v>
      </c>
      <c r="K211" s="294">
        <v>45995</v>
      </c>
      <c r="L211" s="294">
        <v>46002</v>
      </c>
      <c r="M211" s="284">
        <f>Table1[[#This Row],[Dep Date]]-Table1[[#This Row],[Arr Date]]</f>
        <v>7</v>
      </c>
      <c r="N211" s="323" t="s">
        <v>52</v>
      </c>
      <c r="O211" s="321">
        <v>1</v>
      </c>
      <c r="P211" s="321">
        <v>2</v>
      </c>
      <c r="Q211" s="321"/>
      <c r="R211" s="321"/>
      <c r="S211" s="321" t="s">
        <v>53</v>
      </c>
      <c r="T211" s="326" t="s">
        <v>1825</v>
      </c>
      <c r="U211" s="297"/>
      <c r="V211" s="294"/>
      <c r="W211" s="297">
        <v>0</v>
      </c>
      <c r="X211" s="294"/>
      <c r="Y211" s="329">
        <f>88*2*0.75*7</f>
        <v>924</v>
      </c>
      <c r="Z211" s="329">
        <v>933.24</v>
      </c>
      <c r="AA211" s="332">
        <f>Table1[[#This Row],[Selling USD]]-Table1[[#This Row],[Cost USD]]</f>
        <v>9.2400000000000091</v>
      </c>
      <c r="AB211" s="335"/>
      <c r="AC211" s="298"/>
      <c r="AD211" s="299">
        <f>Table1[[#This Row],[Selling EUR]]-Table1[[#This Row],[Cost EUR]]</f>
        <v>0</v>
      </c>
      <c r="AE211" s="321" t="s">
        <v>54</v>
      </c>
      <c r="AF211" s="294">
        <v>45985</v>
      </c>
      <c r="AG211" s="294"/>
      <c r="AH211" s="321"/>
      <c r="AI211" s="323"/>
      <c r="AJ211" s="338"/>
      <c r="AK211" s="323"/>
      <c r="AL211" s="338"/>
      <c r="AM211" s="338"/>
      <c r="AN211" s="323"/>
      <c r="AO211" s="282"/>
      <c r="AP211" s="306"/>
      <c r="AQ211" s="282"/>
      <c r="AR211" s="282"/>
      <c r="AS211" s="282"/>
      <c r="AT211" s="281"/>
      <c r="AU211" s="281"/>
      <c r="AV211" s="281"/>
      <c r="AW211" s="281"/>
      <c r="AX211" s="281"/>
      <c r="AY211" s="281"/>
      <c r="AZ211" s="281"/>
    </row>
    <row r="212" spans="1:52" ht="15" customHeight="1" x14ac:dyDescent="0.3">
      <c r="A212" s="294">
        <v>45955</v>
      </c>
      <c r="B212" s="321" t="s">
        <v>47</v>
      </c>
      <c r="C212" s="321" t="s">
        <v>47</v>
      </c>
      <c r="D212" s="294" t="s">
        <v>79</v>
      </c>
      <c r="E212" s="321" t="s">
        <v>83</v>
      </c>
      <c r="F212" s="295">
        <v>14347859</v>
      </c>
      <c r="G212" s="296">
        <v>20303575</v>
      </c>
      <c r="H212" s="280" t="s">
        <v>50</v>
      </c>
      <c r="I212" s="323" t="s">
        <v>82</v>
      </c>
      <c r="J212" s="323" t="s">
        <v>2529</v>
      </c>
      <c r="K212" s="294">
        <v>45971</v>
      </c>
      <c r="L212" s="294">
        <v>45978</v>
      </c>
      <c r="M212" s="284">
        <f>Table1[[#This Row],[Dep Date]]-Table1[[#This Row],[Arr Date]]</f>
        <v>7</v>
      </c>
      <c r="N212" s="323" t="s">
        <v>65</v>
      </c>
      <c r="O212" s="321">
        <v>1</v>
      </c>
      <c r="P212" s="321">
        <v>1</v>
      </c>
      <c r="Q212" s="321">
        <v>2</v>
      </c>
      <c r="R212" s="321"/>
      <c r="S212" s="321" t="s">
        <v>53</v>
      </c>
      <c r="T212" s="326" t="s">
        <v>1826</v>
      </c>
      <c r="U212" s="297" t="s">
        <v>2263</v>
      </c>
      <c r="V212" s="294"/>
      <c r="W212" s="297">
        <v>0</v>
      </c>
      <c r="X212" s="294"/>
      <c r="Y212" s="329">
        <f>65*2*6+57*2*1</f>
        <v>894</v>
      </c>
      <c r="Z212" s="329">
        <v>1015.81</v>
      </c>
      <c r="AA212" s="332">
        <f>Table1[[#This Row],[Selling USD]]-Table1[[#This Row],[Cost USD]]</f>
        <v>121.80999999999995</v>
      </c>
      <c r="AB212" s="335"/>
      <c r="AC212" s="298"/>
      <c r="AD212" s="299">
        <f>Table1[[#This Row],[Selling EUR]]-Table1[[#This Row],[Cost EUR]]</f>
        <v>0</v>
      </c>
      <c r="AE212" s="321" t="s">
        <v>54</v>
      </c>
      <c r="AF212" s="294">
        <v>45965</v>
      </c>
      <c r="AG212" s="294"/>
      <c r="AH212" s="321"/>
      <c r="AI212" s="323"/>
      <c r="AJ212" s="338"/>
      <c r="AK212" s="323"/>
      <c r="AL212" s="338"/>
      <c r="AM212" s="338"/>
      <c r="AN212" s="323"/>
      <c r="AO212" s="282"/>
      <c r="AP212" s="306"/>
      <c r="AQ212" s="282"/>
      <c r="AR212" s="282"/>
      <c r="AS212" s="282"/>
      <c r="AT212" s="281"/>
      <c r="AU212" s="281"/>
      <c r="AV212" s="281"/>
      <c r="AW212" s="281"/>
      <c r="AX212" s="281"/>
      <c r="AY212" s="281"/>
      <c r="AZ212" s="281"/>
    </row>
    <row r="213" spans="1:52" ht="15" customHeight="1" x14ac:dyDescent="0.3">
      <c r="A213" s="294">
        <v>45964</v>
      </c>
      <c r="B213" s="321" t="s">
        <v>47</v>
      </c>
      <c r="C213" s="321" t="s">
        <v>47</v>
      </c>
      <c r="D213" s="294" t="s">
        <v>48</v>
      </c>
      <c r="E213" s="321" t="s">
        <v>61</v>
      </c>
      <c r="F213" s="295">
        <v>17061282</v>
      </c>
      <c r="G213" s="296"/>
      <c r="H213" s="280" t="s">
        <v>84</v>
      </c>
      <c r="I213" s="323" t="s">
        <v>132</v>
      </c>
      <c r="J213" s="323" t="s">
        <v>2540</v>
      </c>
      <c r="K213" s="294">
        <v>45971</v>
      </c>
      <c r="L213" s="294">
        <v>45978</v>
      </c>
      <c r="M213" s="284">
        <f>Table1[[#This Row],[Dep Date]]-Table1[[#This Row],[Arr Date]]</f>
        <v>7</v>
      </c>
      <c r="N213" s="323" t="s">
        <v>52</v>
      </c>
      <c r="O213" s="321">
        <v>1</v>
      </c>
      <c r="P213" s="321">
        <v>2</v>
      </c>
      <c r="Q213" s="321"/>
      <c r="R213" s="321"/>
      <c r="S213" s="321" t="s">
        <v>53</v>
      </c>
      <c r="T213" s="326" t="s">
        <v>1827</v>
      </c>
      <c r="U213" s="297"/>
      <c r="V213" s="294"/>
      <c r="W213" s="297">
        <v>0</v>
      </c>
      <c r="X213" s="294"/>
      <c r="Y213" s="329">
        <f>59*2*7</f>
        <v>826</v>
      </c>
      <c r="Z213" s="329">
        <v>868</v>
      </c>
      <c r="AA213" s="332">
        <f>Table1[[#This Row],[Selling USD]]-Table1[[#This Row],[Cost USD]]</f>
        <v>42</v>
      </c>
      <c r="AB213" s="335"/>
      <c r="AC213" s="298"/>
      <c r="AD213" s="299">
        <f>Table1[[#This Row],[Selling EUR]]-Table1[[#This Row],[Cost EUR]]</f>
        <v>0</v>
      </c>
      <c r="AE213" s="321" t="s">
        <v>54</v>
      </c>
      <c r="AF213" s="294">
        <v>45965</v>
      </c>
      <c r="AG213" s="294"/>
      <c r="AH213" s="321"/>
      <c r="AI213" s="323"/>
      <c r="AJ213" s="338"/>
      <c r="AK213" s="323"/>
      <c r="AL213" s="338"/>
      <c r="AM213" s="338"/>
      <c r="AN213" s="323"/>
      <c r="AO213" s="282"/>
      <c r="AP213" s="306"/>
      <c r="AQ213" s="282"/>
      <c r="AR213" s="282"/>
      <c r="AS213" s="282"/>
      <c r="AT213" s="281"/>
      <c r="AU213" s="281"/>
      <c r="AV213" s="281"/>
      <c r="AW213" s="281"/>
      <c r="AX213" s="281"/>
      <c r="AY213" s="281"/>
      <c r="AZ213" s="281"/>
    </row>
    <row r="214" spans="1:52" ht="15" customHeight="1" x14ac:dyDescent="0.3">
      <c r="A214" s="294">
        <v>45956</v>
      </c>
      <c r="B214" s="321" t="s">
        <v>47</v>
      </c>
      <c r="C214" s="321" t="s">
        <v>47</v>
      </c>
      <c r="D214" s="294" t="s">
        <v>48</v>
      </c>
      <c r="E214" s="321" t="s">
        <v>49</v>
      </c>
      <c r="F214" s="295">
        <v>17039330</v>
      </c>
      <c r="G214" s="296"/>
      <c r="H214" s="280" t="s">
        <v>50</v>
      </c>
      <c r="I214" s="323" t="s">
        <v>133</v>
      </c>
      <c r="J214" s="323" t="s">
        <v>2448</v>
      </c>
      <c r="K214" s="294">
        <v>45967</v>
      </c>
      <c r="L214" s="294">
        <v>45975</v>
      </c>
      <c r="M214" s="284">
        <f>Table1[[#This Row],[Dep Date]]-Table1[[#This Row],[Arr Date]]</f>
        <v>8</v>
      </c>
      <c r="N214" s="323" t="s">
        <v>65</v>
      </c>
      <c r="O214" s="321">
        <v>1</v>
      </c>
      <c r="P214" s="321">
        <v>1</v>
      </c>
      <c r="Q214" s="321"/>
      <c r="R214" s="321"/>
      <c r="S214" s="321" t="s">
        <v>53</v>
      </c>
      <c r="T214" s="326" t="s">
        <v>1828</v>
      </c>
      <c r="U214" s="297"/>
      <c r="V214" s="294"/>
      <c r="W214" s="297">
        <v>0</v>
      </c>
      <c r="X214" s="294"/>
      <c r="Y214" s="329"/>
      <c r="Z214" s="329"/>
      <c r="AA214" s="332">
        <f>Table1[[#This Row],[Selling USD]]-Table1[[#This Row],[Cost USD]]</f>
        <v>0</v>
      </c>
      <c r="AB214" s="335">
        <f>71*1.5*8</f>
        <v>852</v>
      </c>
      <c r="AC214" s="298">
        <v>860</v>
      </c>
      <c r="AD214" s="299">
        <f>Table1[[#This Row],[Selling EUR]]-Table1[[#This Row],[Cost EUR]]</f>
        <v>8</v>
      </c>
      <c r="AE214" s="321" t="s">
        <v>54</v>
      </c>
      <c r="AF214" s="294">
        <v>45960</v>
      </c>
      <c r="AG214" s="294"/>
      <c r="AH214" s="321"/>
      <c r="AI214" s="323"/>
      <c r="AJ214" s="338"/>
      <c r="AK214" s="323"/>
      <c r="AL214" s="338"/>
      <c r="AM214" s="338"/>
      <c r="AN214" s="323"/>
      <c r="AO214" s="282"/>
      <c r="AP214" s="306"/>
      <c r="AQ214" s="282"/>
      <c r="AR214" s="282"/>
      <c r="AS214" s="282"/>
      <c r="AT214" s="281"/>
      <c r="AU214" s="281"/>
      <c r="AV214" s="281"/>
      <c r="AW214" s="281"/>
      <c r="AX214" s="281"/>
      <c r="AY214" s="281"/>
      <c r="AZ214" s="281"/>
    </row>
    <row r="215" spans="1:52" ht="15" customHeight="1" x14ac:dyDescent="0.3">
      <c r="A215" s="294">
        <v>45956</v>
      </c>
      <c r="B215" s="321" t="s">
        <v>73</v>
      </c>
      <c r="C215" s="321" t="s">
        <v>73</v>
      </c>
      <c r="D215" s="294" t="s">
        <v>79</v>
      </c>
      <c r="E215" s="321" t="s">
        <v>83</v>
      </c>
      <c r="F215" s="295">
        <v>14369839</v>
      </c>
      <c r="G215" s="296">
        <v>20303576</v>
      </c>
      <c r="H215" s="280" t="s">
        <v>84</v>
      </c>
      <c r="I215" s="323" t="s">
        <v>118</v>
      </c>
      <c r="J215" s="323" t="s">
        <v>1410</v>
      </c>
      <c r="K215" s="294">
        <v>46042</v>
      </c>
      <c r="L215" s="294">
        <v>46047</v>
      </c>
      <c r="M215" s="284">
        <f>Table1[[#This Row],[Dep Date]]-Table1[[#This Row],[Arr Date]]</f>
        <v>5</v>
      </c>
      <c r="N215" s="323" t="s">
        <v>52</v>
      </c>
      <c r="O215" s="321">
        <v>1</v>
      </c>
      <c r="P215" s="321">
        <v>2</v>
      </c>
      <c r="Q215" s="321"/>
      <c r="R215" s="321"/>
      <c r="S215" s="321" t="s">
        <v>53</v>
      </c>
      <c r="T215" s="326" t="s">
        <v>1829</v>
      </c>
      <c r="U215" s="297"/>
      <c r="V215" s="294"/>
      <c r="W215" s="297">
        <v>0</v>
      </c>
      <c r="X215" s="294"/>
      <c r="Y215" s="329"/>
      <c r="Z215" s="329"/>
      <c r="AA215" s="332">
        <f>Table1[[#This Row],[Selling USD]]-Table1[[#This Row],[Cost USD]]</f>
        <v>0</v>
      </c>
      <c r="AB215" s="335"/>
      <c r="AC215" s="298"/>
      <c r="AD215" s="299">
        <f>Table1[[#This Row],[Selling EUR]]-Table1[[#This Row],[Cost EUR]]</f>
        <v>0</v>
      </c>
      <c r="AE215" s="321"/>
      <c r="AF215" s="294"/>
      <c r="AG215" s="294"/>
      <c r="AH215" s="321"/>
      <c r="AI215" s="323"/>
      <c r="AJ215" s="338"/>
      <c r="AK215" s="323"/>
      <c r="AL215" s="338"/>
      <c r="AM215" s="338"/>
      <c r="AN215" s="323"/>
      <c r="AO215" s="282"/>
      <c r="AP215" s="306"/>
      <c r="AQ215" s="282"/>
      <c r="AR215" s="282"/>
      <c r="AS215" s="282"/>
      <c r="AT215" s="281"/>
      <c r="AU215" s="281"/>
      <c r="AV215" s="281"/>
      <c r="AW215" s="281"/>
      <c r="AX215" s="281"/>
      <c r="AY215" s="281"/>
      <c r="AZ215" s="281"/>
    </row>
    <row r="216" spans="1:52" ht="15" customHeight="1" x14ac:dyDescent="0.3">
      <c r="A216" s="294">
        <v>45957</v>
      </c>
      <c r="B216" s="321" t="s">
        <v>47</v>
      </c>
      <c r="C216" s="321" t="s">
        <v>47</v>
      </c>
      <c r="D216" s="294" t="s">
        <v>79</v>
      </c>
      <c r="E216" s="321" t="s">
        <v>106</v>
      </c>
      <c r="F216" s="295">
        <v>14384663</v>
      </c>
      <c r="G216" s="296">
        <v>20303578</v>
      </c>
      <c r="H216" s="280" t="s">
        <v>50</v>
      </c>
      <c r="I216" s="323" t="s">
        <v>82</v>
      </c>
      <c r="J216" s="323" t="s">
        <v>2529</v>
      </c>
      <c r="K216" s="294">
        <v>45977</v>
      </c>
      <c r="L216" s="294">
        <v>45981</v>
      </c>
      <c r="M216" s="284">
        <f>Table1[[#This Row],[Dep Date]]-Table1[[#This Row],[Arr Date]]</f>
        <v>4</v>
      </c>
      <c r="N216" s="323" t="s">
        <v>52</v>
      </c>
      <c r="O216" s="321">
        <v>1</v>
      </c>
      <c r="P216" s="321">
        <v>2</v>
      </c>
      <c r="Q216" s="321"/>
      <c r="R216" s="321"/>
      <c r="S216" s="321" t="s">
        <v>53</v>
      </c>
      <c r="T216" s="326" t="s">
        <v>1830</v>
      </c>
      <c r="U216" s="297"/>
      <c r="V216" s="294"/>
      <c r="W216" s="297">
        <v>0</v>
      </c>
      <c r="X216" s="294"/>
      <c r="Y216" s="329">
        <f>57*2*4</f>
        <v>456</v>
      </c>
      <c r="Z216" s="329">
        <v>460.56</v>
      </c>
      <c r="AA216" s="332">
        <f>Table1[[#This Row],[Selling USD]]-Table1[[#This Row],[Cost USD]]</f>
        <v>4.5600000000000023</v>
      </c>
      <c r="AB216" s="335"/>
      <c r="AC216" s="298"/>
      <c r="AD216" s="299">
        <f>Table1[[#This Row],[Selling EUR]]-Table1[[#This Row],[Cost EUR]]</f>
        <v>0</v>
      </c>
      <c r="AE216" s="321" t="s">
        <v>54</v>
      </c>
      <c r="AF216" s="294">
        <v>45973</v>
      </c>
      <c r="AG216" s="294"/>
      <c r="AH216" s="321"/>
      <c r="AI216" s="323"/>
      <c r="AJ216" s="338"/>
      <c r="AK216" s="323"/>
      <c r="AL216" s="338"/>
      <c r="AM216" s="338"/>
      <c r="AN216" s="323"/>
      <c r="AO216" s="282"/>
      <c r="AP216" s="306"/>
      <c r="AQ216" s="282"/>
      <c r="AR216" s="282"/>
      <c r="AS216" s="282"/>
      <c r="AT216" s="281"/>
      <c r="AU216" s="281"/>
      <c r="AV216" s="281"/>
      <c r="AW216" s="281"/>
      <c r="AX216" s="281"/>
      <c r="AY216" s="281"/>
      <c r="AZ216" s="281"/>
    </row>
    <row r="217" spans="1:52" ht="15" customHeight="1" x14ac:dyDescent="0.3">
      <c r="A217" s="294">
        <v>45957</v>
      </c>
      <c r="B217" s="321" t="s">
        <v>47</v>
      </c>
      <c r="C217" s="321" t="s">
        <v>47</v>
      </c>
      <c r="D217" s="294" t="s">
        <v>79</v>
      </c>
      <c r="E217" s="321" t="s">
        <v>83</v>
      </c>
      <c r="F217" s="295">
        <v>14381130</v>
      </c>
      <c r="G217" s="296">
        <v>20303577</v>
      </c>
      <c r="H217" s="280" t="s">
        <v>84</v>
      </c>
      <c r="I217" s="323" t="s">
        <v>118</v>
      </c>
      <c r="J217" s="323" t="s">
        <v>1596</v>
      </c>
      <c r="K217" s="294">
        <v>45997</v>
      </c>
      <c r="L217" s="294">
        <v>46004</v>
      </c>
      <c r="M217" s="284">
        <f>Table1[[#This Row],[Dep Date]]-Table1[[#This Row],[Arr Date]]</f>
        <v>7</v>
      </c>
      <c r="N217" s="323" t="s">
        <v>52</v>
      </c>
      <c r="O217" s="321">
        <v>1</v>
      </c>
      <c r="P217" s="321">
        <v>2</v>
      </c>
      <c r="Q217" s="321"/>
      <c r="R217" s="321"/>
      <c r="S217" s="321" t="s">
        <v>53</v>
      </c>
      <c r="T217" s="326" t="s">
        <v>1831</v>
      </c>
      <c r="U217" s="297"/>
      <c r="V217" s="294"/>
      <c r="W217" s="297">
        <v>0</v>
      </c>
      <c r="X217" s="294"/>
      <c r="Y217" s="329"/>
      <c r="Z217" s="329"/>
      <c r="AA217" s="332">
        <f>Table1[[#This Row],[Selling USD]]-Table1[[#This Row],[Cost USD]]</f>
        <v>0</v>
      </c>
      <c r="AB217" s="335">
        <f>165*2*0.85*7*0.85</f>
        <v>1668.9749999999999</v>
      </c>
      <c r="AC217" s="298">
        <v>1685.67</v>
      </c>
      <c r="AD217" s="299">
        <f>Table1[[#This Row],[Selling EUR]]-Table1[[#This Row],[Cost EUR]]</f>
        <v>16.695000000000164</v>
      </c>
      <c r="AE217" s="321" t="s">
        <v>54</v>
      </c>
      <c r="AF217" s="294">
        <v>45980</v>
      </c>
      <c r="AG217" s="294"/>
      <c r="AH217" s="321"/>
      <c r="AI217" s="323"/>
      <c r="AJ217" s="338"/>
      <c r="AK217" s="323"/>
      <c r="AL217" s="338"/>
      <c r="AM217" s="338"/>
      <c r="AN217" s="323"/>
      <c r="AO217" s="282"/>
      <c r="AP217" s="306"/>
      <c r="AQ217" s="282"/>
      <c r="AR217" s="282"/>
      <c r="AS217" s="282"/>
      <c r="AT217" s="281"/>
      <c r="AU217" s="281"/>
      <c r="AV217" s="281"/>
      <c r="AW217" s="281"/>
      <c r="AX217" s="281"/>
      <c r="AY217" s="281"/>
      <c r="AZ217" s="281"/>
    </row>
    <row r="218" spans="1:52" ht="15" customHeight="1" x14ac:dyDescent="0.3">
      <c r="A218" s="294">
        <v>45958</v>
      </c>
      <c r="B218" s="321" t="s">
        <v>47</v>
      </c>
      <c r="C218" s="321" t="s">
        <v>47</v>
      </c>
      <c r="D218" s="294" t="s">
        <v>48</v>
      </c>
      <c r="E218" s="321" t="s">
        <v>49</v>
      </c>
      <c r="F218" s="295">
        <v>17043946</v>
      </c>
      <c r="G218" s="296"/>
      <c r="H218" s="280" t="s">
        <v>50</v>
      </c>
      <c r="I218" s="323" t="s">
        <v>133</v>
      </c>
      <c r="J218" s="323" t="s">
        <v>128</v>
      </c>
      <c r="K218" s="294">
        <v>45970</v>
      </c>
      <c r="L218" s="294">
        <v>45977</v>
      </c>
      <c r="M218" s="284">
        <f>Table1[[#This Row],[Dep Date]]-Table1[[#This Row],[Arr Date]]</f>
        <v>7</v>
      </c>
      <c r="N218" s="323" t="s">
        <v>65</v>
      </c>
      <c r="O218" s="321">
        <v>1</v>
      </c>
      <c r="P218" s="321">
        <v>1</v>
      </c>
      <c r="Q218" s="321"/>
      <c r="R218" s="321"/>
      <c r="S218" s="321" t="s">
        <v>53</v>
      </c>
      <c r="T218" s="326" t="s">
        <v>1832</v>
      </c>
      <c r="U218" s="297"/>
      <c r="V218" s="294"/>
      <c r="W218" s="297">
        <v>0</v>
      </c>
      <c r="X218" s="294"/>
      <c r="Y218" s="329"/>
      <c r="Z218" s="329"/>
      <c r="AA218" s="332">
        <f>Table1[[#This Row],[Selling USD]]-Table1[[#This Row],[Cost USD]]</f>
        <v>0</v>
      </c>
      <c r="AB218" s="335">
        <f>56*1.5*7</f>
        <v>588</v>
      </c>
      <c r="AC218" s="298">
        <v>595</v>
      </c>
      <c r="AD218" s="299">
        <f>Table1[[#This Row],[Selling EUR]]-Table1[[#This Row],[Cost EUR]]</f>
        <v>7</v>
      </c>
      <c r="AE218" s="321" t="s">
        <v>54</v>
      </c>
      <c r="AF218" s="294">
        <v>45963</v>
      </c>
      <c r="AG218" s="294"/>
      <c r="AH218" s="321"/>
      <c r="AI218" s="323"/>
      <c r="AJ218" s="338"/>
      <c r="AK218" s="323"/>
      <c r="AL218" s="338"/>
      <c r="AM218" s="338"/>
      <c r="AN218" s="323"/>
      <c r="AO218" s="282"/>
      <c r="AP218" s="306"/>
      <c r="AQ218" s="282"/>
      <c r="AR218" s="282"/>
      <c r="AS218" s="282"/>
      <c r="AT218" s="281"/>
      <c r="AU218" s="281"/>
      <c r="AV218" s="281"/>
      <c r="AW218" s="281"/>
      <c r="AX218" s="281"/>
      <c r="AY218" s="281"/>
      <c r="AZ218" s="281"/>
    </row>
    <row r="219" spans="1:52" ht="15" customHeight="1" x14ac:dyDescent="0.3">
      <c r="A219" s="294">
        <v>45958</v>
      </c>
      <c r="B219" s="321" t="s">
        <v>47</v>
      </c>
      <c r="C219" s="321" t="s">
        <v>47</v>
      </c>
      <c r="D219" s="294" t="s">
        <v>79</v>
      </c>
      <c r="E219" s="321" t="s">
        <v>49</v>
      </c>
      <c r="F219" s="295">
        <v>14391856</v>
      </c>
      <c r="G219" s="296">
        <v>20303579</v>
      </c>
      <c r="H219" s="280" t="s">
        <v>50</v>
      </c>
      <c r="I219" s="323" t="s">
        <v>125</v>
      </c>
      <c r="J219" s="324" t="s">
        <v>2541</v>
      </c>
      <c r="K219" s="294">
        <v>46012</v>
      </c>
      <c r="L219" s="294">
        <v>46019</v>
      </c>
      <c r="M219" s="284">
        <f>Table1[[#This Row],[Dep Date]]-Table1[[#This Row],[Arr Date]]</f>
        <v>7</v>
      </c>
      <c r="N219" s="323" t="s">
        <v>52</v>
      </c>
      <c r="O219" s="321">
        <v>1</v>
      </c>
      <c r="P219" s="321">
        <v>4</v>
      </c>
      <c r="Q219" s="321"/>
      <c r="R219" s="321"/>
      <c r="S219" s="321" t="s">
        <v>53</v>
      </c>
      <c r="T219" s="327" t="s">
        <v>1833</v>
      </c>
      <c r="U219" s="297"/>
      <c r="V219" s="294"/>
      <c r="W219" s="297">
        <v>0</v>
      </c>
      <c r="X219" s="294"/>
      <c r="Y219" s="329"/>
      <c r="Z219" s="329"/>
      <c r="AA219" s="332">
        <f>Table1[[#This Row],[Selling USD]]-Table1[[#This Row],[Cost USD]]</f>
        <v>0</v>
      </c>
      <c r="AB219" s="335">
        <f>26*2*7*2</f>
        <v>728</v>
      </c>
      <c r="AC219" s="298">
        <v>735.28</v>
      </c>
      <c r="AD219" s="299">
        <f>Table1[[#This Row],[Selling EUR]]-Table1[[#This Row],[Cost EUR]]</f>
        <v>7.2799999999999727</v>
      </c>
      <c r="AE219" s="321" t="s">
        <v>54</v>
      </c>
      <c r="AF219" s="294">
        <v>46012</v>
      </c>
      <c r="AG219" s="294" t="s">
        <v>2304</v>
      </c>
      <c r="AH219" s="321"/>
      <c r="AI219" s="323"/>
      <c r="AJ219" s="338"/>
      <c r="AK219" s="323"/>
      <c r="AL219" s="338"/>
      <c r="AM219" s="338"/>
      <c r="AN219" s="323"/>
      <c r="AO219" s="282"/>
      <c r="AP219" s="306"/>
      <c r="AQ219" s="282"/>
      <c r="AR219" s="282"/>
      <c r="AS219" s="282"/>
      <c r="AT219" s="281"/>
      <c r="AU219" s="281"/>
      <c r="AV219" s="281"/>
      <c r="AW219" s="281"/>
      <c r="AX219" s="281"/>
      <c r="AY219" s="281"/>
      <c r="AZ219" s="281"/>
    </row>
    <row r="220" spans="1:52" ht="15" customHeight="1" x14ac:dyDescent="0.3">
      <c r="A220" s="294">
        <v>45959</v>
      </c>
      <c r="B220" s="321" t="s">
        <v>47</v>
      </c>
      <c r="C220" s="321" t="s">
        <v>47</v>
      </c>
      <c r="D220" s="294" t="s">
        <v>48</v>
      </c>
      <c r="E220" s="321" t="s">
        <v>49</v>
      </c>
      <c r="F220" s="295">
        <v>17048053</v>
      </c>
      <c r="G220" s="296"/>
      <c r="H220" s="280" t="s">
        <v>50</v>
      </c>
      <c r="I220" s="323" t="s">
        <v>133</v>
      </c>
      <c r="J220" s="323" t="s">
        <v>128</v>
      </c>
      <c r="K220" s="294">
        <v>45983</v>
      </c>
      <c r="L220" s="294">
        <v>45994</v>
      </c>
      <c r="M220" s="284">
        <f>Table1[[#This Row],[Dep Date]]-Table1[[#This Row],[Arr Date]]</f>
        <v>11</v>
      </c>
      <c r="N220" s="323" t="s">
        <v>65</v>
      </c>
      <c r="O220" s="321">
        <v>1</v>
      </c>
      <c r="P220" s="321">
        <v>1</v>
      </c>
      <c r="Q220" s="321"/>
      <c r="R220" s="321"/>
      <c r="S220" s="321" t="s">
        <v>53</v>
      </c>
      <c r="T220" s="326" t="s">
        <v>1834</v>
      </c>
      <c r="U220" s="297"/>
      <c r="V220" s="294"/>
      <c r="W220" s="297">
        <v>0</v>
      </c>
      <c r="X220" s="294"/>
      <c r="Y220" s="329"/>
      <c r="Z220" s="329"/>
      <c r="AA220" s="332">
        <f>Table1[[#This Row],[Selling USD]]-Table1[[#This Row],[Cost USD]]</f>
        <v>0</v>
      </c>
      <c r="AB220" s="335">
        <f>56*1.5*11</f>
        <v>924</v>
      </c>
      <c r="AC220" s="298">
        <v>935</v>
      </c>
      <c r="AD220" s="299">
        <f>Table1[[#This Row],[Selling EUR]]-Table1[[#This Row],[Cost EUR]]</f>
        <v>11</v>
      </c>
      <c r="AE220" s="321" t="s">
        <v>54</v>
      </c>
      <c r="AF220" s="294">
        <v>45973</v>
      </c>
      <c r="AG220" s="294"/>
      <c r="AH220" s="321"/>
      <c r="AI220" s="323"/>
      <c r="AJ220" s="338"/>
      <c r="AK220" s="323"/>
      <c r="AL220" s="338"/>
      <c r="AM220" s="338"/>
      <c r="AN220" s="323"/>
      <c r="AO220" s="282"/>
      <c r="AP220" s="306"/>
      <c r="AQ220" s="282"/>
      <c r="AR220" s="282"/>
      <c r="AS220" s="282"/>
      <c r="AT220" s="281"/>
      <c r="AU220" s="281"/>
      <c r="AV220" s="281"/>
      <c r="AW220" s="281"/>
      <c r="AX220" s="281"/>
      <c r="AY220" s="281"/>
      <c r="AZ220" s="281"/>
    </row>
    <row r="221" spans="1:52" ht="15" customHeight="1" x14ac:dyDescent="0.3">
      <c r="A221" s="294">
        <v>45959</v>
      </c>
      <c r="B221" s="321" t="s">
        <v>47</v>
      </c>
      <c r="C221" s="321" t="s">
        <v>47</v>
      </c>
      <c r="D221" s="294" t="s">
        <v>48</v>
      </c>
      <c r="E221" s="321" t="s">
        <v>61</v>
      </c>
      <c r="F221" s="295">
        <v>17045677</v>
      </c>
      <c r="G221" s="296"/>
      <c r="H221" s="280" t="s">
        <v>50</v>
      </c>
      <c r="I221" s="323" t="s">
        <v>127</v>
      </c>
      <c r="J221" s="323" t="s">
        <v>2542</v>
      </c>
      <c r="K221" s="294">
        <v>45983</v>
      </c>
      <c r="L221" s="294">
        <v>45984</v>
      </c>
      <c r="M221" s="284">
        <f>Table1[[#This Row],[Dep Date]]-Table1[[#This Row],[Arr Date]]</f>
        <v>1</v>
      </c>
      <c r="N221" s="323" t="s">
        <v>52</v>
      </c>
      <c r="O221" s="321">
        <v>1</v>
      </c>
      <c r="P221" s="321">
        <v>2</v>
      </c>
      <c r="Q221" s="321"/>
      <c r="R221" s="321"/>
      <c r="S221" s="321" t="s">
        <v>53</v>
      </c>
      <c r="T221" s="326" t="s">
        <v>1835</v>
      </c>
      <c r="U221" s="297"/>
      <c r="V221" s="294"/>
      <c r="W221" s="297">
        <v>0</v>
      </c>
      <c r="X221" s="294"/>
      <c r="Y221" s="329">
        <f>75*2*0.75*1</f>
        <v>112.5</v>
      </c>
      <c r="Z221" s="329">
        <v>109</v>
      </c>
      <c r="AA221" s="332">
        <f>Table1[[#This Row],[Selling USD]]-Table1[[#This Row],[Cost USD]]</f>
        <v>-3.5</v>
      </c>
      <c r="AB221" s="335"/>
      <c r="AC221" s="298"/>
      <c r="AD221" s="299">
        <f>Table1[[#This Row],[Selling EUR]]-Table1[[#This Row],[Cost EUR]]</f>
        <v>0</v>
      </c>
      <c r="AE221" s="321" t="s">
        <v>54</v>
      </c>
      <c r="AF221" s="294">
        <v>45977</v>
      </c>
      <c r="AG221" s="294"/>
      <c r="AH221" s="321"/>
      <c r="AI221" s="323"/>
      <c r="AJ221" s="338"/>
      <c r="AK221" s="323"/>
      <c r="AL221" s="338"/>
      <c r="AM221" s="338"/>
      <c r="AN221" s="323" t="s">
        <v>2381</v>
      </c>
      <c r="AO221" s="282"/>
      <c r="AP221" s="306"/>
      <c r="AQ221" s="282"/>
      <c r="AR221" s="282"/>
      <c r="AS221" s="282"/>
      <c r="AT221" s="281"/>
      <c r="AU221" s="281"/>
      <c r="AV221" s="281"/>
      <c r="AW221" s="281"/>
      <c r="AX221" s="281"/>
      <c r="AY221" s="281"/>
      <c r="AZ221" s="281"/>
    </row>
    <row r="222" spans="1:52" ht="15" customHeight="1" x14ac:dyDescent="0.3">
      <c r="A222" s="294">
        <v>45906</v>
      </c>
      <c r="B222" s="321" t="s">
        <v>47</v>
      </c>
      <c r="C222" s="321" t="s">
        <v>47</v>
      </c>
      <c r="D222" s="294" t="s">
        <v>48</v>
      </c>
      <c r="E222" s="321" t="s">
        <v>49</v>
      </c>
      <c r="F222" s="295">
        <v>16915853</v>
      </c>
      <c r="G222" s="296" t="s">
        <v>1609</v>
      </c>
      <c r="H222" s="280" t="s">
        <v>50</v>
      </c>
      <c r="I222" s="323" t="s">
        <v>103</v>
      </c>
      <c r="J222" s="323" t="s">
        <v>2543</v>
      </c>
      <c r="K222" s="294">
        <v>46065</v>
      </c>
      <c r="L222" s="294">
        <v>46073</v>
      </c>
      <c r="M222" s="284">
        <f>Table1[[#This Row],[Dep Date]]-Table1[[#This Row],[Arr Date]]</f>
        <v>8</v>
      </c>
      <c r="N222" s="323" t="s">
        <v>65</v>
      </c>
      <c r="O222" s="321">
        <v>1</v>
      </c>
      <c r="P222" s="321">
        <v>1</v>
      </c>
      <c r="Q222" s="321">
        <v>1</v>
      </c>
      <c r="R222" s="321"/>
      <c r="S222" s="321" t="s">
        <v>53</v>
      </c>
      <c r="T222" s="326" t="s">
        <v>2544</v>
      </c>
      <c r="U222" s="297" t="s">
        <v>2244</v>
      </c>
      <c r="V222" s="294"/>
      <c r="W222" s="297">
        <v>0</v>
      </c>
      <c r="X222" s="294"/>
      <c r="Y222" s="329"/>
      <c r="Z222" s="329"/>
      <c r="AA222" s="332">
        <f>Table1[[#This Row],[Selling USD]]-Table1[[#This Row],[Cost USD]]</f>
        <v>0</v>
      </c>
      <c r="AB222" s="335">
        <f>126*8*0.7</f>
        <v>705.59999999999991</v>
      </c>
      <c r="AC222" s="298">
        <v>856.8</v>
      </c>
      <c r="AD222" s="299">
        <f>Table1[[#This Row],[Selling EUR]]-Table1[[#This Row],[Cost EUR]]</f>
        <v>151.20000000000005</v>
      </c>
      <c r="AE222" s="321" t="s">
        <v>54</v>
      </c>
      <c r="AF222" s="294">
        <v>46055</v>
      </c>
      <c r="AG222" s="294" t="s">
        <v>2289</v>
      </c>
      <c r="AH222" s="321"/>
      <c r="AI222" s="323"/>
      <c r="AJ222" s="338"/>
      <c r="AK222" s="323"/>
      <c r="AL222" s="338"/>
      <c r="AM222" s="338"/>
      <c r="AN222" s="323"/>
      <c r="AO222" s="282"/>
      <c r="AP222" s="306"/>
      <c r="AQ222" s="282"/>
      <c r="AR222" s="282"/>
      <c r="AS222" s="282"/>
      <c r="AT222" s="281"/>
      <c r="AU222" s="281"/>
      <c r="AV222" s="281"/>
      <c r="AW222" s="281"/>
      <c r="AX222" s="281"/>
      <c r="AY222" s="281"/>
      <c r="AZ222" s="281"/>
    </row>
    <row r="223" spans="1:52" ht="15" customHeight="1" x14ac:dyDescent="0.3">
      <c r="A223" s="294">
        <v>45960</v>
      </c>
      <c r="B223" s="321" t="s">
        <v>47</v>
      </c>
      <c r="C223" s="321" t="s">
        <v>47</v>
      </c>
      <c r="D223" s="294" t="s">
        <v>79</v>
      </c>
      <c r="E223" s="321" t="s">
        <v>61</v>
      </c>
      <c r="F223" s="295">
        <v>14422923</v>
      </c>
      <c r="G223" s="296">
        <v>20303582</v>
      </c>
      <c r="H223" s="280" t="s">
        <v>50</v>
      </c>
      <c r="I223" s="323" t="s">
        <v>127</v>
      </c>
      <c r="J223" s="323" t="s">
        <v>2545</v>
      </c>
      <c r="K223" s="294">
        <v>45983</v>
      </c>
      <c r="L223" s="294">
        <v>45986</v>
      </c>
      <c r="M223" s="284">
        <f>Table1[[#This Row],[Dep Date]]-Table1[[#This Row],[Arr Date]]</f>
        <v>3</v>
      </c>
      <c r="N223" s="323" t="s">
        <v>52</v>
      </c>
      <c r="O223" s="321">
        <v>1</v>
      </c>
      <c r="P223" s="321">
        <v>2</v>
      </c>
      <c r="Q223" s="321"/>
      <c r="R223" s="321"/>
      <c r="S223" s="321" t="s">
        <v>53</v>
      </c>
      <c r="T223" s="326" t="s">
        <v>1836</v>
      </c>
      <c r="U223" s="297"/>
      <c r="V223" s="294"/>
      <c r="W223" s="297">
        <v>0</v>
      </c>
      <c r="X223" s="294"/>
      <c r="Y223" s="329">
        <f>82*2*0.75*2+67*2*0.75*1</f>
        <v>346.5</v>
      </c>
      <c r="Z223" s="329">
        <v>349.96</v>
      </c>
      <c r="AA223" s="332">
        <f>Table1[[#This Row],[Selling USD]]-Table1[[#This Row],[Cost USD]]</f>
        <v>3.4599999999999795</v>
      </c>
      <c r="AB223" s="335"/>
      <c r="AC223" s="298"/>
      <c r="AD223" s="299">
        <f>Table1[[#This Row],[Selling EUR]]-Table1[[#This Row],[Cost EUR]]</f>
        <v>0</v>
      </c>
      <c r="AE223" s="321" t="s">
        <v>54</v>
      </c>
      <c r="AF223" s="294">
        <v>45973</v>
      </c>
      <c r="AG223" s="294"/>
      <c r="AH223" s="321"/>
      <c r="AI223" s="323"/>
      <c r="AJ223" s="338"/>
      <c r="AK223" s="323"/>
      <c r="AL223" s="338"/>
      <c r="AM223" s="338"/>
      <c r="AN223" s="323"/>
      <c r="AO223" s="282"/>
      <c r="AP223" s="306"/>
      <c r="AQ223" s="282"/>
      <c r="AR223" s="282"/>
      <c r="AS223" s="282"/>
      <c r="AT223" s="281"/>
      <c r="AU223" s="281"/>
      <c r="AV223" s="281"/>
      <c r="AW223" s="281"/>
      <c r="AX223" s="281"/>
      <c r="AY223" s="281"/>
      <c r="AZ223" s="281"/>
    </row>
    <row r="224" spans="1:52" ht="15" customHeight="1" x14ac:dyDescent="0.3">
      <c r="A224" s="294">
        <v>45960</v>
      </c>
      <c r="B224" s="321" t="s">
        <v>47</v>
      </c>
      <c r="C224" s="321" t="s">
        <v>47</v>
      </c>
      <c r="D224" s="294" t="s">
        <v>79</v>
      </c>
      <c r="E224" s="321" t="s">
        <v>49</v>
      </c>
      <c r="F224" s="295">
        <v>14426144</v>
      </c>
      <c r="G224" s="296">
        <v>20303583</v>
      </c>
      <c r="H224" s="280" t="s">
        <v>50</v>
      </c>
      <c r="I224" s="323" t="s">
        <v>125</v>
      </c>
      <c r="J224" s="323" t="s">
        <v>2546</v>
      </c>
      <c r="K224" s="294">
        <v>46017</v>
      </c>
      <c r="L224" s="294">
        <v>46023</v>
      </c>
      <c r="M224" s="284">
        <f>Table1[[#This Row],[Dep Date]]-Table1[[#This Row],[Arr Date]]</f>
        <v>6</v>
      </c>
      <c r="N224" s="323" t="s">
        <v>52</v>
      </c>
      <c r="O224" s="321">
        <v>2</v>
      </c>
      <c r="P224" s="321">
        <v>4</v>
      </c>
      <c r="Q224" s="321"/>
      <c r="R224" s="321"/>
      <c r="S224" s="321" t="s">
        <v>53</v>
      </c>
      <c r="T224" s="326" t="s">
        <v>1837</v>
      </c>
      <c r="U224" s="297"/>
      <c r="V224" s="294"/>
      <c r="W224" s="297">
        <v>0</v>
      </c>
      <c r="X224" s="294"/>
      <c r="Y224" s="329"/>
      <c r="Z224" s="329"/>
      <c r="AA224" s="332">
        <f>Table1[[#This Row],[Selling USD]]-Table1[[#This Row],[Cost USD]]</f>
        <v>0</v>
      </c>
      <c r="AB224" s="335">
        <f>26*4*2+30*4*4+75*4</f>
        <v>988</v>
      </c>
      <c r="AC224" s="298">
        <v>1011.44</v>
      </c>
      <c r="AD224" s="299">
        <f>Table1[[#This Row],[Selling EUR]]-Table1[[#This Row],[Cost EUR]]</f>
        <v>23.440000000000055</v>
      </c>
      <c r="AE224" s="321" t="s">
        <v>54</v>
      </c>
      <c r="AF224" s="294">
        <v>46012</v>
      </c>
      <c r="AG224" s="294"/>
      <c r="AH224" s="321"/>
      <c r="AI224" s="323"/>
      <c r="AJ224" s="338"/>
      <c r="AK224" s="323"/>
      <c r="AL224" s="338"/>
      <c r="AM224" s="338"/>
      <c r="AN224" s="323"/>
      <c r="AO224" s="282"/>
      <c r="AP224" s="306"/>
      <c r="AQ224" s="282"/>
      <c r="AR224" s="282"/>
      <c r="AS224" s="282"/>
      <c r="AT224" s="281"/>
      <c r="AU224" s="281"/>
      <c r="AV224" s="281"/>
      <c r="AW224" s="281"/>
      <c r="AX224" s="281"/>
      <c r="AY224" s="281"/>
      <c r="AZ224" s="281"/>
    </row>
    <row r="225" spans="1:52" ht="15" customHeight="1" x14ac:dyDescent="0.3">
      <c r="A225" s="294">
        <v>45960</v>
      </c>
      <c r="B225" s="321" t="s">
        <v>47</v>
      </c>
      <c r="C225" s="321" t="s">
        <v>47</v>
      </c>
      <c r="D225" s="294" t="s">
        <v>79</v>
      </c>
      <c r="E225" s="321" t="s">
        <v>49</v>
      </c>
      <c r="F225" s="295">
        <v>14418852</v>
      </c>
      <c r="G225" s="296">
        <v>20303581</v>
      </c>
      <c r="H225" s="280" t="s">
        <v>50</v>
      </c>
      <c r="I225" s="323" t="s">
        <v>117</v>
      </c>
      <c r="J225" s="323" t="s">
        <v>2547</v>
      </c>
      <c r="K225" s="294">
        <v>46093</v>
      </c>
      <c r="L225" s="294">
        <v>46103</v>
      </c>
      <c r="M225" s="284">
        <f>Table1[[#This Row],[Dep Date]]-Table1[[#This Row],[Arr Date]]</f>
        <v>10</v>
      </c>
      <c r="N225" s="323" t="s">
        <v>52</v>
      </c>
      <c r="O225" s="321">
        <v>1</v>
      </c>
      <c r="P225" s="321">
        <v>2</v>
      </c>
      <c r="Q225" s="321"/>
      <c r="R225" s="321"/>
      <c r="S225" s="321" t="s">
        <v>53</v>
      </c>
      <c r="T225" s="326" t="s">
        <v>1838</v>
      </c>
      <c r="U225" s="297"/>
      <c r="V225" s="294"/>
      <c r="W225" s="297">
        <v>0</v>
      </c>
      <c r="X225" s="294"/>
      <c r="Y225" s="329"/>
      <c r="Z225" s="329"/>
      <c r="AA225" s="332">
        <f>Table1[[#This Row],[Selling USD]]-Table1[[#This Row],[Cost USD]]</f>
        <v>0</v>
      </c>
      <c r="AB225" s="335">
        <f>88*2*0.8*9+88*2*1</f>
        <v>1443.2</v>
      </c>
      <c r="AC225" s="298">
        <v>1457.63</v>
      </c>
      <c r="AD225" s="299">
        <f>Table1[[#This Row],[Selling EUR]]-Table1[[#This Row],[Cost EUR]]</f>
        <v>14.430000000000064</v>
      </c>
      <c r="AE225" s="321" t="s">
        <v>54</v>
      </c>
      <c r="AF225" s="294">
        <v>46082</v>
      </c>
      <c r="AG225" s="294"/>
      <c r="AH225" s="321"/>
      <c r="AI225" s="323"/>
      <c r="AJ225" s="338"/>
      <c r="AK225" s="323"/>
      <c r="AL225" s="338"/>
      <c r="AM225" s="338"/>
      <c r="AN225" s="323"/>
      <c r="AO225" s="282"/>
      <c r="AP225" s="306"/>
      <c r="AQ225" s="282"/>
      <c r="AR225" s="282"/>
      <c r="AS225" s="282"/>
      <c r="AT225" s="281"/>
      <c r="AU225" s="281"/>
      <c r="AV225" s="281"/>
      <c r="AW225" s="281"/>
      <c r="AX225" s="281"/>
      <c r="AY225" s="281"/>
      <c r="AZ225" s="281"/>
    </row>
    <row r="226" spans="1:52" ht="15" customHeight="1" x14ac:dyDescent="0.3">
      <c r="A226" s="294">
        <v>45961</v>
      </c>
      <c r="B226" s="321" t="s">
        <v>47</v>
      </c>
      <c r="C226" s="321" t="s">
        <v>47</v>
      </c>
      <c r="D226" s="294" t="s">
        <v>48</v>
      </c>
      <c r="E226" s="321" t="s">
        <v>49</v>
      </c>
      <c r="F226" s="295">
        <v>17054462</v>
      </c>
      <c r="G226" s="296"/>
      <c r="H226" s="280" t="s">
        <v>50</v>
      </c>
      <c r="I226" s="323" t="s">
        <v>82</v>
      </c>
      <c r="J226" s="323" t="s">
        <v>2548</v>
      </c>
      <c r="K226" s="294">
        <v>45973</v>
      </c>
      <c r="L226" s="294">
        <v>45979</v>
      </c>
      <c r="M226" s="284">
        <f>Table1[[#This Row],[Dep Date]]-Table1[[#This Row],[Arr Date]]</f>
        <v>6</v>
      </c>
      <c r="N226" s="323" t="s">
        <v>52</v>
      </c>
      <c r="O226" s="321">
        <v>1</v>
      </c>
      <c r="P226" s="321">
        <v>2</v>
      </c>
      <c r="Q226" s="321"/>
      <c r="R226" s="321">
        <v>1</v>
      </c>
      <c r="S226" s="321" t="s">
        <v>53</v>
      </c>
      <c r="T226" s="326" t="s">
        <v>1839</v>
      </c>
      <c r="U226" s="297" t="s">
        <v>2264</v>
      </c>
      <c r="V226" s="294"/>
      <c r="W226" s="297">
        <v>0</v>
      </c>
      <c r="X226" s="294"/>
      <c r="Y226" s="329"/>
      <c r="Z226" s="329"/>
      <c r="AA226" s="332">
        <f>Table1[[#This Row],[Selling USD]]-Table1[[#This Row],[Cost USD]]</f>
        <v>0</v>
      </c>
      <c r="AB226" s="335">
        <f>91*2*0.8*4+91*2*0.67*2</f>
        <v>826.28</v>
      </c>
      <c r="AC226" s="298">
        <v>862.28</v>
      </c>
      <c r="AD226" s="299">
        <f>Table1[[#This Row],[Selling EUR]]-Table1[[#This Row],[Cost EUR]]</f>
        <v>36</v>
      </c>
      <c r="AE226" s="321" t="s">
        <v>54</v>
      </c>
      <c r="AF226" s="294">
        <v>45965</v>
      </c>
      <c r="AG226" s="294"/>
      <c r="AH226" s="321"/>
      <c r="AI226" s="323"/>
      <c r="AJ226" s="338"/>
      <c r="AK226" s="323"/>
      <c r="AL226" s="338"/>
      <c r="AM226" s="338"/>
      <c r="AN226" s="323"/>
      <c r="AO226" s="282"/>
      <c r="AP226" s="306"/>
      <c r="AQ226" s="282"/>
      <c r="AR226" s="282"/>
      <c r="AS226" s="282"/>
      <c r="AT226" s="281"/>
      <c r="AU226" s="281"/>
      <c r="AV226" s="281"/>
      <c r="AW226" s="281"/>
      <c r="AX226" s="281"/>
      <c r="AY226" s="281"/>
      <c r="AZ226" s="281"/>
    </row>
    <row r="227" spans="1:52" ht="15" customHeight="1" x14ac:dyDescent="0.3">
      <c r="A227" s="294">
        <v>45961</v>
      </c>
      <c r="B227" s="321" t="s">
        <v>47</v>
      </c>
      <c r="C227" s="321" t="s">
        <v>47</v>
      </c>
      <c r="D227" s="294" t="s">
        <v>48</v>
      </c>
      <c r="E227" s="321" t="s">
        <v>49</v>
      </c>
      <c r="F227" s="295">
        <v>17053751</v>
      </c>
      <c r="G227" s="296"/>
      <c r="H227" s="280" t="s">
        <v>50</v>
      </c>
      <c r="I227" s="323" t="s">
        <v>93</v>
      </c>
      <c r="J227" s="323" t="s">
        <v>2549</v>
      </c>
      <c r="K227" s="294">
        <v>45995</v>
      </c>
      <c r="L227" s="294">
        <v>46007</v>
      </c>
      <c r="M227" s="284">
        <f>Table1[[#This Row],[Dep Date]]-Table1[[#This Row],[Arr Date]]</f>
        <v>12</v>
      </c>
      <c r="N227" s="323" t="s">
        <v>52</v>
      </c>
      <c r="O227" s="321">
        <v>1</v>
      </c>
      <c r="P227" s="321">
        <v>2</v>
      </c>
      <c r="Q227" s="321">
        <v>2</v>
      </c>
      <c r="R227" s="321"/>
      <c r="S227" s="321" t="s">
        <v>53</v>
      </c>
      <c r="T227" s="326" t="s">
        <v>1840</v>
      </c>
      <c r="U227" s="297" t="s">
        <v>2265</v>
      </c>
      <c r="V227" s="294"/>
      <c r="W227" s="297">
        <v>0</v>
      </c>
      <c r="X227" s="294"/>
      <c r="Y227" s="329"/>
      <c r="Z227" s="329"/>
      <c r="AA227" s="332">
        <f>Table1[[#This Row],[Selling USD]]-Table1[[#This Row],[Cost USD]]</f>
        <v>0</v>
      </c>
      <c r="AB227" s="335">
        <f>89*2*0.7*12+50*2+40*2</f>
        <v>1675.1999999999998</v>
      </c>
      <c r="AC227" s="298">
        <v>1747.2</v>
      </c>
      <c r="AD227" s="299">
        <f>Table1[[#This Row],[Selling EUR]]-Table1[[#This Row],[Cost EUR]]</f>
        <v>72.000000000000227</v>
      </c>
      <c r="AE227" s="321" t="s">
        <v>54</v>
      </c>
      <c r="AF227" s="294">
        <v>45981</v>
      </c>
      <c r="AG227" s="294" t="s">
        <v>2376</v>
      </c>
      <c r="AH227" s="321"/>
      <c r="AI227" s="323"/>
      <c r="AJ227" s="338"/>
      <c r="AK227" s="323"/>
      <c r="AL227" s="338"/>
      <c r="AM227" s="338"/>
      <c r="AN227" s="323"/>
      <c r="AO227" s="282"/>
      <c r="AP227" s="306"/>
      <c r="AQ227" s="282"/>
      <c r="AR227" s="282"/>
      <c r="AS227" s="282"/>
      <c r="AT227" s="281"/>
      <c r="AU227" s="281"/>
      <c r="AV227" s="281"/>
      <c r="AW227" s="281"/>
      <c r="AX227" s="281"/>
      <c r="AY227" s="281"/>
      <c r="AZ227" s="281"/>
    </row>
    <row r="228" spans="1:52" ht="15" customHeight="1" x14ac:dyDescent="0.3">
      <c r="A228" s="294">
        <v>45961</v>
      </c>
      <c r="B228" s="321" t="s">
        <v>47</v>
      </c>
      <c r="C228" s="321" t="s">
        <v>47</v>
      </c>
      <c r="D228" s="294" t="s">
        <v>79</v>
      </c>
      <c r="E228" s="321" t="s">
        <v>49</v>
      </c>
      <c r="F228" s="295">
        <v>14431061</v>
      </c>
      <c r="G228" s="296">
        <v>20303584</v>
      </c>
      <c r="H228" s="280" t="s">
        <v>50</v>
      </c>
      <c r="I228" s="323" t="s">
        <v>95</v>
      </c>
      <c r="J228" s="323" t="s">
        <v>98</v>
      </c>
      <c r="K228" s="294">
        <v>46022</v>
      </c>
      <c r="L228" s="294">
        <v>46031</v>
      </c>
      <c r="M228" s="284">
        <f>Table1[[#This Row],[Dep Date]]-Table1[[#This Row],[Arr Date]]</f>
        <v>9</v>
      </c>
      <c r="N228" s="323" t="s">
        <v>65</v>
      </c>
      <c r="O228" s="321">
        <v>1</v>
      </c>
      <c r="P228" s="321">
        <v>1</v>
      </c>
      <c r="Q228" s="321"/>
      <c r="R228" s="321"/>
      <c r="S228" s="321" t="s">
        <v>53</v>
      </c>
      <c r="T228" s="326" t="s">
        <v>1841</v>
      </c>
      <c r="U228" s="297"/>
      <c r="V228" s="294"/>
      <c r="W228" s="297">
        <v>0</v>
      </c>
      <c r="X228" s="294"/>
      <c r="Y228" s="329"/>
      <c r="Z228" s="329"/>
      <c r="AA228" s="332">
        <f>Table1[[#This Row],[Selling USD]]-Table1[[#This Row],[Cost USD]]</f>
        <v>0</v>
      </c>
      <c r="AB228" s="335">
        <f>113*1.5*0.8*3+68*1.5*0.8*6+150</f>
        <v>1046.4000000000001</v>
      </c>
      <c r="AC228" s="298">
        <v>1055.3599999999999</v>
      </c>
      <c r="AD228" s="299">
        <f>Table1[[#This Row],[Selling EUR]]-Table1[[#This Row],[Cost EUR]]</f>
        <v>8.959999999999809</v>
      </c>
      <c r="AE228" s="321" t="s">
        <v>54</v>
      </c>
      <c r="AF228" s="294">
        <v>46014</v>
      </c>
      <c r="AG228" s="294"/>
      <c r="AH228" s="321"/>
      <c r="AI228" s="323"/>
      <c r="AJ228" s="338"/>
      <c r="AK228" s="323"/>
      <c r="AL228" s="338"/>
      <c r="AM228" s="338"/>
      <c r="AN228" s="323"/>
      <c r="AO228" s="282"/>
      <c r="AP228" s="306"/>
      <c r="AQ228" s="282"/>
      <c r="AR228" s="282"/>
      <c r="AS228" s="282"/>
      <c r="AT228" s="281"/>
      <c r="AU228" s="281"/>
      <c r="AV228" s="281"/>
      <c r="AW228" s="281"/>
      <c r="AX228" s="281"/>
      <c r="AY228" s="281"/>
      <c r="AZ228" s="281"/>
    </row>
    <row r="229" spans="1:52" ht="15" customHeight="1" x14ac:dyDescent="0.3">
      <c r="A229" s="294">
        <v>45962</v>
      </c>
      <c r="B229" s="321" t="s">
        <v>47</v>
      </c>
      <c r="C229" s="321" t="s">
        <v>47</v>
      </c>
      <c r="D229" s="294" t="s">
        <v>79</v>
      </c>
      <c r="E229" s="321" t="s">
        <v>83</v>
      </c>
      <c r="F229" s="295">
        <v>14453425</v>
      </c>
      <c r="G229" s="296">
        <v>20303586</v>
      </c>
      <c r="H229" s="280" t="s">
        <v>84</v>
      </c>
      <c r="I229" s="323" t="s">
        <v>129</v>
      </c>
      <c r="J229" s="323" t="s">
        <v>1402</v>
      </c>
      <c r="K229" s="294">
        <v>45997</v>
      </c>
      <c r="L229" s="294">
        <v>46003</v>
      </c>
      <c r="M229" s="284">
        <f>Table1[[#This Row],[Dep Date]]-Table1[[#This Row],[Arr Date]]</f>
        <v>6</v>
      </c>
      <c r="N229" s="323" t="s">
        <v>52</v>
      </c>
      <c r="O229" s="321">
        <v>1</v>
      </c>
      <c r="P229" s="321">
        <v>2</v>
      </c>
      <c r="Q229" s="321"/>
      <c r="R229" s="321"/>
      <c r="S229" s="321" t="s">
        <v>53</v>
      </c>
      <c r="T229" s="326" t="s">
        <v>1842</v>
      </c>
      <c r="U229" s="297"/>
      <c r="V229" s="294"/>
      <c r="W229" s="297">
        <v>0</v>
      </c>
      <c r="X229" s="294"/>
      <c r="Y229" s="329">
        <f>41*2*6</f>
        <v>492</v>
      </c>
      <c r="Z229" s="329">
        <v>496.92</v>
      </c>
      <c r="AA229" s="332">
        <f>Table1[[#This Row],[Selling USD]]-Table1[[#This Row],[Cost USD]]</f>
        <v>4.9200000000000159</v>
      </c>
      <c r="AB229" s="335"/>
      <c r="AC229" s="298"/>
      <c r="AD229" s="299">
        <f>Table1[[#This Row],[Selling EUR]]-Table1[[#This Row],[Cost EUR]]</f>
        <v>0</v>
      </c>
      <c r="AE229" s="321" t="s">
        <v>54</v>
      </c>
      <c r="AF229" s="294">
        <v>45991</v>
      </c>
      <c r="AG229" s="294"/>
      <c r="AH229" s="321"/>
      <c r="AI229" s="323"/>
      <c r="AJ229" s="338"/>
      <c r="AK229" s="323"/>
      <c r="AL229" s="338"/>
      <c r="AM229" s="338"/>
      <c r="AN229" s="323"/>
      <c r="AO229" s="282"/>
      <c r="AP229" s="306"/>
      <c r="AQ229" s="282"/>
      <c r="AR229" s="282"/>
      <c r="AS229" s="282"/>
      <c r="AT229" s="281"/>
      <c r="AU229" s="281"/>
      <c r="AV229" s="281"/>
      <c r="AW229" s="281"/>
      <c r="AX229" s="281"/>
      <c r="AY229" s="281"/>
      <c r="AZ229" s="281"/>
    </row>
    <row r="230" spans="1:52" ht="15" customHeight="1" x14ac:dyDescent="0.3">
      <c r="A230" s="294">
        <v>45962</v>
      </c>
      <c r="B230" s="321" t="s">
        <v>47</v>
      </c>
      <c r="C230" s="321" t="s">
        <v>47</v>
      </c>
      <c r="D230" s="294" t="s">
        <v>48</v>
      </c>
      <c r="E230" s="321" t="s">
        <v>49</v>
      </c>
      <c r="F230" s="295">
        <v>17056711</v>
      </c>
      <c r="G230" s="296"/>
      <c r="H230" s="280" t="s">
        <v>50</v>
      </c>
      <c r="I230" s="323" t="s">
        <v>101</v>
      </c>
      <c r="J230" s="323" t="s">
        <v>2550</v>
      </c>
      <c r="K230" s="294">
        <v>46013</v>
      </c>
      <c r="L230" s="294">
        <v>46020</v>
      </c>
      <c r="M230" s="284">
        <f>Table1[[#This Row],[Dep Date]]-Table1[[#This Row],[Arr Date]]</f>
        <v>7</v>
      </c>
      <c r="N230" s="323" t="s">
        <v>52</v>
      </c>
      <c r="O230" s="321">
        <v>1</v>
      </c>
      <c r="P230" s="321">
        <v>2</v>
      </c>
      <c r="Q230" s="321"/>
      <c r="R230" s="321"/>
      <c r="S230" s="321" t="s">
        <v>53</v>
      </c>
      <c r="T230" s="326" t="s">
        <v>1843</v>
      </c>
      <c r="U230" s="297"/>
      <c r="V230" s="294"/>
      <c r="W230" s="297">
        <v>0</v>
      </c>
      <c r="X230" s="294"/>
      <c r="Y230" s="329"/>
      <c r="Z230" s="329"/>
      <c r="AA230" s="332">
        <f>Table1[[#This Row],[Selling USD]]-Table1[[#This Row],[Cost USD]]</f>
        <v>0</v>
      </c>
      <c r="AB230" s="335">
        <f>37*2*3+43*2*4</f>
        <v>566</v>
      </c>
      <c r="AC230" s="298">
        <v>594</v>
      </c>
      <c r="AD230" s="299">
        <f>Table1[[#This Row],[Selling EUR]]-Table1[[#This Row],[Cost EUR]]</f>
        <v>28</v>
      </c>
      <c r="AE230" s="321" t="s">
        <v>54</v>
      </c>
      <c r="AF230" s="294">
        <v>46008</v>
      </c>
      <c r="AG230" s="294"/>
      <c r="AH230" s="321"/>
      <c r="AI230" s="323"/>
      <c r="AJ230" s="338"/>
      <c r="AK230" s="323"/>
      <c r="AL230" s="338"/>
      <c r="AM230" s="338"/>
      <c r="AN230" s="323"/>
      <c r="AO230" s="282"/>
      <c r="AP230" s="306"/>
      <c r="AQ230" s="282"/>
      <c r="AR230" s="282"/>
      <c r="AS230" s="282"/>
      <c r="AT230" s="281"/>
      <c r="AU230" s="281"/>
      <c r="AV230" s="281"/>
      <c r="AW230" s="281"/>
      <c r="AX230" s="281"/>
      <c r="AY230" s="281"/>
      <c r="AZ230" s="281"/>
    </row>
    <row r="231" spans="1:52" ht="15" customHeight="1" x14ac:dyDescent="0.3">
      <c r="A231" s="294">
        <v>45963</v>
      </c>
      <c r="B231" s="321" t="s">
        <v>47</v>
      </c>
      <c r="C231" s="321" t="s">
        <v>47</v>
      </c>
      <c r="D231" s="294" t="s">
        <v>79</v>
      </c>
      <c r="E231" s="321" t="s">
        <v>49</v>
      </c>
      <c r="F231" s="295">
        <v>14463134</v>
      </c>
      <c r="G231" s="296">
        <v>20303587</v>
      </c>
      <c r="H231" s="280" t="s">
        <v>50</v>
      </c>
      <c r="I231" s="323" t="s">
        <v>71</v>
      </c>
      <c r="J231" s="323" t="s">
        <v>1470</v>
      </c>
      <c r="K231" s="294">
        <v>46010</v>
      </c>
      <c r="L231" s="294">
        <v>46017</v>
      </c>
      <c r="M231" s="284">
        <f>Table1[[#This Row],[Dep Date]]-Table1[[#This Row],[Arr Date]]</f>
        <v>7</v>
      </c>
      <c r="N231" s="323" t="s">
        <v>65</v>
      </c>
      <c r="O231" s="321">
        <v>1</v>
      </c>
      <c r="P231" s="321">
        <v>1</v>
      </c>
      <c r="Q231" s="321"/>
      <c r="R231" s="321"/>
      <c r="S231" s="321" t="s">
        <v>53</v>
      </c>
      <c r="T231" s="326" t="s">
        <v>1844</v>
      </c>
      <c r="U231" s="297"/>
      <c r="V231" s="294"/>
      <c r="W231" s="297">
        <v>0</v>
      </c>
      <c r="X231" s="294"/>
      <c r="Y231" s="329"/>
      <c r="Z231" s="329"/>
      <c r="AA231" s="332">
        <f>Table1[[#This Row],[Selling USD]]-Table1[[#This Row],[Cost USD]]</f>
        <v>0</v>
      </c>
      <c r="AB231" s="335">
        <f>111*7</f>
        <v>777</v>
      </c>
      <c r="AC231" s="298">
        <v>784.77</v>
      </c>
      <c r="AD231" s="299">
        <f>Table1[[#This Row],[Selling EUR]]-Table1[[#This Row],[Cost EUR]]</f>
        <v>7.7699999999999818</v>
      </c>
      <c r="AE231" s="321" t="s">
        <v>54</v>
      </c>
      <c r="AF231" s="294">
        <v>46001</v>
      </c>
      <c r="AG231" s="294" t="s">
        <v>2382</v>
      </c>
      <c r="AH231" s="321"/>
      <c r="AI231" s="323"/>
      <c r="AJ231" s="338"/>
      <c r="AK231" s="323"/>
      <c r="AL231" s="338"/>
      <c r="AM231" s="338"/>
      <c r="AN231" s="323"/>
      <c r="AO231" s="282"/>
      <c r="AP231" s="306"/>
      <c r="AQ231" s="282"/>
      <c r="AR231" s="282"/>
      <c r="AS231" s="282"/>
      <c r="AT231" s="281"/>
      <c r="AU231" s="281"/>
      <c r="AV231" s="281"/>
      <c r="AW231" s="281"/>
      <c r="AX231" s="281"/>
      <c r="AY231" s="281"/>
      <c r="AZ231" s="281"/>
    </row>
    <row r="232" spans="1:52" ht="15" customHeight="1" x14ac:dyDescent="0.3">
      <c r="A232" s="294">
        <v>45955</v>
      </c>
      <c r="B232" s="321" t="s">
        <v>47</v>
      </c>
      <c r="C232" s="321" t="s">
        <v>47</v>
      </c>
      <c r="D232" s="294" t="s">
        <v>48</v>
      </c>
      <c r="E232" s="321" t="s">
        <v>61</v>
      </c>
      <c r="F232" s="295">
        <v>17039413</v>
      </c>
      <c r="G232" s="296"/>
      <c r="H232" s="280" t="s">
        <v>84</v>
      </c>
      <c r="I232" s="323" t="s">
        <v>132</v>
      </c>
      <c r="J232" s="323" t="s">
        <v>2483</v>
      </c>
      <c r="K232" s="294">
        <v>45976</v>
      </c>
      <c r="L232" s="294">
        <v>45980</v>
      </c>
      <c r="M232" s="284">
        <f>Table1[[#This Row],[Dep Date]]-Table1[[#This Row],[Arr Date]]</f>
        <v>4</v>
      </c>
      <c r="N232" s="323" t="s">
        <v>70</v>
      </c>
      <c r="O232" s="321">
        <v>1</v>
      </c>
      <c r="P232" s="321">
        <v>3</v>
      </c>
      <c r="Q232" s="321"/>
      <c r="R232" s="321"/>
      <c r="S232" s="321" t="s">
        <v>53</v>
      </c>
      <c r="T232" s="326" t="s">
        <v>1845</v>
      </c>
      <c r="U232" s="297"/>
      <c r="V232" s="294"/>
      <c r="W232" s="297">
        <v>0</v>
      </c>
      <c r="X232" s="294"/>
      <c r="Y232" s="329">
        <f>51*3*4</f>
        <v>612</v>
      </c>
      <c r="Z232" s="329">
        <v>648</v>
      </c>
      <c r="AA232" s="332">
        <f>Table1[[#This Row],[Selling USD]]-Table1[[#This Row],[Cost USD]]</f>
        <v>36</v>
      </c>
      <c r="AB232" s="335"/>
      <c r="AC232" s="298"/>
      <c r="AD232" s="299">
        <f>Table1[[#This Row],[Selling EUR]]-Table1[[#This Row],[Cost EUR]]</f>
        <v>0</v>
      </c>
      <c r="AE232" s="321" t="s">
        <v>54</v>
      </c>
      <c r="AF232" s="294">
        <v>45965</v>
      </c>
      <c r="AG232" s="294"/>
      <c r="AH232" s="321"/>
      <c r="AI232" s="323"/>
      <c r="AJ232" s="338"/>
      <c r="AK232" s="323"/>
      <c r="AL232" s="338"/>
      <c r="AM232" s="338"/>
      <c r="AN232" s="323"/>
      <c r="AO232" s="282"/>
      <c r="AP232" s="306"/>
      <c r="AQ232" s="282"/>
      <c r="AR232" s="282"/>
      <c r="AS232" s="282"/>
      <c r="AT232" s="281"/>
      <c r="AU232" s="281"/>
      <c r="AV232" s="281"/>
      <c r="AW232" s="281"/>
      <c r="AX232" s="281"/>
      <c r="AY232" s="281"/>
      <c r="AZ232" s="281"/>
    </row>
    <row r="233" spans="1:52" ht="15" customHeight="1" x14ac:dyDescent="0.3">
      <c r="A233" s="294">
        <v>45964</v>
      </c>
      <c r="B233" s="321" t="s">
        <v>47</v>
      </c>
      <c r="C233" s="321" t="s">
        <v>47</v>
      </c>
      <c r="D233" s="294" t="s">
        <v>48</v>
      </c>
      <c r="E233" s="321" t="s">
        <v>49</v>
      </c>
      <c r="F233" s="295">
        <v>17062828</v>
      </c>
      <c r="G233" s="296"/>
      <c r="H233" s="280" t="s">
        <v>50</v>
      </c>
      <c r="I233" s="323" t="s">
        <v>55</v>
      </c>
      <c r="J233" s="323" t="s">
        <v>2444</v>
      </c>
      <c r="K233" s="294">
        <v>45999</v>
      </c>
      <c r="L233" s="294">
        <v>46005</v>
      </c>
      <c r="M233" s="284">
        <f>Table1[[#This Row],[Dep Date]]-Table1[[#This Row],[Arr Date]]</f>
        <v>6</v>
      </c>
      <c r="N233" s="323" t="s">
        <v>52</v>
      </c>
      <c r="O233" s="321">
        <v>1</v>
      </c>
      <c r="P233" s="321">
        <v>2</v>
      </c>
      <c r="Q233" s="321"/>
      <c r="R233" s="321"/>
      <c r="S233" s="321" t="s">
        <v>53</v>
      </c>
      <c r="T233" s="326" t="s">
        <v>1846</v>
      </c>
      <c r="U233" s="297"/>
      <c r="V233" s="294"/>
      <c r="W233" s="297">
        <v>0</v>
      </c>
      <c r="X233" s="294"/>
      <c r="Y233" s="329"/>
      <c r="Z233" s="329"/>
      <c r="AA233" s="332">
        <f>Table1[[#This Row],[Selling USD]]-Table1[[#This Row],[Cost USD]]</f>
        <v>0</v>
      </c>
      <c r="AB233" s="335">
        <f>53*2*6</f>
        <v>636</v>
      </c>
      <c r="AC233" s="298">
        <v>672</v>
      </c>
      <c r="AD233" s="299">
        <f>Table1[[#This Row],[Selling EUR]]-Table1[[#This Row],[Cost EUR]]</f>
        <v>36</v>
      </c>
      <c r="AE233" s="321" t="s">
        <v>54</v>
      </c>
      <c r="AF233" s="294">
        <v>45995</v>
      </c>
      <c r="AG233" s="294"/>
      <c r="AH233" s="321"/>
      <c r="AI233" s="323"/>
      <c r="AJ233" s="338"/>
      <c r="AK233" s="323"/>
      <c r="AL233" s="338"/>
      <c r="AM233" s="338"/>
      <c r="AN233" s="323"/>
      <c r="AO233" s="282"/>
      <c r="AP233" s="306"/>
      <c r="AQ233" s="282"/>
      <c r="AR233" s="282"/>
      <c r="AS233" s="282"/>
      <c r="AT233" s="281"/>
      <c r="AU233" s="281"/>
      <c r="AV233" s="281"/>
      <c r="AW233" s="281"/>
      <c r="AX233" s="281"/>
      <c r="AY233" s="281"/>
      <c r="AZ233" s="281"/>
    </row>
    <row r="234" spans="1:52" ht="15" customHeight="1" x14ac:dyDescent="0.3">
      <c r="A234" s="294">
        <v>45964</v>
      </c>
      <c r="B234" s="321" t="s">
        <v>47</v>
      </c>
      <c r="C234" s="321" t="s">
        <v>47</v>
      </c>
      <c r="D234" s="294" t="s">
        <v>48</v>
      </c>
      <c r="E234" s="321" t="s">
        <v>49</v>
      </c>
      <c r="F234" s="295">
        <v>17060897</v>
      </c>
      <c r="G234" s="296"/>
      <c r="H234" s="280" t="s">
        <v>50</v>
      </c>
      <c r="I234" s="323" t="s">
        <v>133</v>
      </c>
      <c r="J234" s="323" t="s">
        <v>128</v>
      </c>
      <c r="K234" s="294">
        <v>46011</v>
      </c>
      <c r="L234" s="294">
        <v>46025</v>
      </c>
      <c r="M234" s="284">
        <f>Table1[[#This Row],[Dep Date]]-Table1[[#This Row],[Arr Date]]</f>
        <v>14</v>
      </c>
      <c r="N234" s="323" t="s">
        <v>65</v>
      </c>
      <c r="O234" s="321">
        <v>1</v>
      </c>
      <c r="P234" s="321">
        <v>1</v>
      </c>
      <c r="Q234" s="321"/>
      <c r="R234" s="321"/>
      <c r="S234" s="321" t="s">
        <v>53</v>
      </c>
      <c r="T234" s="326" t="s">
        <v>1847</v>
      </c>
      <c r="U234" s="297"/>
      <c r="V234" s="294"/>
      <c r="W234" s="297">
        <v>0</v>
      </c>
      <c r="X234" s="294"/>
      <c r="Y234" s="329"/>
      <c r="Z234" s="329"/>
      <c r="AA234" s="332">
        <f>Table1[[#This Row],[Selling USD]]-Table1[[#This Row],[Cost USD]]</f>
        <v>0</v>
      </c>
      <c r="AB234" s="335">
        <f>56*1.5*14+150</f>
        <v>1326</v>
      </c>
      <c r="AC234" s="298">
        <v>1340</v>
      </c>
      <c r="AD234" s="299">
        <f>Table1[[#This Row],[Selling EUR]]-Table1[[#This Row],[Cost EUR]]</f>
        <v>14</v>
      </c>
      <c r="AE234" s="321" t="s">
        <v>54</v>
      </c>
      <c r="AF234" s="294">
        <v>46002</v>
      </c>
      <c r="AG234" s="294" t="s">
        <v>2304</v>
      </c>
      <c r="AH234" s="321"/>
      <c r="AI234" s="323"/>
      <c r="AJ234" s="338"/>
      <c r="AK234" s="323"/>
      <c r="AL234" s="338"/>
      <c r="AM234" s="338"/>
      <c r="AN234" s="323"/>
      <c r="AO234" s="282"/>
      <c r="AP234" s="306"/>
      <c r="AQ234" s="282"/>
      <c r="AR234" s="282"/>
      <c r="AS234" s="282"/>
      <c r="AT234" s="281"/>
      <c r="AU234" s="281"/>
      <c r="AV234" s="281"/>
      <c r="AW234" s="281"/>
      <c r="AX234" s="281"/>
      <c r="AY234" s="281"/>
      <c r="AZ234" s="281"/>
    </row>
    <row r="235" spans="1:52" ht="15" customHeight="1" x14ac:dyDescent="0.3">
      <c r="A235" s="294">
        <v>45964</v>
      </c>
      <c r="B235" s="321" t="s">
        <v>47</v>
      </c>
      <c r="C235" s="321" t="s">
        <v>47</v>
      </c>
      <c r="D235" s="294" t="s">
        <v>48</v>
      </c>
      <c r="E235" s="321" t="s">
        <v>49</v>
      </c>
      <c r="F235" s="295">
        <v>17061585</v>
      </c>
      <c r="G235" s="296"/>
      <c r="H235" s="280" t="s">
        <v>50</v>
      </c>
      <c r="I235" s="323" t="s">
        <v>88</v>
      </c>
      <c r="J235" s="323" t="s">
        <v>2551</v>
      </c>
      <c r="K235" s="294">
        <v>46113</v>
      </c>
      <c r="L235" s="294">
        <v>46117</v>
      </c>
      <c r="M235" s="284">
        <f>Table1[[#This Row],[Dep Date]]-Table1[[#This Row],[Arr Date]]</f>
        <v>4</v>
      </c>
      <c r="N235" s="323" t="s">
        <v>70</v>
      </c>
      <c r="O235" s="321">
        <v>1</v>
      </c>
      <c r="P235" s="321">
        <v>3</v>
      </c>
      <c r="Q235" s="321"/>
      <c r="R235" s="321"/>
      <c r="S235" s="321" t="s">
        <v>53</v>
      </c>
      <c r="T235" s="326" t="s">
        <v>1848</v>
      </c>
      <c r="U235" s="297"/>
      <c r="V235" s="294"/>
      <c r="W235" s="297">
        <v>0</v>
      </c>
      <c r="X235" s="294"/>
      <c r="Y235" s="329"/>
      <c r="Z235" s="329"/>
      <c r="AA235" s="332">
        <f>Table1[[#This Row],[Selling USD]]-Table1[[#This Row],[Cost USD]]</f>
        <v>0</v>
      </c>
      <c r="AB235" s="335">
        <f>110*2.8*3*0.72+110*2.8*0.81*1+30*3</f>
        <v>1004.76</v>
      </c>
      <c r="AC235" s="298">
        <v>1346</v>
      </c>
      <c r="AD235" s="299">
        <f>Table1[[#This Row],[Selling EUR]]-Table1[[#This Row],[Cost EUR]]</f>
        <v>341.24</v>
      </c>
      <c r="AE235" s="321" t="s">
        <v>54</v>
      </c>
      <c r="AF235" s="294">
        <v>46106</v>
      </c>
      <c r="AG235" s="294"/>
      <c r="AH235" s="321"/>
      <c r="AI235" s="323"/>
      <c r="AJ235" s="338"/>
      <c r="AK235" s="323"/>
      <c r="AL235" s="338"/>
      <c r="AM235" s="338"/>
      <c r="AN235" s="323"/>
      <c r="AO235" s="282"/>
      <c r="AP235" s="306"/>
      <c r="AQ235" s="282"/>
      <c r="AR235" s="282"/>
      <c r="AS235" s="282"/>
      <c r="AT235" s="281"/>
      <c r="AU235" s="281"/>
      <c r="AV235" s="281"/>
      <c r="AW235" s="281"/>
      <c r="AX235" s="281"/>
      <c r="AY235" s="281"/>
      <c r="AZ235" s="281"/>
    </row>
    <row r="236" spans="1:52" ht="15" customHeight="1" x14ac:dyDescent="0.3">
      <c r="A236" s="294">
        <v>45890</v>
      </c>
      <c r="B236" s="321" t="s">
        <v>47</v>
      </c>
      <c r="C236" s="321" t="s">
        <v>47</v>
      </c>
      <c r="D236" s="294" t="s">
        <v>48</v>
      </c>
      <c r="E236" s="321" t="s">
        <v>61</v>
      </c>
      <c r="F236" s="295">
        <v>16866023</v>
      </c>
      <c r="G236" s="296">
        <v>20303429</v>
      </c>
      <c r="H236" s="280" t="s">
        <v>84</v>
      </c>
      <c r="I236" s="323" t="s">
        <v>132</v>
      </c>
      <c r="J236" s="323" t="s">
        <v>2511</v>
      </c>
      <c r="K236" s="294">
        <v>46014</v>
      </c>
      <c r="L236" s="294">
        <v>46021</v>
      </c>
      <c r="M236" s="284">
        <f>Table1[[#This Row],[Dep Date]]-Table1[[#This Row],[Arr Date]]</f>
        <v>7</v>
      </c>
      <c r="N236" s="323" t="s">
        <v>65</v>
      </c>
      <c r="O236" s="321">
        <v>1</v>
      </c>
      <c r="P236" s="321">
        <v>1</v>
      </c>
      <c r="Q236" s="321"/>
      <c r="R236" s="321"/>
      <c r="S236" s="321" t="s">
        <v>53</v>
      </c>
      <c r="T236" s="326" t="s">
        <v>1849</v>
      </c>
      <c r="U236" s="297"/>
      <c r="V236" s="294"/>
      <c r="W236" s="297">
        <v>0</v>
      </c>
      <c r="X236" s="294"/>
      <c r="Y236" s="329">
        <f>(77*1.6+83*1.6*6)*0.6</f>
        <v>552</v>
      </c>
      <c r="Z236" s="329">
        <v>552</v>
      </c>
      <c r="AA236" s="332">
        <f>Table1[[#This Row],[Selling USD]]-Table1[[#This Row],[Cost USD]]</f>
        <v>0</v>
      </c>
      <c r="AB236" s="335"/>
      <c r="AC236" s="298"/>
      <c r="AD236" s="299">
        <f>Table1[[#This Row],[Selling EUR]]-Table1[[#This Row],[Cost EUR]]</f>
        <v>0</v>
      </c>
      <c r="AE236" s="321" t="s">
        <v>54</v>
      </c>
      <c r="AF236" s="294">
        <v>46001</v>
      </c>
      <c r="AG236" s="294"/>
      <c r="AH236" s="321"/>
      <c r="AI236" s="323"/>
      <c r="AJ236" s="338"/>
      <c r="AK236" s="323"/>
      <c r="AL236" s="338"/>
      <c r="AM236" s="338"/>
      <c r="AN236" s="323"/>
      <c r="AO236" s="282"/>
      <c r="AP236" s="306"/>
      <c r="AQ236" s="282"/>
      <c r="AR236" s="282"/>
      <c r="AS236" s="282"/>
      <c r="AT236" s="281"/>
      <c r="AU236" s="281"/>
      <c r="AV236" s="281"/>
      <c r="AW236" s="281"/>
      <c r="AX236" s="281"/>
      <c r="AY236" s="281"/>
      <c r="AZ236" s="281"/>
    </row>
    <row r="237" spans="1:52" ht="15" customHeight="1" x14ac:dyDescent="0.3">
      <c r="A237" s="294">
        <v>45965</v>
      </c>
      <c r="B237" s="321" t="s">
        <v>47</v>
      </c>
      <c r="C237" s="321" t="s">
        <v>47</v>
      </c>
      <c r="D237" s="294" t="s">
        <v>48</v>
      </c>
      <c r="E237" s="321" t="s">
        <v>49</v>
      </c>
      <c r="F237" s="295">
        <v>17065811</v>
      </c>
      <c r="G237" s="296"/>
      <c r="H237" s="280" t="s">
        <v>50</v>
      </c>
      <c r="I237" s="323" t="s">
        <v>108</v>
      </c>
      <c r="J237" s="323" t="s">
        <v>2552</v>
      </c>
      <c r="K237" s="294">
        <v>46020</v>
      </c>
      <c r="L237" s="294">
        <v>46034</v>
      </c>
      <c r="M237" s="284">
        <f>Table1[[#This Row],[Dep Date]]-Table1[[#This Row],[Arr Date]]</f>
        <v>14</v>
      </c>
      <c r="N237" s="323" t="s">
        <v>52</v>
      </c>
      <c r="O237" s="321">
        <v>1</v>
      </c>
      <c r="P237" s="321">
        <v>2</v>
      </c>
      <c r="Q237" s="321">
        <v>2</v>
      </c>
      <c r="R237" s="321">
        <v>1</v>
      </c>
      <c r="S237" s="321" t="s">
        <v>53</v>
      </c>
      <c r="T237" s="326" t="s">
        <v>1850</v>
      </c>
      <c r="U237" s="297" t="s">
        <v>2266</v>
      </c>
      <c r="V237" s="294"/>
      <c r="W237" s="297">
        <v>0</v>
      </c>
      <c r="X237" s="294"/>
      <c r="Y237" s="329"/>
      <c r="Z237" s="329"/>
      <c r="AA237" s="332">
        <f>Table1[[#This Row],[Selling USD]]-Table1[[#This Row],[Cost USD]]</f>
        <v>0</v>
      </c>
      <c r="AB237" s="335">
        <f>49*2.5*5+37*2.5*9+140*3</f>
        <v>1865</v>
      </c>
      <c r="AC237" s="298">
        <v>2026</v>
      </c>
      <c r="AD237" s="299">
        <f>Table1[[#This Row],[Selling EUR]]-Table1[[#This Row],[Cost EUR]]</f>
        <v>161</v>
      </c>
      <c r="AE237" s="321" t="s">
        <v>54</v>
      </c>
      <c r="AF237" s="294">
        <v>46012</v>
      </c>
      <c r="AG237" s="294"/>
      <c r="AH237" s="321"/>
      <c r="AI237" s="323"/>
      <c r="AJ237" s="338"/>
      <c r="AK237" s="323"/>
      <c r="AL237" s="338"/>
      <c r="AM237" s="338"/>
      <c r="AN237" s="323"/>
      <c r="AO237" s="282"/>
      <c r="AP237" s="306"/>
      <c r="AQ237" s="282"/>
      <c r="AR237" s="282"/>
      <c r="AS237" s="282"/>
      <c r="AT237" s="281"/>
      <c r="AU237" s="281"/>
      <c r="AV237" s="281"/>
      <c r="AW237" s="281"/>
      <c r="AX237" s="281"/>
      <c r="AY237" s="281"/>
      <c r="AZ237" s="281"/>
    </row>
    <row r="238" spans="1:52" ht="15" customHeight="1" x14ac:dyDescent="0.3">
      <c r="A238" s="294">
        <v>45966</v>
      </c>
      <c r="B238" s="321" t="s">
        <v>47</v>
      </c>
      <c r="C238" s="321" t="s">
        <v>47</v>
      </c>
      <c r="D238" s="294" t="s">
        <v>79</v>
      </c>
      <c r="E238" s="321" t="s">
        <v>49</v>
      </c>
      <c r="F238" s="295">
        <v>14492567</v>
      </c>
      <c r="G238" s="296">
        <v>20303588</v>
      </c>
      <c r="H238" s="280" t="s">
        <v>50</v>
      </c>
      <c r="I238" s="323" t="s">
        <v>134</v>
      </c>
      <c r="J238" s="323" t="s">
        <v>1402</v>
      </c>
      <c r="K238" s="294">
        <v>45976</v>
      </c>
      <c r="L238" s="294">
        <v>45983</v>
      </c>
      <c r="M238" s="284">
        <f>Table1[[#This Row],[Dep Date]]-Table1[[#This Row],[Arr Date]]</f>
        <v>7</v>
      </c>
      <c r="N238" s="323" t="s">
        <v>52</v>
      </c>
      <c r="O238" s="321">
        <v>1</v>
      </c>
      <c r="P238" s="321">
        <v>2</v>
      </c>
      <c r="Q238" s="321"/>
      <c r="R238" s="321"/>
      <c r="S238" s="321" t="s">
        <v>53</v>
      </c>
      <c r="T238" s="326" t="s">
        <v>1851</v>
      </c>
      <c r="U238" s="297"/>
      <c r="V238" s="294"/>
      <c r="W238" s="297">
        <v>0</v>
      </c>
      <c r="X238" s="294"/>
      <c r="Y238" s="329"/>
      <c r="Z238" s="329"/>
      <c r="AA238" s="332">
        <f>Table1[[#This Row],[Selling USD]]-Table1[[#This Row],[Cost USD]]</f>
        <v>0</v>
      </c>
      <c r="AB238" s="335">
        <f>38*2*1*0.99+29*2*6*0.99</f>
        <v>419.76</v>
      </c>
      <c r="AC238" s="298">
        <v>428.24</v>
      </c>
      <c r="AD238" s="299">
        <f>Table1[[#This Row],[Selling EUR]]-Table1[[#This Row],[Cost EUR]]</f>
        <v>8.4800000000000182</v>
      </c>
      <c r="AE238" s="321" t="s">
        <v>54</v>
      </c>
      <c r="AF238" s="294">
        <v>45970</v>
      </c>
      <c r="AG238" s="294"/>
      <c r="AH238" s="321"/>
      <c r="AI238" s="323"/>
      <c r="AJ238" s="338"/>
      <c r="AK238" s="323"/>
      <c r="AL238" s="338"/>
      <c r="AM238" s="338"/>
      <c r="AN238" s="323"/>
      <c r="AO238" s="282"/>
      <c r="AP238" s="306"/>
      <c r="AQ238" s="282"/>
      <c r="AR238" s="282"/>
      <c r="AS238" s="282"/>
      <c r="AT238" s="281"/>
      <c r="AU238" s="281"/>
      <c r="AV238" s="281"/>
      <c r="AW238" s="281"/>
      <c r="AX238" s="281"/>
      <c r="AY238" s="281"/>
      <c r="AZ238" s="281"/>
    </row>
    <row r="239" spans="1:52" ht="15" customHeight="1" x14ac:dyDescent="0.3">
      <c r="A239" s="294">
        <v>45966</v>
      </c>
      <c r="B239" s="321" t="s">
        <v>47</v>
      </c>
      <c r="C239" s="321" t="s">
        <v>47</v>
      </c>
      <c r="D239" s="294" t="s">
        <v>79</v>
      </c>
      <c r="E239" s="321" t="s">
        <v>49</v>
      </c>
      <c r="F239" s="295">
        <v>14502226</v>
      </c>
      <c r="G239" s="296">
        <v>20303589</v>
      </c>
      <c r="H239" s="280" t="s">
        <v>50</v>
      </c>
      <c r="I239" s="323" t="s">
        <v>96</v>
      </c>
      <c r="J239" s="323" t="s">
        <v>2501</v>
      </c>
      <c r="K239" s="294">
        <v>46021</v>
      </c>
      <c r="L239" s="294">
        <v>46030</v>
      </c>
      <c r="M239" s="284">
        <f>Table1[[#This Row],[Dep Date]]-Table1[[#This Row],[Arr Date]]</f>
        <v>9</v>
      </c>
      <c r="N239" s="323" t="s">
        <v>52</v>
      </c>
      <c r="O239" s="321">
        <v>1</v>
      </c>
      <c r="P239" s="321">
        <v>2</v>
      </c>
      <c r="Q239" s="321"/>
      <c r="R239" s="321"/>
      <c r="S239" s="321" t="s">
        <v>53</v>
      </c>
      <c r="T239" s="326" t="s">
        <v>1852</v>
      </c>
      <c r="U239" s="297"/>
      <c r="V239" s="294"/>
      <c r="W239" s="297">
        <v>0</v>
      </c>
      <c r="X239" s="294"/>
      <c r="Y239" s="329"/>
      <c r="Z239" s="329"/>
      <c r="AA239" s="332">
        <f>Table1[[#This Row],[Selling USD]]-Table1[[#This Row],[Cost USD]]</f>
        <v>0</v>
      </c>
      <c r="AB239" s="335">
        <f>90*2*4+65*2*0.9*5+150*2</f>
        <v>1605</v>
      </c>
      <c r="AC239" s="298">
        <v>1618.05</v>
      </c>
      <c r="AD239" s="299">
        <f>Table1[[#This Row],[Selling EUR]]-Table1[[#This Row],[Cost EUR]]</f>
        <v>13.049999999999955</v>
      </c>
      <c r="AE239" s="321" t="s">
        <v>54</v>
      </c>
      <c r="AF239" s="294">
        <v>46012</v>
      </c>
      <c r="AG239" s="294" t="s">
        <v>2317</v>
      </c>
      <c r="AH239" s="321"/>
      <c r="AI239" s="323"/>
      <c r="AJ239" s="338"/>
      <c r="AK239" s="323"/>
      <c r="AL239" s="338"/>
      <c r="AM239" s="338"/>
      <c r="AN239" s="323"/>
      <c r="AO239" s="282"/>
      <c r="AP239" s="306"/>
      <c r="AQ239" s="282"/>
      <c r="AR239" s="282"/>
      <c r="AS239" s="282"/>
      <c r="AT239" s="281"/>
      <c r="AU239" s="281"/>
      <c r="AV239" s="281"/>
      <c r="AW239" s="281"/>
      <c r="AX239" s="281"/>
      <c r="AY239" s="281"/>
      <c r="AZ239" s="281"/>
    </row>
    <row r="240" spans="1:52" ht="15" customHeight="1" x14ac:dyDescent="0.3">
      <c r="A240" s="294">
        <v>45967</v>
      </c>
      <c r="B240" s="321" t="s">
        <v>47</v>
      </c>
      <c r="C240" s="321" t="s">
        <v>47</v>
      </c>
      <c r="D240" s="294" t="s">
        <v>48</v>
      </c>
      <c r="E240" s="321" t="s">
        <v>49</v>
      </c>
      <c r="F240" s="295">
        <v>17069169</v>
      </c>
      <c r="G240" s="296"/>
      <c r="H240" s="280" t="s">
        <v>50</v>
      </c>
      <c r="I240" s="323" t="s">
        <v>133</v>
      </c>
      <c r="J240" s="323" t="s">
        <v>128</v>
      </c>
      <c r="K240" s="294">
        <v>45984</v>
      </c>
      <c r="L240" s="294">
        <v>45994</v>
      </c>
      <c r="M240" s="284">
        <f>Table1[[#This Row],[Dep Date]]-Table1[[#This Row],[Arr Date]]</f>
        <v>10</v>
      </c>
      <c r="N240" s="323" t="s">
        <v>52</v>
      </c>
      <c r="O240" s="321">
        <v>1</v>
      </c>
      <c r="P240" s="321">
        <v>2</v>
      </c>
      <c r="Q240" s="321"/>
      <c r="R240" s="321"/>
      <c r="S240" s="321" t="s">
        <v>53</v>
      </c>
      <c r="T240" s="326" t="s">
        <v>1853</v>
      </c>
      <c r="U240" s="297"/>
      <c r="V240" s="294"/>
      <c r="W240" s="297">
        <v>0</v>
      </c>
      <c r="X240" s="294"/>
      <c r="Y240" s="329"/>
      <c r="Z240" s="329"/>
      <c r="AA240" s="332">
        <f>Table1[[#This Row],[Selling USD]]-Table1[[#This Row],[Cost USD]]</f>
        <v>0</v>
      </c>
      <c r="AB240" s="335">
        <f>56*2*10</f>
        <v>1120</v>
      </c>
      <c r="AC240" s="298">
        <v>1140</v>
      </c>
      <c r="AD240" s="299">
        <f>Table1[[#This Row],[Selling EUR]]-Table1[[#This Row],[Cost EUR]]</f>
        <v>20</v>
      </c>
      <c r="AE240" s="321" t="s">
        <v>54</v>
      </c>
      <c r="AF240" s="294">
        <v>45979</v>
      </c>
      <c r="AG240" s="294"/>
      <c r="AH240" s="321"/>
      <c r="AI240" s="323"/>
      <c r="AJ240" s="338"/>
      <c r="AK240" s="323"/>
      <c r="AL240" s="338"/>
      <c r="AM240" s="338"/>
      <c r="AN240" s="323"/>
      <c r="AO240" s="282"/>
      <c r="AP240" s="306"/>
      <c r="AQ240" s="282"/>
      <c r="AR240" s="282"/>
      <c r="AS240" s="282"/>
      <c r="AT240" s="281"/>
      <c r="AU240" s="281"/>
      <c r="AV240" s="281"/>
      <c r="AW240" s="281"/>
      <c r="AX240" s="281"/>
      <c r="AY240" s="281"/>
      <c r="AZ240" s="281"/>
    </row>
    <row r="241" spans="1:52" ht="15" customHeight="1" x14ac:dyDescent="0.3">
      <c r="A241" s="294">
        <v>45967</v>
      </c>
      <c r="B241" s="321" t="s">
        <v>47</v>
      </c>
      <c r="C241" s="321" t="s">
        <v>47</v>
      </c>
      <c r="D241" s="294" t="s">
        <v>79</v>
      </c>
      <c r="E241" s="321" t="s">
        <v>49</v>
      </c>
      <c r="F241" s="295">
        <v>14509541</v>
      </c>
      <c r="G241" s="296">
        <v>20303590</v>
      </c>
      <c r="H241" s="280" t="s">
        <v>50</v>
      </c>
      <c r="I241" s="323" t="s">
        <v>135</v>
      </c>
      <c r="J241" s="323" t="s">
        <v>1402</v>
      </c>
      <c r="K241" s="294">
        <v>45972</v>
      </c>
      <c r="L241" s="294">
        <v>45975</v>
      </c>
      <c r="M241" s="284">
        <f>Table1[[#This Row],[Dep Date]]-Table1[[#This Row],[Arr Date]]</f>
        <v>3</v>
      </c>
      <c r="N241" s="323" t="s">
        <v>65</v>
      </c>
      <c r="O241" s="321">
        <v>1</v>
      </c>
      <c r="P241" s="321">
        <v>1</v>
      </c>
      <c r="Q241" s="321"/>
      <c r="R241" s="321"/>
      <c r="S241" s="321" t="s">
        <v>53</v>
      </c>
      <c r="T241" s="326" t="s">
        <v>1854</v>
      </c>
      <c r="U241" s="297"/>
      <c r="V241" s="294"/>
      <c r="W241" s="297">
        <v>0</v>
      </c>
      <c r="X241" s="294"/>
      <c r="Y241" s="329"/>
      <c r="Z241" s="329"/>
      <c r="AA241" s="332">
        <f>Table1[[#This Row],[Selling USD]]-Table1[[#This Row],[Cost USD]]</f>
        <v>0</v>
      </c>
      <c r="AB241" s="335">
        <f>20*1.5*3</f>
        <v>90</v>
      </c>
      <c r="AC241" s="298">
        <v>112.56</v>
      </c>
      <c r="AD241" s="299">
        <f>Table1[[#This Row],[Selling EUR]]-Table1[[#This Row],[Cost EUR]]</f>
        <v>22.560000000000002</v>
      </c>
      <c r="AE241" s="321" t="s">
        <v>54</v>
      </c>
      <c r="AF241" s="294">
        <v>45970</v>
      </c>
      <c r="AG241" s="294" t="s">
        <v>2317</v>
      </c>
      <c r="AH241" s="321"/>
      <c r="AI241" s="323"/>
      <c r="AJ241" s="338"/>
      <c r="AK241" s="323"/>
      <c r="AL241" s="338"/>
      <c r="AM241" s="338"/>
      <c r="AN241" s="323"/>
      <c r="AO241" s="282"/>
      <c r="AP241" s="306"/>
      <c r="AQ241" s="282"/>
      <c r="AR241" s="282"/>
      <c r="AS241" s="282"/>
      <c r="AT241" s="281"/>
      <c r="AU241" s="281"/>
      <c r="AV241" s="281"/>
      <c r="AW241" s="281"/>
      <c r="AX241" s="281"/>
      <c r="AY241" s="281"/>
      <c r="AZ241" s="281"/>
    </row>
    <row r="242" spans="1:52" ht="15" customHeight="1" x14ac:dyDescent="0.3">
      <c r="A242" s="294">
        <v>45967</v>
      </c>
      <c r="B242" s="321" t="s">
        <v>47</v>
      </c>
      <c r="C242" s="321" t="s">
        <v>47</v>
      </c>
      <c r="D242" s="294" t="s">
        <v>48</v>
      </c>
      <c r="E242" s="321" t="s">
        <v>49</v>
      </c>
      <c r="F242" s="295">
        <v>17070803</v>
      </c>
      <c r="G242" s="296"/>
      <c r="H242" s="280" t="s">
        <v>50</v>
      </c>
      <c r="I242" s="323" t="s">
        <v>96</v>
      </c>
      <c r="J242" s="323" t="s">
        <v>2553</v>
      </c>
      <c r="K242" s="294">
        <v>46005</v>
      </c>
      <c r="L242" s="294">
        <v>46010</v>
      </c>
      <c r="M242" s="284">
        <f>Table1[[#This Row],[Dep Date]]-Table1[[#This Row],[Arr Date]]</f>
        <v>5</v>
      </c>
      <c r="N242" s="323" t="s">
        <v>70</v>
      </c>
      <c r="O242" s="321">
        <v>1</v>
      </c>
      <c r="P242" s="321">
        <v>3</v>
      </c>
      <c r="Q242" s="321"/>
      <c r="R242" s="321"/>
      <c r="S242" s="321" t="s">
        <v>53</v>
      </c>
      <c r="T242" s="326" t="s">
        <v>1855</v>
      </c>
      <c r="U242" s="297"/>
      <c r="V242" s="294"/>
      <c r="W242" s="297">
        <v>0</v>
      </c>
      <c r="X242" s="294"/>
      <c r="Y242" s="329"/>
      <c r="Z242" s="329"/>
      <c r="AA242" s="332">
        <f>Table1[[#This Row],[Selling USD]]-Table1[[#This Row],[Cost USD]]</f>
        <v>0</v>
      </c>
      <c r="AB242" s="335">
        <f>55*3*5</f>
        <v>825</v>
      </c>
      <c r="AC242" s="298">
        <v>870</v>
      </c>
      <c r="AD242" s="299">
        <f>Table1[[#This Row],[Selling EUR]]-Table1[[#This Row],[Cost EUR]]</f>
        <v>45</v>
      </c>
      <c r="AE242" s="321" t="s">
        <v>54</v>
      </c>
      <c r="AF242" s="294">
        <v>45998</v>
      </c>
      <c r="AG242" s="294"/>
      <c r="AH242" s="321"/>
      <c r="AI242" s="323"/>
      <c r="AJ242" s="338"/>
      <c r="AK242" s="323"/>
      <c r="AL242" s="338"/>
      <c r="AM242" s="338"/>
      <c r="AN242" s="323" t="s">
        <v>2383</v>
      </c>
      <c r="AO242" s="282"/>
      <c r="AP242" s="306"/>
      <c r="AQ242" s="282"/>
      <c r="AR242" s="282"/>
      <c r="AS242" s="282"/>
      <c r="AT242" s="281"/>
      <c r="AU242" s="281"/>
      <c r="AV242" s="281"/>
      <c r="AW242" s="281"/>
      <c r="AX242" s="281"/>
      <c r="AY242" s="281"/>
      <c r="AZ242" s="281"/>
    </row>
    <row r="243" spans="1:52" ht="15" customHeight="1" x14ac:dyDescent="0.3">
      <c r="A243" s="294">
        <v>45968</v>
      </c>
      <c r="B243" s="321" t="s">
        <v>47</v>
      </c>
      <c r="C243" s="321" t="s">
        <v>47</v>
      </c>
      <c r="D243" s="294" t="s">
        <v>79</v>
      </c>
      <c r="E243" s="321" t="s">
        <v>106</v>
      </c>
      <c r="F243" s="295">
        <v>14525746</v>
      </c>
      <c r="G243" s="296">
        <v>20303591</v>
      </c>
      <c r="H243" s="280" t="s">
        <v>84</v>
      </c>
      <c r="I243" s="323" t="s">
        <v>136</v>
      </c>
      <c r="J243" s="323" t="s">
        <v>1402</v>
      </c>
      <c r="K243" s="294">
        <v>45996</v>
      </c>
      <c r="L243" s="294">
        <v>46000</v>
      </c>
      <c r="M243" s="284">
        <f>Table1[[#This Row],[Dep Date]]-Table1[[#This Row],[Arr Date]]</f>
        <v>4</v>
      </c>
      <c r="N243" s="323" t="s">
        <v>52</v>
      </c>
      <c r="O243" s="321">
        <v>1</v>
      </c>
      <c r="P243" s="321">
        <v>2</v>
      </c>
      <c r="Q243" s="321"/>
      <c r="R243" s="321"/>
      <c r="S243" s="321" t="s">
        <v>53</v>
      </c>
      <c r="T243" s="326" t="s">
        <v>1856</v>
      </c>
      <c r="U243" s="297"/>
      <c r="V243" s="294"/>
      <c r="W243" s="297">
        <v>0</v>
      </c>
      <c r="X243" s="294"/>
      <c r="Y243" s="329">
        <f>35*2*4</f>
        <v>280</v>
      </c>
      <c r="Z243" s="329">
        <v>282.8</v>
      </c>
      <c r="AA243" s="332">
        <f>Table1[[#This Row],[Selling USD]]-Table1[[#This Row],[Cost USD]]</f>
        <v>2.8000000000000114</v>
      </c>
      <c r="AB243" s="335"/>
      <c r="AC243" s="298"/>
      <c r="AD243" s="299">
        <f>Table1[[#This Row],[Selling EUR]]-Table1[[#This Row],[Cost EUR]]</f>
        <v>0</v>
      </c>
      <c r="AE243" s="321" t="s">
        <v>54</v>
      </c>
      <c r="AF243" s="294">
        <v>45986</v>
      </c>
      <c r="AG243" s="294"/>
      <c r="AH243" s="321"/>
      <c r="AI243" s="323"/>
      <c r="AJ243" s="338"/>
      <c r="AK243" s="323"/>
      <c r="AL243" s="338"/>
      <c r="AM243" s="338"/>
      <c r="AN243" s="323"/>
      <c r="AO243" s="282"/>
      <c r="AP243" s="306"/>
      <c r="AQ243" s="282"/>
      <c r="AR243" s="282"/>
      <c r="AS243" s="282"/>
      <c r="AT243" s="281"/>
      <c r="AU243" s="281"/>
      <c r="AV243" s="281"/>
      <c r="AW243" s="281"/>
      <c r="AX243" s="281"/>
      <c r="AY243" s="281"/>
      <c r="AZ243" s="281"/>
    </row>
    <row r="244" spans="1:52" ht="15" customHeight="1" x14ac:dyDescent="0.3">
      <c r="A244" s="294">
        <v>45968</v>
      </c>
      <c r="B244" s="321" t="s">
        <v>47</v>
      </c>
      <c r="C244" s="321" t="s">
        <v>47</v>
      </c>
      <c r="D244" s="294" t="s">
        <v>79</v>
      </c>
      <c r="E244" s="321" t="s">
        <v>49</v>
      </c>
      <c r="F244" s="295">
        <v>14531287</v>
      </c>
      <c r="G244" s="296">
        <v>20303592</v>
      </c>
      <c r="H244" s="280" t="s">
        <v>50</v>
      </c>
      <c r="I244" s="323" t="s">
        <v>66</v>
      </c>
      <c r="J244" s="323" t="s">
        <v>1402</v>
      </c>
      <c r="K244" s="294">
        <v>46018</v>
      </c>
      <c r="L244" s="294">
        <v>46026</v>
      </c>
      <c r="M244" s="284">
        <f>Table1[[#This Row],[Dep Date]]-Table1[[#This Row],[Arr Date]]</f>
        <v>8</v>
      </c>
      <c r="N244" s="323" t="s">
        <v>52</v>
      </c>
      <c r="O244" s="321">
        <v>1</v>
      </c>
      <c r="P244" s="321">
        <v>2</v>
      </c>
      <c r="Q244" s="321"/>
      <c r="R244" s="321"/>
      <c r="S244" s="321" t="s">
        <v>53</v>
      </c>
      <c r="T244" s="326" t="s">
        <v>1857</v>
      </c>
      <c r="U244" s="297"/>
      <c r="V244" s="294"/>
      <c r="W244" s="297">
        <v>0</v>
      </c>
      <c r="X244" s="294"/>
      <c r="Y244" s="329"/>
      <c r="Z244" s="329"/>
      <c r="AA244" s="332">
        <f>Table1[[#This Row],[Selling USD]]-Table1[[#This Row],[Cost USD]]</f>
        <v>0</v>
      </c>
      <c r="AB244" s="335">
        <f>(55*2+57*2*3+43*2*4)+220</f>
        <v>1016</v>
      </c>
      <c r="AC244" s="298">
        <v>1023.96</v>
      </c>
      <c r="AD244" s="299">
        <f>Table1[[#This Row],[Selling EUR]]-Table1[[#This Row],[Cost EUR]]</f>
        <v>7.9600000000000364</v>
      </c>
      <c r="AE244" s="321" t="s">
        <v>54</v>
      </c>
      <c r="AF244" s="294">
        <v>46012</v>
      </c>
      <c r="AG244" s="294"/>
      <c r="AH244" s="321"/>
      <c r="AI244" s="323"/>
      <c r="AJ244" s="338"/>
      <c r="AK244" s="323"/>
      <c r="AL244" s="338"/>
      <c r="AM244" s="338"/>
      <c r="AN244" s="323"/>
      <c r="AO244" s="282"/>
      <c r="AP244" s="306"/>
      <c r="AQ244" s="282"/>
      <c r="AR244" s="282"/>
      <c r="AS244" s="282"/>
      <c r="AT244" s="281"/>
      <c r="AU244" s="281"/>
      <c r="AV244" s="281"/>
      <c r="AW244" s="281"/>
      <c r="AX244" s="281"/>
      <c r="AY244" s="281"/>
      <c r="AZ244" s="281"/>
    </row>
    <row r="245" spans="1:52" ht="15" customHeight="1" x14ac:dyDescent="0.3">
      <c r="A245" s="294">
        <v>45906</v>
      </c>
      <c r="B245" s="321" t="s">
        <v>47</v>
      </c>
      <c r="C245" s="321" t="s">
        <v>47</v>
      </c>
      <c r="D245" s="294" t="s">
        <v>48</v>
      </c>
      <c r="E245" s="321" t="s">
        <v>49</v>
      </c>
      <c r="F245" s="295">
        <v>16915852</v>
      </c>
      <c r="G245" s="296">
        <v>20303485</v>
      </c>
      <c r="H245" s="280" t="s">
        <v>50</v>
      </c>
      <c r="I245" s="323" t="s">
        <v>103</v>
      </c>
      <c r="J245" s="323" t="s">
        <v>2505</v>
      </c>
      <c r="K245" s="294">
        <v>46065</v>
      </c>
      <c r="L245" s="294">
        <v>46073</v>
      </c>
      <c r="M245" s="284">
        <f>Table1[[#This Row],[Dep Date]]-Table1[[#This Row],[Arr Date]]</f>
        <v>8</v>
      </c>
      <c r="N245" s="323" t="s">
        <v>52</v>
      </c>
      <c r="O245" s="321">
        <v>1</v>
      </c>
      <c r="P245" s="321"/>
      <c r="Q245" s="321">
        <v>1</v>
      </c>
      <c r="R245" s="321"/>
      <c r="S245" s="321" t="s">
        <v>53</v>
      </c>
      <c r="T245" s="327" t="s">
        <v>1858</v>
      </c>
      <c r="U245" s="297" t="s">
        <v>2221</v>
      </c>
      <c r="V245" s="294"/>
      <c r="W245" s="297">
        <v>0</v>
      </c>
      <c r="X245" s="294"/>
      <c r="Y245" s="329"/>
      <c r="Z245" s="329"/>
      <c r="AA245" s="332">
        <f>Table1[[#This Row],[Selling USD]]-Table1[[#This Row],[Cost USD]]</f>
        <v>0</v>
      </c>
      <c r="AB245" s="335">
        <f>75*2*8*0.8</f>
        <v>960</v>
      </c>
      <c r="AC245" s="298">
        <v>1020</v>
      </c>
      <c r="AD245" s="299">
        <f>Table1[[#This Row],[Selling EUR]]-Table1[[#This Row],[Cost EUR]]</f>
        <v>60</v>
      </c>
      <c r="AE245" s="321" t="s">
        <v>54</v>
      </c>
      <c r="AF245" s="294">
        <v>46055</v>
      </c>
      <c r="AG245" s="294" t="s">
        <v>2384</v>
      </c>
      <c r="AH245" s="321"/>
      <c r="AI245" s="323"/>
      <c r="AJ245" s="338"/>
      <c r="AK245" s="323"/>
      <c r="AL245" s="338"/>
      <c r="AM245" s="338"/>
      <c r="AN245" s="323"/>
      <c r="AO245" s="282"/>
      <c r="AP245" s="306"/>
      <c r="AQ245" s="282"/>
      <c r="AR245" s="282"/>
      <c r="AS245" s="282"/>
      <c r="AT245" s="281"/>
      <c r="AU245" s="281"/>
      <c r="AV245" s="281"/>
      <c r="AW245" s="281"/>
      <c r="AX245" s="281"/>
      <c r="AY245" s="281"/>
      <c r="AZ245" s="281"/>
    </row>
    <row r="246" spans="1:52" ht="15" customHeight="1" x14ac:dyDescent="0.3">
      <c r="A246" s="294">
        <v>45968</v>
      </c>
      <c r="B246" s="321" t="s">
        <v>47</v>
      </c>
      <c r="C246" s="321" t="s">
        <v>47</v>
      </c>
      <c r="D246" s="294" t="s">
        <v>48</v>
      </c>
      <c r="E246" s="321" t="s">
        <v>49</v>
      </c>
      <c r="F246" s="295">
        <v>17071563</v>
      </c>
      <c r="G246" s="296"/>
      <c r="H246" s="280" t="s">
        <v>58</v>
      </c>
      <c r="I246" s="323" t="s">
        <v>62</v>
      </c>
      <c r="J246" s="323" t="s">
        <v>63</v>
      </c>
      <c r="K246" s="294">
        <v>46098</v>
      </c>
      <c r="L246" s="294">
        <v>46105</v>
      </c>
      <c r="M246" s="284">
        <f>Table1[[#This Row],[Dep Date]]-Table1[[#This Row],[Arr Date]]</f>
        <v>7</v>
      </c>
      <c r="N246" s="323" t="s">
        <v>52</v>
      </c>
      <c r="O246" s="321">
        <v>1</v>
      </c>
      <c r="P246" s="321">
        <v>2</v>
      </c>
      <c r="Q246" s="321"/>
      <c r="R246" s="321"/>
      <c r="S246" s="321" t="s">
        <v>53</v>
      </c>
      <c r="T246" s="326" t="s">
        <v>1859</v>
      </c>
      <c r="U246" s="297"/>
      <c r="V246" s="294"/>
      <c r="W246" s="297">
        <v>0</v>
      </c>
      <c r="X246" s="294"/>
      <c r="Y246" s="329"/>
      <c r="Z246" s="329"/>
      <c r="AA246" s="332">
        <f>Table1[[#This Row],[Selling USD]]-Table1[[#This Row],[Cost USD]]</f>
        <v>0</v>
      </c>
      <c r="AB246" s="335">
        <f>50*2*7</f>
        <v>700</v>
      </c>
      <c r="AC246" s="298">
        <v>1008</v>
      </c>
      <c r="AD246" s="299">
        <f>Table1[[#This Row],[Selling EUR]]-Table1[[#This Row],[Cost EUR]]</f>
        <v>308</v>
      </c>
      <c r="AE246" s="321" t="s">
        <v>54</v>
      </c>
      <c r="AF246" s="294">
        <v>46091</v>
      </c>
      <c r="AG246" s="294"/>
      <c r="AH246" s="321"/>
      <c r="AI246" s="323"/>
      <c r="AJ246" s="338"/>
      <c r="AK246" s="323"/>
      <c r="AL246" s="338"/>
      <c r="AM246" s="338"/>
      <c r="AN246" s="323"/>
      <c r="AO246" s="282"/>
      <c r="AP246" s="306"/>
      <c r="AQ246" s="282"/>
      <c r="AR246" s="282"/>
      <c r="AS246" s="282"/>
      <c r="AT246" s="281"/>
      <c r="AU246" s="281"/>
      <c r="AV246" s="281"/>
      <c r="AW246" s="281"/>
      <c r="AX246" s="281"/>
      <c r="AY246" s="281"/>
      <c r="AZ246" s="281"/>
    </row>
    <row r="247" spans="1:52" ht="15" customHeight="1" x14ac:dyDescent="0.3">
      <c r="A247" s="294">
        <v>45969</v>
      </c>
      <c r="B247" s="321" t="s">
        <v>47</v>
      </c>
      <c r="C247" s="321" t="s">
        <v>47</v>
      </c>
      <c r="D247" s="294" t="s">
        <v>137</v>
      </c>
      <c r="E247" s="321" t="s">
        <v>138</v>
      </c>
      <c r="F247" s="295">
        <v>2025014</v>
      </c>
      <c r="G247" s="296"/>
      <c r="H247" s="280" t="s">
        <v>58</v>
      </c>
      <c r="I247" s="323" t="s">
        <v>139</v>
      </c>
      <c r="J247" s="323" t="s">
        <v>2554</v>
      </c>
      <c r="K247" s="294">
        <v>45970</v>
      </c>
      <c r="L247" s="294">
        <v>45997</v>
      </c>
      <c r="M247" s="284">
        <f>Table1[[#This Row],[Dep Date]]-Table1[[#This Row],[Arr Date]]</f>
        <v>27</v>
      </c>
      <c r="N247" s="323" t="s">
        <v>65</v>
      </c>
      <c r="O247" s="321">
        <v>1</v>
      </c>
      <c r="P247" s="321">
        <v>1</v>
      </c>
      <c r="Q247" s="321"/>
      <c r="R247" s="321"/>
      <c r="S247" s="321" t="s">
        <v>53</v>
      </c>
      <c r="T247" s="326" t="s">
        <v>1860</v>
      </c>
      <c r="U247" s="297"/>
      <c r="V247" s="294"/>
      <c r="W247" s="297">
        <v>0</v>
      </c>
      <c r="X247" s="294"/>
      <c r="Y247" s="329"/>
      <c r="Z247" s="329"/>
      <c r="AA247" s="332">
        <f>Table1[[#This Row],[Selling USD]]-Table1[[#This Row],[Cost USD]]</f>
        <v>0</v>
      </c>
      <c r="AB247" s="335">
        <v>2100</v>
      </c>
      <c r="AC247" s="298">
        <v>2100</v>
      </c>
      <c r="AD247" s="299">
        <f>Table1[[#This Row],[Selling EUR]]-Table1[[#This Row],[Cost EUR]]</f>
        <v>0</v>
      </c>
      <c r="AE247" s="321" t="s">
        <v>54</v>
      </c>
      <c r="AF247" s="294">
        <v>45970</v>
      </c>
      <c r="AG247" s="294"/>
      <c r="AH247" s="321">
        <v>70</v>
      </c>
      <c r="AI247" s="323"/>
      <c r="AJ247" s="338"/>
      <c r="AK247" s="323" t="s">
        <v>2385</v>
      </c>
      <c r="AL247" s="338">
        <v>0.9375</v>
      </c>
      <c r="AM247" s="338"/>
      <c r="AN247" s="323"/>
      <c r="AO247" s="282"/>
      <c r="AP247" s="306"/>
      <c r="AQ247" s="282"/>
      <c r="AR247" s="282"/>
      <c r="AS247" s="282"/>
      <c r="AT247" s="281"/>
      <c r="AU247" s="281"/>
      <c r="AV247" s="281"/>
      <c r="AW247" s="281"/>
      <c r="AX247" s="281"/>
      <c r="AY247" s="281"/>
      <c r="AZ247" s="281"/>
    </row>
    <row r="248" spans="1:52" ht="15" customHeight="1" x14ac:dyDescent="0.3">
      <c r="A248" s="294">
        <v>45969</v>
      </c>
      <c r="B248" s="321" t="s">
        <v>47</v>
      </c>
      <c r="C248" s="321" t="s">
        <v>47</v>
      </c>
      <c r="D248" s="294" t="s">
        <v>137</v>
      </c>
      <c r="E248" s="321" t="s">
        <v>138</v>
      </c>
      <c r="F248" s="295">
        <v>2025032</v>
      </c>
      <c r="G248" s="296"/>
      <c r="H248" s="280" t="s">
        <v>58</v>
      </c>
      <c r="I248" s="323" t="s">
        <v>139</v>
      </c>
      <c r="J248" s="323" t="s">
        <v>2555</v>
      </c>
      <c r="K248" s="294">
        <v>45972</v>
      </c>
      <c r="L248" s="294">
        <v>45987</v>
      </c>
      <c r="M248" s="284">
        <f>Table1[[#This Row],[Dep Date]]-Table1[[#This Row],[Arr Date]]</f>
        <v>15</v>
      </c>
      <c r="N248" s="323" t="s">
        <v>52</v>
      </c>
      <c r="O248" s="321">
        <v>1</v>
      </c>
      <c r="P248" s="321">
        <v>2</v>
      </c>
      <c r="Q248" s="321"/>
      <c r="R248" s="321"/>
      <c r="S248" s="321" t="s">
        <v>53</v>
      </c>
      <c r="T248" s="326" t="s">
        <v>1861</v>
      </c>
      <c r="U248" s="297"/>
      <c r="V248" s="294"/>
      <c r="W248" s="297">
        <v>0</v>
      </c>
      <c r="X248" s="294"/>
      <c r="Y248" s="329"/>
      <c r="Z248" s="329"/>
      <c r="AA248" s="332">
        <f>Table1[[#This Row],[Selling USD]]-Table1[[#This Row],[Cost USD]]</f>
        <v>0</v>
      </c>
      <c r="AB248" s="335">
        <v>1500</v>
      </c>
      <c r="AC248" s="298">
        <v>1500</v>
      </c>
      <c r="AD248" s="299">
        <f>Table1[[#This Row],[Selling EUR]]-Table1[[#This Row],[Cost EUR]]</f>
        <v>0</v>
      </c>
      <c r="AE248" s="321" t="s">
        <v>54</v>
      </c>
      <c r="AF248" s="294">
        <v>45970</v>
      </c>
      <c r="AG248" s="294"/>
      <c r="AH248" s="321">
        <v>140</v>
      </c>
      <c r="AI248" s="323"/>
      <c r="AJ248" s="338"/>
      <c r="AK248" s="323" t="s">
        <v>2386</v>
      </c>
      <c r="AL248" s="338">
        <v>0.60069444444444442</v>
      </c>
      <c r="AM248" s="338"/>
      <c r="AN248" s="323"/>
      <c r="AO248" s="282"/>
      <c r="AP248" s="306"/>
      <c r="AQ248" s="282"/>
      <c r="AR248" s="282"/>
      <c r="AS248" s="282"/>
      <c r="AT248" s="281"/>
      <c r="AU248" s="281"/>
      <c r="AV248" s="281"/>
      <c r="AW248" s="281"/>
      <c r="AX248" s="281"/>
      <c r="AY248" s="281"/>
      <c r="AZ248" s="281"/>
    </row>
    <row r="249" spans="1:52" ht="15" customHeight="1" x14ac:dyDescent="0.3">
      <c r="A249" s="294">
        <v>45969</v>
      </c>
      <c r="B249" s="321" t="s">
        <v>73</v>
      </c>
      <c r="C249" s="321" t="s">
        <v>73</v>
      </c>
      <c r="D249" s="294" t="s">
        <v>48</v>
      </c>
      <c r="E249" s="321" t="s">
        <v>61</v>
      </c>
      <c r="F249" s="295">
        <v>17074011</v>
      </c>
      <c r="G249" s="296"/>
      <c r="H249" s="280" t="s">
        <v>50</v>
      </c>
      <c r="I249" s="323" t="s">
        <v>76</v>
      </c>
      <c r="J249" s="323" t="s">
        <v>2556</v>
      </c>
      <c r="K249" s="294">
        <v>45983</v>
      </c>
      <c r="L249" s="294">
        <v>45990</v>
      </c>
      <c r="M249" s="284">
        <f>Table1[[#This Row],[Dep Date]]-Table1[[#This Row],[Arr Date]]</f>
        <v>7</v>
      </c>
      <c r="N249" s="323" t="s">
        <v>52</v>
      </c>
      <c r="O249" s="321">
        <v>1</v>
      </c>
      <c r="P249" s="321">
        <v>2</v>
      </c>
      <c r="Q249" s="321"/>
      <c r="R249" s="321"/>
      <c r="S249" s="321" t="s">
        <v>53</v>
      </c>
      <c r="T249" s="326" t="s">
        <v>1862</v>
      </c>
      <c r="U249" s="297"/>
      <c r="V249" s="294"/>
      <c r="W249" s="297">
        <v>0</v>
      </c>
      <c r="X249" s="294"/>
      <c r="Y249" s="329"/>
      <c r="Z249" s="329"/>
      <c r="AA249" s="332">
        <f>Table1[[#This Row],[Selling USD]]-Table1[[#This Row],[Cost USD]]</f>
        <v>0</v>
      </c>
      <c r="AB249" s="335"/>
      <c r="AC249" s="298"/>
      <c r="AD249" s="299">
        <f>Table1[[#This Row],[Selling EUR]]-Table1[[#This Row],[Cost EUR]]</f>
        <v>0</v>
      </c>
      <c r="AE249" s="321"/>
      <c r="AF249" s="294"/>
      <c r="AG249" s="294"/>
      <c r="AH249" s="321"/>
      <c r="AI249" s="323"/>
      <c r="AJ249" s="338"/>
      <c r="AK249" s="323"/>
      <c r="AL249" s="338"/>
      <c r="AM249" s="338"/>
      <c r="AN249" s="323"/>
      <c r="AO249" s="282"/>
      <c r="AP249" s="306"/>
      <c r="AQ249" s="282"/>
      <c r="AR249" s="282"/>
      <c r="AS249" s="282"/>
      <c r="AT249" s="281"/>
      <c r="AU249" s="281"/>
      <c r="AV249" s="281"/>
      <c r="AW249" s="281"/>
      <c r="AX249" s="281"/>
      <c r="AY249" s="281"/>
      <c r="AZ249" s="281"/>
    </row>
    <row r="250" spans="1:52" ht="15" customHeight="1" x14ac:dyDescent="0.3">
      <c r="A250" s="294">
        <v>45970</v>
      </c>
      <c r="B250" s="321" t="s">
        <v>47</v>
      </c>
      <c r="C250" s="321" t="s">
        <v>47</v>
      </c>
      <c r="D250" s="294" t="s">
        <v>48</v>
      </c>
      <c r="E250" s="321" t="s">
        <v>49</v>
      </c>
      <c r="F250" s="295">
        <v>17076062</v>
      </c>
      <c r="G250" s="296"/>
      <c r="H250" s="280" t="s">
        <v>50</v>
      </c>
      <c r="I250" s="323" t="s">
        <v>133</v>
      </c>
      <c r="J250" s="323" t="s">
        <v>128</v>
      </c>
      <c r="K250" s="294">
        <v>46014</v>
      </c>
      <c r="L250" s="294">
        <v>46021</v>
      </c>
      <c r="M250" s="284">
        <f>Table1[[#This Row],[Dep Date]]-Table1[[#This Row],[Arr Date]]</f>
        <v>7</v>
      </c>
      <c r="N250" s="323" t="s">
        <v>52</v>
      </c>
      <c r="O250" s="321">
        <v>1</v>
      </c>
      <c r="P250" s="321">
        <v>2</v>
      </c>
      <c r="Q250" s="321"/>
      <c r="R250" s="321"/>
      <c r="S250" s="321" t="s">
        <v>53</v>
      </c>
      <c r="T250" s="326" t="s">
        <v>1863</v>
      </c>
      <c r="U250" s="297"/>
      <c r="V250" s="294"/>
      <c r="W250" s="297">
        <v>0</v>
      </c>
      <c r="X250" s="294"/>
      <c r="Y250" s="329"/>
      <c r="Z250" s="329"/>
      <c r="AA250" s="332">
        <f>Table1[[#This Row],[Selling USD]]-Table1[[#This Row],[Cost USD]]</f>
        <v>0</v>
      </c>
      <c r="AB250" s="335">
        <f>56*2*7</f>
        <v>784</v>
      </c>
      <c r="AC250" s="298">
        <v>798</v>
      </c>
      <c r="AD250" s="299">
        <f>Table1[[#This Row],[Selling EUR]]-Table1[[#This Row],[Cost EUR]]</f>
        <v>14</v>
      </c>
      <c r="AE250" s="321" t="s">
        <v>54</v>
      </c>
      <c r="AF250" s="294">
        <v>46014</v>
      </c>
      <c r="AG250" s="294"/>
      <c r="AH250" s="321"/>
      <c r="AI250" s="323"/>
      <c r="AJ250" s="338"/>
      <c r="AK250" s="323"/>
      <c r="AL250" s="338"/>
      <c r="AM250" s="338"/>
      <c r="AN250" s="323"/>
      <c r="AO250" s="282"/>
      <c r="AP250" s="306"/>
      <c r="AQ250" s="282"/>
      <c r="AR250" s="282"/>
      <c r="AS250" s="282"/>
      <c r="AT250" s="281"/>
      <c r="AU250" s="281"/>
      <c r="AV250" s="281"/>
      <c r="AW250" s="281"/>
      <c r="AX250" s="281"/>
      <c r="AY250" s="281"/>
      <c r="AZ250" s="281"/>
    </row>
    <row r="251" spans="1:52" ht="15" customHeight="1" x14ac:dyDescent="0.3">
      <c r="A251" s="294">
        <v>45970</v>
      </c>
      <c r="B251" s="321" t="s">
        <v>47</v>
      </c>
      <c r="C251" s="321" t="s">
        <v>47</v>
      </c>
      <c r="D251" s="294" t="s">
        <v>48</v>
      </c>
      <c r="E251" s="321" t="s">
        <v>49</v>
      </c>
      <c r="F251" s="295">
        <v>17075496</v>
      </c>
      <c r="G251" s="296"/>
      <c r="H251" s="280" t="s">
        <v>50</v>
      </c>
      <c r="I251" s="323" t="s">
        <v>120</v>
      </c>
      <c r="J251" s="323" t="s">
        <v>2557</v>
      </c>
      <c r="K251" s="294">
        <v>46019</v>
      </c>
      <c r="L251" s="294">
        <v>46032</v>
      </c>
      <c r="M251" s="284">
        <f>Table1[[#This Row],[Dep Date]]-Table1[[#This Row],[Arr Date]]</f>
        <v>13</v>
      </c>
      <c r="N251" s="323" t="s">
        <v>65</v>
      </c>
      <c r="O251" s="321">
        <v>1</v>
      </c>
      <c r="P251" s="321">
        <v>1</v>
      </c>
      <c r="Q251" s="321"/>
      <c r="R251" s="321"/>
      <c r="S251" s="321" t="s">
        <v>53</v>
      </c>
      <c r="T251" s="326" t="s">
        <v>1864</v>
      </c>
      <c r="U251" s="297"/>
      <c r="V251" s="294"/>
      <c r="W251" s="297">
        <v>0</v>
      </c>
      <c r="X251" s="294"/>
      <c r="Y251" s="329"/>
      <c r="Z251" s="329"/>
      <c r="AA251" s="332">
        <f>Table1[[#This Row],[Selling USD]]-Table1[[#This Row],[Cost USD]]</f>
        <v>0</v>
      </c>
      <c r="AB251" s="335">
        <f>45*1.5*6+37.5*1.5*7+85</f>
        <v>883.75</v>
      </c>
      <c r="AC251" s="298">
        <v>918.25</v>
      </c>
      <c r="AD251" s="299">
        <f>Table1[[#This Row],[Selling EUR]]-Table1[[#This Row],[Cost EUR]]</f>
        <v>34.5</v>
      </c>
      <c r="AE251" s="321" t="s">
        <v>54</v>
      </c>
      <c r="AF251" s="294">
        <v>46012</v>
      </c>
      <c r="AG251" s="294" t="s">
        <v>2357</v>
      </c>
      <c r="AH251" s="321"/>
      <c r="AI251" s="323"/>
      <c r="AJ251" s="338"/>
      <c r="AK251" s="323"/>
      <c r="AL251" s="338"/>
      <c r="AM251" s="338"/>
      <c r="AN251" s="323"/>
      <c r="AO251" s="282"/>
      <c r="AP251" s="306"/>
      <c r="AQ251" s="282"/>
      <c r="AR251" s="282"/>
      <c r="AS251" s="282"/>
      <c r="AT251" s="281"/>
      <c r="AU251" s="281"/>
      <c r="AV251" s="281"/>
      <c r="AW251" s="281"/>
      <c r="AX251" s="281"/>
      <c r="AY251" s="281"/>
      <c r="AZ251" s="281"/>
    </row>
    <row r="252" spans="1:52" ht="15" customHeight="1" x14ac:dyDescent="0.3">
      <c r="A252" s="294">
        <v>45970</v>
      </c>
      <c r="B252" s="321" t="s">
        <v>47</v>
      </c>
      <c r="C252" s="321" t="s">
        <v>47</v>
      </c>
      <c r="D252" s="294" t="s">
        <v>79</v>
      </c>
      <c r="E252" s="321" t="s">
        <v>49</v>
      </c>
      <c r="F252" s="295">
        <v>14554947</v>
      </c>
      <c r="G252" s="296">
        <v>20303593</v>
      </c>
      <c r="H252" s="280" t="s">
        <v>50</v>
      </c>
      <c r="I252" s="323" t="s">
        <v>140</v>
      </c>
      <c r="J252" s="323" t="s">
        <v>1474</v>
      </c>
      <c r="K252" s="294">
        <v>46023</v>
      </c>
      <c r="L252" s="294">
        <v>46030</v>
      </c>
      <c r="M252" s="284">
        <f>Table1[[#This Row],[Dep Date]]-Table1[[#This Row],[Arr Date]]</f>
        <v>7</v>
      </c>
      <c r="N252" s="323" t="s">
        <v>52</v>
      </c>
      <c r="O252" s="321">
        <v>1</v>
      </c>
      <c r="P252" s="321">
        <v>2</v>
      </c>
      <c r="Q252" s="321"/>
      <c r="R252" s="321"/>
      <c r="S252" s="321" t="s">
        <v>53</v>
      </c>
      <c r="T252" s="326" t="s">
        <v>1865</v>
      </c>
      <c r="U252" s="297" t="s">
        <v>2246</v>
      </c>
      <c r="V252" s="294"/>
      <c r="W252" s="297">
        <v>0</v>
      </c>
      <c r="X252" s="294"/>
      <c r="Y252" s="329"/>
      <c r="Z252" s="329"/>
      <c r="AA252" s="332">
        <f>Table1[[#This Row],[Selling USD]]-Table1[[#This Row],[Cost USD]]</f>
        <v>0</v>
      </c>
      <c r="AB252" s="335">
        <f>91*2*0.68*7</f>
        <v>866.32</v>
      </c>
      <c r="AC252" s="298">
        <v>874.98</v>
      </c>
      <c r="AD252" s="299">
        <f>Table1[[#This Row],[Selling EUR]]-Table1[[#This Row],[Cost EUR]]</f>
        <v>8.6599999999999682</v>
      </c>
      <c r="AE252" s="321" t="s">
        <v>54</v>
      </c>
      <c r="AF252" s="294">
        <v>46016</v>
      </c>
      <c r="AG252" s="294"/>
      <c r="AH252" s="321"/>
      <c r="AI252" s="323"/>
      <c r="AJ252" s="338"/>
      <c r="AK252" s="323"/>
      <c r="AL252" s="338"/>
      <c r="AM252" s="338"/>
      <c r="AN252" s="323"/>
      <c r="AO252" s="282"/>
      <c r="AP252" s="306"/>
      <c r="AQ252" s="282"/>
      <c r="AR252" s="282"/>
      <c r="AS252" s="282"/>
      <c r="AT252" s="281"/>
      <c r="AU252" s="281"/>
      <c r="AV252" s="281"/>
      <c r="AW252" s="281"/>
      <c r="AX252" s="281"/>
      <c r="AY252" s="281"/>
      <c r="AZ252" s="281"/>
    </row>
    <row r="253" spans="1:52" ht="15" customHeight="1" x14ac:dyDescent="0.3">
      <c r="A253" s="294">
        <v>45971</v>
      </c>
      <c r="B253" s="321" t="s">
        <v>73</v>
      </c>
      <c r="C253" s="321" t="s">
        <v>73</v>
      </c>
      <c r="D253" s="294" t="s">
        <v>79</v>
      </c>
      <c r="E253" s="321" t="s">
        <v>49</v>
      </c>
      <c r="F253" s="295">
        <v>14563639</v>
      </c>
      <c r="G253" s="296">
        <v>20303595</v>
      </c>
      <c r="H253" s="280" t="s">
        <v>84</v>
      </c>
      <c r="I253" s="323" t="s">
        <v>123</v>
      </c>
      <c r="J253" s="323" t="s">
        <v>2533</v>
      </c>
      <c r="K253" s="294">
        <v>45992</v>
      </c>
      <c r="L253" s="294">
        <v>45998</v>
      </c>
      <c r="M253" s="284">
        <f>Table1[[#This Row],[Dep Date]]-Table1[[#This Row],[Arr Date]]</f>
        <v>6</v>
      </c>
      <c r="N253" s="323" t="s">
        <v>52</v>
      </c>
      <c r="O253" s="321">
        <v>1</v>
      </c>
      <c r="P253" s="321">
        <v>2</v>
      </c>
      <c r="Q253" s="321"/>
      <c r="R253" s="321"/>
      <c r="S253" s="321" t="s">
        <v>53</v>
      </c>
      <c r="T253" s="326" t="s">
        <v>1866</v>
      </c>
      <c r="U253" s="297">
        <v>0</v>
      </c>
      <c r="V253" s="294"/>
      <c r="W253" s="297">
        <v>0</v>
      </c>
      <c r="X253" s="294"/>
      <c r="Y253" s="329"/>
      <c r="Z253" s="329"/>
      <c r="AA253" s="332">
        <f>Table1[[#This Row],[Selling USD]]-Table1[[#This Row],[Cost USD]]</f>
        <v>0</v>
      </c>
      <c r="AB253" s="335"/>
      <c r="AC253" s="298"/>
      <c r="AD253" s="299">
        <f>Table1[[#This Row],[Selling EUR]]-Table1[[#This Row],[Cost EUR]]</f>
        <v>0</v>
      </c>
      <c r="AE253" s="321" t="s">
        <v>54</v>
      </c>
      <c r="AF253" s="294">
        <v>45984</v>
      </c>
      <c r="AG253" s="294"/>
      <c r="AH253" s="321"/>
      <c r="AI253" s="323"/>
      <c r="AJ253" s="338"/>
      <c r="AK253" s="323"/>
      <c r="AL253" s="338"/>
      <c r="AM253" s="338"/>
      <c r="AN253" s="323"/>
      <c r="AO253" s="282"/>
      <c r="AP253" s="306"/>
      <c r="AQ253" s="282"/>
      <c r="AR253" s="282"/>
      <c r="AS253" s="282"/>
      <c r="AT253" s="281"/>
      <c r="AU253" s="281"/>
      <c r="AV253" s="281"/>
      <c r="AW253" s="281"/>
      <c r="AX253" s="281"/>
      <c r="AY253" s="281"/>
      <c r="AZ253" s="281"/>
    </row>
    <row r="254" spans="1:52" ht="15" customHeight="1" x14ac:dyDescent="0.3">
      <c r="A254" s="294">
        <v>45971</v>
      </c>
      <c r="B254" s="321" t="s">
        <v>73</v>
      </c>
      <c r="C254" s="321" t="s">
        <v>73</v>
      </c>
      <c r="D254" s="294" t="s">
        <v>79</v>
      </c>
      <c r="E254" s="321" t="s">
        <v>106</v>
      </c>
      <c r="F254" s="295">
        <v>14561166</v>
      </c>
      <c r="G254" s="296">
        <v>20303594</v>
      </c>
      <c r="H254" s="280" t="s">
        <v>50</v>
      </c>
      <c r="I254" s="323" t="s">
        <v>81</v>
      </c>
      <c r="J254" s="323" t="s">
        <v>2469</v>
      </c>
      <c r="K254" s="294">
        <v>46020</v>
      </c>
      <c r="L254" s="294">
        <v>46027</v>
      </c>
      <c r="M254" s="284">
        <f>Table1[[#This Row],[Dep Date]]-Table1[[#This Row],[Arr Date]]</f>
        <v>7</v>
      </c>
      <c r="N254" s="323" t="s">
        <v>52</v>
      </c>
      <c r="O254" s="321">
        <v>1</v>
      </c>
      <c r="P254" s="321">
        <v>2</v>
      </c>
      <c r="Q254" s="321"/>
      <c r="R254" s="321"/>
      <c r="S254" s="321" t="s">
        <v>53</v>
      </c>
      <c r="T254" s="326" t="s">
        <v>1867</v>
      </c>
      <c r="U254" s="297">
        <v>0</v>
      </c>
      <c r="V254" s="294"/>
      <c r="W254" s="297">
        <v>0</v>
      </c>
      <c r="X254" s="294"/>
      <c r="Y254" s="329"/>
      <c r="Z254" s="329"/>
      <c r="AA254" s="332">
        <f>Table1[[#This Row],[Selling USD]]-Table1[[#This Row],[Cost USD]]</f>
        <v>0</v>
      </c>
      <c r="AB254" s="335"/>
      <c r="AC254" s="298"/>
      <c r="AD254" s="299">
        <f>Table1[[#This Row],[Selling EUR]]-Table1[[#This Row],[Cost EUR]]</f>
        <v>0</v>
      </c>
      <c r="AE254" s="321"/>
      <c r="AF254" s="294"/>
      <c r="AG254" s="294"/>
      <c r="AH254" s="321"/>
      <c r="AI254" s="323"/>
      <c r="AJ254" s="338"/>
      <c r="AK254" s="323"/>
      <c r="AL254" s="338"/>
      <c r="AM254" s="338"/>
      <c r="AN254" s="323"/>
      <c r="AO254" s="282"/>
      <c r="AP254" s="306"/>
      <c r="AQ254" s="282"/>
      <c r="AR254" s="282"/>
      <c r="AS254" s="282"/>
      <c r="AT254" s="281"/>
      <c r="AU254" s="281"/>
      <c r="AV254" s="281"/>
      <c r="AW254" s="281"/>
      <c r="AX254" s="281"/>
      <c r="AY254" s="281"/>
      <c r="AZ254" s="281"/>
    </row>
    <row r="255" spans="1:52" ht="15" customHeight="1" x14ac:dyDescent="0.3">
      <c r="A255" s="294">
        <v>45971</v>
      </c>
      <c r="B255" s="321" t="s">
        <v>73</v>
      </c>
      <c r="C255" s="321" t="s">
        <v>73</v>
      </c>
      <c r="D255" s="294" t="s">
        <v>79</v>
      </c>
      <c r="E255" s="321" t="s">
        <v>138</v>
      </c>
      <c r="F255" s="295">
        <v>14580487</v>
      </c>
      <c r="G255" s="296">
        <v>20303598</v>
      </c>
      <c r="H255" s="280" t="s">
        <v>84</v>
      </c>
      <c r="I255" s="323" t="s">
        <v>123</v>
      </c>
      <c r="J255" s="323" t="s">
        <v>2533</v>
      </c>
      <c r="K255" s="294">
        <v>46034</v>
      </c>
      <c r="L255" s="294">
        <v>46041</v>
      </c>
      <c r="M255" s="284">
        <f>Table1[[#This Row],[Dep Date]]-Table1[[#This Row],[Arr Date]]</f>
        <v>7</v>
      </c>
      <c r="N255" s="323" t="s">
        <v>52</v>
      </c>
      <c r="O255" s="321">
        <v>1</v>
      </c>
      <c r="P255" s="321">
        <v>2</v>
      </c>
      <c r="Q255" s="321">
        <v>1</v>
      </c>
      <c r="R255" s="321"/>
      <c r="S255" s="321" t="s">
        <v>53</v>
      </c>
      <c r="T255" s="326" t="s">
        <v>1868</v>
      </c>
      <c r="U255" s="297">
        <v>11.178082191780822</v>
      </c>
      <c r="V255" s="294">
        <v>41954</v>
      </c>
      <c r="W255" s="297">
        <v>0</v>
      </c>
      <c r="X255" s="294"/>
      <c r="Y255" s="329"/>
      <c r="Z255" s="329"/>
      <c r="AA255" s="332">
        <f>Table1[[#This Row],[Selling USD]]-Table1[[#This Row],[Cost USD]]</f>
        <v>0</v>
      </c>
      <c r="AB255" s="335"/>
      <c r="AC255" s="298"/>
      <c r="AD255" s="299">
        <f>Table1[[#This Row],[Selling EUR]]-Table1[[#This Row],[Cost EUR]]</f>
        <v>0</v>
      </c>
      <c r="AE255" s="321" t="s">
        <v>54</v>
      </c>
      <c r="AF255" s="294">
        <v>46027</v>
      </c>
      <c r="AG255" s="294"/>
      <c r="AH255" s="321"/>
      <c r="AI255" s="323"/>
      <c r="AJ255" s="338"/>
      <c r="AK255" s="323"/>
      <c r="AL255" s="338"/>
      <c r="AM255" s="338"/>
      <c r="AN255" s="323"/>
      <c r="AO255" s="282"/>
      <c r="AP255" s="306"/>
      <c r="AQ255" s="282"/>
      <c r="AR255" s="282"/>
      <c r="AS255" s="282"/>
      <c r="AT255" s="281"/>
      <c r="AU255" s="281"/>
      <c r="AV255" s="281"/>
      <c r="AW255" s="281"/>
      <c r="AX255" s="281"/>
      <c r="AY255" s="281"/>
      <c r="AZ255" s="281"/>
    </row>
    <row r="256" spans="1:52" ht="15" customHeight="1" x14ac:dyDescent="0.3">
      <c r="A256" s="294">
        <v>45971</v>
      </c>
      <c r="B256" s="321" t="s">
        <v>73</v>
      </c>
      <c r="C256" s="321" t="s">
        <v>73</v>
      </c>
      <c r="D256" s="294" t="s">
        <v>79</v>
      </c>
      <c r="E256" s="321" t="s">
        <v>106</v>
      </c>
      <c r="F256" s="295">
        <v>14566700</v>
      </c>
      <c r="G256" s="296">
        <v>20303596</v>
      </c>
      <c r="H256" s="280" t="s">
        <v>50</v>
      </c>
      <c r="I256" s="323" t="s">
        <v>82</v>
      </c>
      <c r="J256" s="323" t="s">
        <v>2529</v>
      </c>
      <c r="K256" s="294">
        <v>46042</v>
      </c>
      <c r="L256" s="294">
        <v>46056</v>
      </c>
      <c r="M256" s="284">
        <f>Table1[[#This Row],[Dep Date]]-Table1[[#This Row],[Arr Date]]</f>
        <v>14</v>
      </c>
      <c r="N256" s="323" t="s">
        <v>52</v>
      </c>
      <c r="O256" s="321">
        <v>1</v>
      </c>
      <c r="P256" s="321">
        <v>2</v>
      </c>
      <c r="Q256" s="321"/>
      <c r="R256" s="321"/>
      <c r="S256" s="321" t="s">
        <v>53</v>
      </c>
      <c r="T256" s="326" t="s">
        <v>1869</v>
      </c>
      <c r="U256" s="297">
        <v>0</v>
      </c>
      <c r="V256" s="294"/>
      <c r="W256" s="297">
        <v>0</v>
      </c>
      <c r="X256" s="294"/>
      <c r="Y256" s="329"/>
      <c r="Z256" s="329"/>
      <c r="AA256" s="332">
        <f>Table1[[#This Row],[Selling USD]]-Table1[[#This Row],[Cost USD]]</f>
        <v>0</v>
      </c>
      <c r="AB256" s="335"/>
      <c r="AC256" s="298"/>
      <c r="AD256" s="299">
        <f>Table1[[#This Row],[Selling EUR]]-Table1[[#This Row],[Cost EUR]]</f>
        <v>0</v>
      </c>
      <c r="AE256" s="321"/>
      <c r="AF256" s="294"/>
      <c r="AG256" s="294"/>
      <c r="AH256" s="321"/>
      <c r="AI256" s="323"/>
      <c r="AJ256" s="338"/>
      <c r="AK256" s="323"/>
      <c r="AL256" s="338"/>
      <c r="AM256" s="338"/>
      <c r="AN256" s="323"/>
      <c r="AO256" s="282"/>
      <c r="AP256" s="306"/>
      <c r="AQ256" s="282"/>
      <c r="AR256" s="282"/>
      <c r="AS256" s="282"/>
      <c r="AT256" s="281"/>
      <c r="AU256" s="281"/>
      <c r="AV256" s="281"/>
      <c r="AW256" s="281"/>
      <c r="AX256" s="281"/>
      <c r="AY256" s="281"/>
      <c r="AZ256" s="281"/>
    </row>
    <row r="257" spans="1:52" ht="15" customHeight="1" x14ac:dyDescent="0.3">
      <c r="A257" s="294">
        <v>45971</v>
      </c>
      <c r="B257" s="321" t="s">
        <v>73</v>
      </c>
      <c r="C257" s="321" t="s">
        <v>73</v>
      </c>
      <c r="D257" s="294" t="s">
        <v>48</v>
      </c>
      <c r="E257" s="321" t="s">
        <v>49</v>
      </c>
      <c r="F257" s="295">
        <v>17076846</v>
      </c>
      <c r="G257" s="296"/>
      <c r="H257" s="280" t="s">
        <v>50</v>
      </c>
      <c r="I257" s="323" t="s">
        <v>103</v>
      </c>
      <c r="J257" s="323" t="s">
        <v>2558</v>
      </c>
      <c r="K257" s="294">
        <v>46067</v>
      </c>
      <c r="L257" s="294">
        <v>46074</v>
      </c>
      <c r="M257" s="284">
        <f>Table1[[#This Row],[Dep Date]]-Table1[[#This Row],[Arr Date]]</f>
        <v>7</v>
      </c>
      <c r="N257" s="323" t="s">
        <v>52</v>
      </c>
      <c r="O257" s="321">
        <v>1</v>
      </c>
      <c r="P257" s="321">
        <v>2</v>
      </c>
      <c r="Q257" s="321">
        <v>2</v>
      </c>
      <c r="R257" s="321"/>
      <c r="S257" s="321" t="s">
        <v>53</v>
      </c>
      <c r="T257" s="327" t="s">
        <v>1870</v>
      </c>
      <c r="U257" s="297" t="s">
        <v>2267</v>
      </c>
      <c r="V257" s="294"/>
      <c r="W257" s="297">
        <v>0</v>
      </c>
      <c r="X257" s="294"/>
      <c r="Y257" s="329"/>
      <c r="Z257" s="329"/>
      <c r="AA257" s="332">
        <f>Table1[[#This Row],[Selling USD]]-Table1[[#This Row],[Cost USD]]</f>
        <v>0</v>
      </c>
      <c r="AB257" s="335"/>
      <c r="AC257" s="298"/>
      <c r="AD257" s="299">
        <f>Table1[[#This Row],[Selling EUR]]-Table1[[#This Row],[Cost EUR]]</f>
        <v>0</v>
      </c>
      <c r="AE257" s="321" t="s">
        <v>54</v>
      </c>
      <c r="AF257" s="294">
        <v>46055</v>
      </c>
      <c r="AG257" s="294"/>
      <c r="AH257" s="321"/>
      <c r="AI257" s="323"/>
      <c r="AJ257" s="338"/>
      <c r="AK257" s="323"/>
      <c r="AL257" s="338"/>
      <c r="AM257" s="338"/>
      <c r="AN257" s="323"/>
      <c r="AO257" s="282"/>
      <c r="AP257" s="306"/>
      <c r="AQ257" s="282"/>
      <c r="AR257" s="282"/>
      <c r="AS257" s="282"/>
      <c r="AT257" s="281"/>
      <c r="AU257" s="281"/>
      <c r="AV257" s="281"/>
      <c r="AW257" s="281"/>
      <c r="AX257" s="281"/>
      <c r="AY257" s="281"/>
      <c r="AZ257" s="281"/>
    </row>
    <row r="258" spans="1:52" ht="15" customHeight="1" x14ac:dyDescent="0.3">
      <c r="A258" s="294">
        <v>45971</v>
      </c>
      <c r="B258" s="321" t="s">
        <v>47</v>
      </c>
      <c r="C258" s="321" t="s">
        <v>47</v>
      </c>
      <c r="D258" s="294" t="s">
        <v>137</v>
      </c>
      <c r="E258" s="321" t="s">
        <v>138</v>
      </c>
      <c r="F258" s="295">
        <v>2025033</v>
      </c>
      <c r="G258" s="296"/>
      <c r="H258" s="280" t="s">
        <v>58</v>
      </c>
      <c r="I258" s="323" t="s">
        <v>141</v>
      </c>
      <c r="J258" s="323" t="s">
        <v>2559</v>
      </c>
      <c r="K258" s="294">
        <v>45979</v>
      </c>
      <c r="L258" s="294">
        <v>46007</v>
      </c>
      <c r="M258" s="284">
        <f>Table1[[#This Row],[Dep Date]]-Table1[[#This Row],[Arr Date]]</f>
        <v>28</v>
      </c>
      <c r="N258" s="323" t="s">
        <v>52</v>
      </c>
      <c r="O258" s="321">
        <v>1</v>
      </c>
      <c r="P258" s="321">
        <v>4</v>
      </c>
      <c r="Q258" s="321"/>
      <c r="R258" s="321"/>
      <c r="S258" s="321" t="s">
        <v>53</v>
      </c>
      <c r="T258" s="326" t="s">
        <v>1871</v>
      </c>
      <c r="U258" s="297"/>
      <c r="V258" s="294"/>
      <c r="W258" s="297">
        <v>0</v>
      </c>
      <c r="X258" s="294"/>
      <c r="Y258" s="329">
        <f>45*2*28*2</f>
        <v>5040</v>
      </c>
      <c r="Z258" s="329">
        <v>5264</v>
      </c>
      <c r="AA258" s="332">
        <f>Table1[[#This Row],[Selling USD]]-Table1[[#This Row],[Cost USD]]</f>
        <v>224</v>
      </c>
      <c r="AB258" s="335"/>
      <c r="AC258" s="298"/>
      <c r="AD258" s="299">
        <f>Table1[[#This Row],[Selling EUR]]-Table1[[#This Row],[Cost EUR]]</f>
        <v>0</v>
      </c>
      <c r="AE258" s="321" t="s">
        <v>54</v>
      </c>
      <c r="AF258" s="294">
        <v>45972</v>
      </c>
      <c r="AG258" s="294"/>
      <c r="AH258" s="321">
        <v>280</v>
      </c>
      <c r="AI258" s="323" t="s">
        <v>2387</v>
      </c>
      <c r="AJ258" s="338">
        <v>0.54513888888888884</v>
      </c>
      <c r="AK258" s="323" t="s">
        <v>2388</v>
      </c>
      <c r="AL258" s="338">
        <v>0.58333333333333337</v>
      </c>
      <c r="AM258" s="338"/>
      <c r="AN258" s="323"/>
      <c r="AO258" s="282"/>
      <c r="AP258" s="306"/>
      <c r="AQ258" s="282"/>
      <c r="AR258" s="282"/>
      <c r="AS258" s="282"/>
      <c r="AT258" s="281"/>
      <c r="AU258" s="281"/>
      <c r="AV258" s="281"/>
      <c r="AW258" s="281"/>
      <c r="AX258" s="281"/>
      <c r="AY258" s="281"/>
      <c r="AZ258" s="281"/>
    </row>
    <row r="259" spans="1:52" ht="15" customHeight="1" x14ac:dyDescent="0.3">
      <c r="A259" s="294">
        <v>45974</v>
      </c>
      <c r="B259" s="321" t="s">
        <v>73</v>
      </c>
      <c r="C259" s="321" t="s">
        <v>73</v>
      </c>
      <c r="D259" s="294" t="s">
        <v>79</v>
      </c>
      <c r="E259" s="321" t="s">
        <v>106</v>
      </c>
      <c r="F259" s="295">
        <v>14599794</v>
      </c>
      <c r="G259" s="296">
        <v>20303602</v>
      </c>
      <c r="H259" s="280" t="s">
        <v>84</v>
      </c>
      <c r="I259" s="323" t="s">
        <v>113</v>
      </c>
      <c r="J259" s="323" t="s">
        <v>2560</v>
      </c>
      <c r="K259" s="294">
        <v>45982</v>
      </c>
      <c r="L259" s="294">
        <v>45985</v>
      </c>
      <c r="M259" s="284">
        <f>Table1[[#This Row],[Dep Date]]-Table1[[#This Row],[Arr Date]]</f>
        <v>3</v>
      </c>
      <c r="N259" s="323" t="s">
        <v>65</v>
      </c>
      <c r="O259" s="321">
        <v>1</v>
      </c>
      <c r="P259" s="321">
        <v>1</v>
      </c>
      <c r="Q259" s="321"/>
      <c r="R259" s="321"/>
      <c r="S259" s="321" t="s">
        <v>53</v>
      </c>
      <c r="T259" s="326" t="s">
        <v>1872</v>
      </c>
      <c r="U259" s="297">
        <v>0</v>
      </c>
      <c r="V259" s="294"/>
      <c r="W259" s="297">
        <v>0</v>
      </c>
      <c r="X259" s="294"/>
      <c r="Y259" s="329"/>
      <c r="Z259" s="329"/>
      <c r="AA259" s="332">
        <f>Table1[[#This Row],[Selling USD]]-Table1[[#This Row],[Cost USD]]</f>
        <v>0</v>
      </c>
      <c r="AB259" s="335"/>
      <c r="AC259" s="298"/>
      <c r="AD259" s="299">
        <f>Table1[[#This Row],[Selling EUR]]-Table1[[#This Row],[Cost EUR]]</f>
        <v>0</v>
      </c>
      <c r="AE259" s="321" t="s">
        <v>54</v>
      </c>
      <c r="AF259" s="294"/>
      <c r="AG259" s="294"/>
      <c r="AH259" s="321"/>
      <c r="AI259" s="323"/>
      <c r="AJ259" s="338"/>
      <c r="AK259" s="323"/>
      <c r="AL259" s="338"/>
      <c r="AM259" s="338"/>
      <c r="AN259" s="323"/>
      <c r="AO259" s="282"/>
      <c r="AP259" s="306"/>
      <c r="AQ259" s="282"/>
      <c r="AR259" s="282"/>
      <c r="AS259" s="282"/>
      <c r="AT259" s="281"/>
      <c r="AU259" s="281"/>
      <c r="AV259" s="281"/>
      <c r="AW259" s="281"/>
      <c r="AX259" s="281"/>
      <c r="AY259" s="281"/>
      <c r="AZ259" s="281"/>
    </row>
    <row r="260" spans="1:52" ht="15" customHeight="1" x14ac:dyDescent="0.3">
      <c r="A260" s="294">
        <v>45974</v>
      </c>
      <c r="B260" s="321" t="s">
        <v>73</v>
      </c>
      <c r="C260" s="321" t="s">
        <v>73</v>
      </c>
      <c r="D260" s="294" t="s">
        <v>79</v>
      </c>
      <c r="E260" s="321" t="s">
        <v>106</v>
      </c>
      <c r="F260" s="295">
        <v>14599865</v>
      </c>
      <c r="G260" s="296">
        <v>20303603</v>
      </c>
      <c r="H260" s="280" t="s">
        <v>84</v>
      </c>
      <c r="I260" s="323" t="s">
        <v>113</v>
      </c>
      <c r="J260" s="323" t="s">
        <v>2561</v>
      </c>
      <c r="K260" s="294">
        <v>45982</v>
      </c>
      <c r="L260" s="294">
        <v>45985</v>
      </c>
      <c r="M260" s="284">
        <f>Table1[[#This Row],[Dep Date]]-Table1[[#This Row],[Arr Date]]</f>
        <v>3</v>
      </c>
      <c r="N260" s="323" t="s">
        <v>52</v>
      </c>
      <c r="O260" s="321">
        <v>1</v>
      </c>
      <c r="P260" s="321">
        <v>2</v>
      </c>
      <c r="Q260" s="321"/>
      <c r="R260" s="321"/>
      <c r="S260" s="321" t="s">
        <v>53</v>
      </c>
      <c r="T260" s="326" t="s">
        <v>1873</v>
      </c>
      <c r="U260" s="297">
        <v>0</v>
      </c>
      <c r="V260" s="294"/>
      <c r="W260" s="297">
        <v>0</v>
      </c>
      <c r="X260" s="294"/>
      <c r="Y260" s="329"/>
      <c r="Z260" s="329"/>
      <c r="AA260" s="332">
        <f>Table1[[#This Row],[Selling USD]]-Table1[[#This Row],[Cost USD]]</f>
        <v>0</v>
      </c>
      <c r="AB260" s="335"/>
      <c r="AC260" s="298"/>
      <c r="AD260" s="299">
        <f>Table1[[#This Row],[Selling EUR]]-Table1[[#This Row],[Cost EUR]]</f>
        <v>0</v>
      </c>
      <c r="AE260" s="321" t="s">
        <v>54</v>
      </c>
      <c r="AF260" s="294"/>
      <c r="AG260" s="294"/>
      <c r="AH260" s="321"/>
      <c r="AI260" s="323"/>
      <c r="AJ260" s="338"/>
      <c r="AK260" s="323"/>
      <c r="AL260" s="338"/>
      <c r="AM260" s="338"/>
      <c r="AN260" s="323"/>
      <c r="AO260" s="282"/>
      <c r="AP260" s="306"/>
      <c r="AQ260" s="282"/>
      <c r="AR260" s="282"/>
      <c r="AS260" s="282"/>
      <c r="AT260" s="281"/>
      <c r="AU260" s="281"/>
      <c r="AV260" s="281"/>
      <c r="AW260" s="281"/>
      <c r="AX260" s="281"/>
      <c r="AY260" s="281"/>
      <c r="AZ260" s="281"/>
    </row>
    <row r="261" spans="1:52" ht="15" customHeight="1" x14ac:dyDescent="0.3">
      <c r="A261" s="294">
        <v>45974</v>
      </c>
      <c r="B261" s="321" t="s">
        <v>73</v>
      </c>
      <c r="C261" s="321" t="s">
        <v>73</v>
      </c>
      <c r="D261" s="294" t="s">
        <v>79</v>
      </c>
      <c r="E261" s="321" t="s">
        <v>106</v>
      </c>
      <c r="F261" s="295">
        <v>14606348</v>
      </c>
      <c r="G261" s="296">
        <v>20303607</v>
      </c>
      <c r="H261" s="280" t="s">
        <v>84</v>
      </c>
      <c r="I261" s="323" t="s">
        <v>113</v>
      </c>
      <c r="J261" s="323" t="s">
        <v>2562</v>
      </c>
      <c r="K261" s="294">
        <v>45982</v>
      </c>
      <c r="L261" s="294">
        <v>45985</v>
      </c>
      <c r="M261" s="284">
        <f>Table1[[#This Row],[Dep Date]]-Table1[[#This Row],[Arr Date]]</f>
        <v>3</v>
      </c>
      <c r="N261" s="323" t="s">
        <v>52</v>
      </c>
      <c r="O261" s="321">
        <v>1</v>
      </c>
      <c r="P261" s="321">
        <v>2</v>
      </c>
      <c r="Q261" s="321"/>
      <c r="R261" s="321">
        <v>1</v>
      </c>
      <c r="S261" s="321" t="s">
        <v>53</v>
      </c>
      <c r="T261" s="326" t="s">
        <v>1874</v>
      </c>
      <c r="U261" s="297">
        <v>2.1917808219178082E-2</v>
      </c>
      <c r="V261" s="294">
        <v>45974</v>
      </c>
      <c r="W261" s="297">
        <v>0</v>
      </c>
      <c r="X261" s="294"/>
      <c r="Y261" s="329"/>
      <c r="Z261" s="329"/>
      <c r="AA261" s="332">
        <f>Table1[[#This Row],[Selling USD]]-Table1[[#This Row],[Cost USD]]</f>
        <v>0</v>
      </c>
      <c r="AB261" s="335"/>
      <c r="AC261" s="298"/>
      <c r="AD261" s="299">
        <f>Table1[[#This Row],[Selling EUR]]-Table1[[#This Row],[Cost EUR]]</f>
        <v>0</v>
      </c>
      <c r="AE261" s="321"/>
      <c r="AF261" s="294"/>
      <c r="AG261" s="294"/>
      <c r="AH261" s="321"/>
      <c r="AI261" s="323"/>
      <c r="AJ261" s="338"/>
      <c r="AK261" s="323"/>
      <c r="AL261" s="338"/>
      <c r="AM261" s="338"/>
      <c r="AN261" s="323"/>
      <c r="AO261" s="282"/>
      <c r="AP261" s="306"/>
      <c r="AQ261" s="282"/>
      <c r="AR261" s="282"/>
      <c r="AS261" s="282"/>
      <c r="AT261" s="281"/>
      <c r="AU261" s="281"/>
      <c r="AV261" s="281"/>
      <c r="AW261" s="281"/>
      <c r="AX261" s="281"/>
      <c r="AY261" s="281"/>
      <c r="AZ261" s="281"/>
    </row>
    <row r="262" spans="1:52" ht="15" customHeight="1" x14ac:dyDescent="0.3">
      <c r="A262" s="294">
        <v>45974</v>
      </c>
      <c r="B262" s="321" t="s">
        <v>47</v>
      </c>
      <c r="C262" s="321" t="s">
        <v>47</v>
      </c>
      <c r="D262" s="294" t="s">
        <v>79</v>
      </c>
      <c r="E262" s="321" t="s">
        <v>83</v>
      </c>
      <c r="F262" s="295">
        <v>14603177</v>
      </c>
      <c r="G262" s="296">
        <v>20303605</v>
      </c>
      <c r="H262" s="280" t="s">
        <v>84</v>
      </c>
      <c r="I262" s="323" t="s">
        <v>87</v>
      </c>
      <c r="J262" s="323" t="s">
        <v>2514</v>
      </c>
      <c r="K262" s="294">
        <v>45987</v>
      </c>
      <c r="L262" s="294">
        <v>45992</v>
      </c>
      <c r="M262" s="284">
        <f>Table1[[#This Row],[Dep Date]]-Table1[[#This Row],[Arr Date]]</f>
        <v>5</v>
      </c>
      <c r="N262" s="323" t="s">
        <v>52</v>
      </c>
      <c r="O262" s="321">
        <v>1</v>
      </c>
      <c r="P262" s="321">
        <v>2</v>
      </c>
      <c r="Q262" s="321"/>
      <c r="R262" s="321"/>
      <c r="S262" s="321" t="s">
        <v>53</v>
      </c>
      <c r="T262" s="326" t="s">
        <v>1875</v>
      </c>
      <c r="U262" s="297">
        <v>0</v>
      </c>
      <c r="V262" s="294"/>
      <c r="W262" s="297">
        <v>0</v>
      </c>
      <c r="X262" s="294"/>
      <c r="Y262" s="329"/>
      <c r="Z262" s="329"/>
      <c r="AA262" s="332">
        <f>Table1[[#This Row],[Selling USD]]-Table1[[#This Row],[Cost USD]]</f>
        <v>0</v>
      </c>
      <c r="AB262" s="335">
        <f>140*2*1*0.85+112*2*4*0.85</f>
        <v>999.6</v>
      </c>
      <c r="AC262" s="298">
        <v>1009.6</v>
      </c>
      <c r="AD262" s="299">
        <f>Table1[[#This Row],[Selling EUR]]-Table1[[#This Row],[Cost EUR]]</f>
        <v>10</v>
      </c>
      <c r="AE262" s="321" t="s">
        <v>54</v>
      </c>
      <c r="AF262" s="294">
        <v>45981</v>
      </c>
      <c r="AG262" s="294"/>
      <c r="AH262" s="321"/>
      <c r="AI262" s="323"/>
      <c r="AJ262" s="338"/>
      <c r="AK262" s="323"/>
      <c r="AL262" s="338"/>
      <c r="AM262" s="338"/>
      <c r="AN262" s="323"/>
      <c r="AO262" s="282"/>
      <c r="AP262" s="306"/>
      <c r="AQ262" s="282"/>
      <c r="AR262" s="282"/>
      <c r="AS262" s="282"/>
      <c r="AT262" s="281"/>
      <c r="AU262" s="281"/>
      <c r="AV262" s="281"/>
      <c r="AW262" s="281"/>
      <c r="AX262" s="281"/>
      <c r="AY262" s="281"/>
      <c r="AZ262" s="281"/>
    </row>
    <row r="263" spans="1:52" ht="15" customHeight="1" x14ac:dyDescent="0.3">
      <c r="A263" s="294">
        <v>45974</v>
      </c>
      <c r="B263" s="321" t="s">
        <v>47</v>
      </c>
      <c r="C263" s="321" t="s">
        <v>47</v>
      </c>
      <c r="D263" s="294" t="s">
        <v>79</v>
      </c>
      <c r="E263" s="321" t="s">
        <v>138</v>
      </c>
      <c r="F263" s="295">
        <v>14602739</v>
      </c>
      <c r="G263" s="296">
        <v>20303604</v>
      </c>
      <c r="H263" s="280" t="s">
        <v>84</v>
      </c>
      <c r="I263" s="323" t="s">
        <v>123</v>
      </c>
      <c r="J263" s="323" t="s">
        <v>2533</v>
      </c>
      <c r="K263" s="294">
        <v>45994</v>
      </c>
      <c r="L263" s="294">
        <v>46004</v>
      </c>
      <c r="M263" s="284">
        <f>Table1[[#This Row],[Dep Date]]-Table1[[#This Row],[Arr Date]]</f>
        <v>10</v>
      </c>
      <c r="N263" s="323" t="s">
        <v>52</v>
      </c>
      <c r="O263" s="321">
        <v>1</v>
      </c>
      <c r="P263" s="321">
        <v>2</v>
      </c>
      <c r="Q263" s="321"/>
      <c r="R263" s="321"/>
      <c r="S263" s="321" t="s">
        <v>53</v>
      </c>
      <c r="T263" s="326" t="s">
        <v>1876</v>
      </c>
      <c r="U263" s="297">
        <v>0</v>
      </c>
      <c r="V263" s="294"/>
      <c r="W263" s="297">
        <v>0</v>
      </c>
      <c r="X263" s="294"/>
      <c r="Y263" s="329"/>
      <c r="Z263" s="329"/>
      <c r="AA263" s="332">
        <f>Table1[[#This Row],[Selling USD]]-Table1[[#This Row],[Cost USD]]</f>
        <v>0</v>
      </c>
      <c r="AB263" s="335">
        <f>66*2*10</f>
        <v>1320</v>
      </c>
      <c r="AC263" s="298">
        <v>1333.2</v>
      </c>
      <c r="AD263" s="299">
        <f>Table1[[#This Row],[Selling EUR]]-Table1[[#This Row],[Cost EUR]]</f>
        <v>13.200000000000045</v>
      </c>
      <c r="AE263" s="321" t="s">
        <v>54</v>
      </c>
      <c r="AF263" s="294">
        <v>45988</v>
      </c>
      <c r="AG263" s="294"/>
      <c r="AH263" s="321"/>
      <c r="AI263" s="323"/>
      <c r="AJ263" s="338"/>
      <c r="AK263" s="323"/>
      <c r="AL263" s="338"/>
      <c r="AM263" s="338"/>
      <c r="AN263" s="323"/>
      <c r="AO263" s="282"/>
      <c r="AP263" s="306"/>
      <c r="AQ263" s="282"/>
      <c r="AR263" s="282"/>
      <c r="AS263" s="282"/>
      <c r="AT263" s="281"/>
      <c r="AU263" s="281"/>
      <c r="AV263" s="281"/>
      <c r="AW263" s="281"/>
      <c r="AX263" s="281"/>
      <c r="AY263" s="281"/>
      <c r="AZ263" s="281"/>
    </row>
    <row r="264" spans="1:52" ht="15" customHeight="1" x14ac:dyDescent="0.3">
      <c r="A264" s="294">
        <v>45974</v>
      </c>
      <c r="B264" s="321" t="s">
        <v>47</v>
      </c>
      <c r="C264" s="321" t="s">
        <v>47</v>
      </c>
      <c r="D264" s="294" t="s">
        <v>79</v>
      </c>
      <c r="E264" s="321" t="s">
        <v>61</v>
      </c>
      <c r="F264" s="295">
        <v>14597403</v>
      </c>
      <c r="G264" s="296">
        <v>20303599</v>
      </c>
      <c r="H264" s="280" t="s">
        <v>84</v>
      </c>
      <c r="I264" s="323" t="s">
        <v>122</v>
      </c>
      <c r="J264" s="323" t="s">
        <v>1402</v>
      </c>
      <c r="K264" s="294">
        <v>45997</v>
      </c>
      <c r="L264" s="294">
        <v>46001</v>
      </c>
      <c r="M264" s="284">
        <f>Table1[[#This Row],[Dep Date]]-Table1[[#This Row],[Arr Date]]</f>
        <v>4</v>
      </c>
      <c r="N264" s="323" t="s">
        <v>52</v>
      </c>
      <c r="O264" s="321">
        <v>1</v>
      </c>
      <c r="P264" s="321">
        <v>2</v>
      </c>
      <c r="Q264" s="321"/>
      <c r="R264" s="321"/>
      <c r="S264" s="321" t="s">
        <v>53</v>
      </c>
      <c r="T264" s="326" t="s">
        <v>1877</v>
      </c>
      <c r="U264" s="297">
        <v>0</v>
      </c>
      <c r="V264" s="294"/>
      <c r="W264" s="297">
        <v>0</v>
      </c>
      <c r="X264" s="294"/>
      <c r="Y264" s="329">
        <f>39*2*4</f>
        <v>312</v>
      </c>
      <c r="Z264" s="329">
        <v>315.12</v>
      </c>
      <c r="AA264" s="332">
        <f>Table1[[#This Row],[Selling USD]]-Table1[[#This Row],[Cost USD]]</f>
        <v>3.1200000000000045</v>
      </c>
      <c r="AB264" s="335"/>
      <c r="AC264" s="298"/>
      <c r="AD264" s="299">
        <f>Table1[[#This Row],[Selling EUR]]-Table1[[#This Row],[Cost EUR]]</f>
        <v>0</v>
      </c>
      <c r="AE264" s="321" t="s">
        <v>54</v>
      </c>
      <c r="AF264" s="294">
        <v>45992</v>
      </c>
      <c r="AG264" s="294"/>
      <c r="AH264" s="321"/>
      <c r="AI264" s="323"/>
      <c r="AJ264" s="338"/>
      <c r="AK264" s="323"/>
      <c r="AL264" s="338"/>
      <c r="AM264" s="338"/>
      <c r="AN264" s="323"/>
      <c r="AO264" s="282"/>
      <c r="AP264" s="306"/>
      <c r="AQ264" s="282"/>
      <c r="AR264" s="282"/>
      <c r="AS264" s="282"/>
      <c r="AT264" s="281"/>
      <c r="AU264" s="281"/>
      <c r="AV264" s="281"/>
      <c r="AW264" s="281"/>
      <c r="AX264" s="281"/>
      <c r="AY264" s="281"/>
      <c r="AZ264" s="281"/>
    </row>
    <row r="265" spans="1:52" ht="15" customHeight="1" x14ac:dyDescent="0.3">
      <c r="A265" s="294">
        <v>45974</v>
      </c>
      <c r="B265" s="321" t="s">
        <v>73</v>
      </c>
      <c r="C265" s="321" t="s">
        <v>73</v>
      </c>
      <c r="D265" s="294" t="s">
        <v>79</v>
      </c>
      <c r="E265" s="321" t="s">
        <v>49</v>
      </c>
      <c r="F265" s="295">
        <v>14606952</v>
      </c>
      <c r="G265" s="296">
        <v>20303608</v>
      </c>
      <c r="H265" s="280" t="s">
        <v>50</v>
      </c>
      <c r="I265" s="323" t="s">
        <v>142</v>
      </c>
      <c r="J265" s="323" t="s">
        <v>2563</v>
      </c>
      <c r="K265" s="294">
        <v>46019</v>
      </c>
      <c r="L265" s="294">
        <v>46026</v>
      </c>
      <c r="M265" s="284">
        <f>Table1[[#This Row],[Dep Date]]-Table1[[#This Row],[Arr Date]]</f>
        <v>7</v>
      </c>
      <c r="N265" s="323" t="s">
        <v>52</v>
      </c>
      <c r="O265" s="321">
        <v>1</v>
      </c>
      <c r="P265" s="321">
        <v>2</v>
      </c>
      <c r="Q265" s="321"/>
      <c r="R265" s="321"/>
      <c r="S265" s="321" t="s">
        <v>53</v>
      </c>
      <c r="T265" s="326" t="s">
        <v>1878</v>
      </c>
      <c r="U265" s="297">
        <v>0</v>
      </c>
      <c r="V265" s="294"/>
      <c r="W265" s="297">
        <v>0</v>
      </c>
      <c r="X265" s="294"/>
      <c r="Y265" s="329"/>
      <c r="Z265" s="329"/>
      <c r="AA265" s="332">
        <f>Table1[[#This Row],[Selling USD]]-Table1[[#This Row],[Cost USD]]</f>
        <v>0</v>
      </c>
      <c r="AB265" s="335"/>
      <c r="AC265" s="298">
        <v>301.24</v>
      </c>
      <c r="AD265" s="299">
        <f>Table1[[#This Row],[Selling EUR]]-Table1[[#This Row],[Cost EUR]]</f>
        <v>301.24</v>
      </c>
      <c r="AE265" s="321" t="s">
        <v>54</v>
      </c>
      <c r="AF265" s="294">
        <v>46014</v>
      </c>
      <c r="AG265" s="294"/>
      <c r="AH265" s="321"/>
      <c r="AI265" s="323"/>
      <c r="AJ265" s="338"/>
      <c r="AK265" s="323"/>
      <c r="AL265" s="338"/>
      <c r="AM265" s="338"/>
      <c r="AN265" s="323"/>
      <c r="AO265" s="282"/>
      <c r="AP265" s="306"/>
      <c r="AQ265" s="282"/>
      <c r="AR265" s="282"/>
      <c r="AS265" s="282"/>
      <c r="AT265" s="281"/>
      <c r="AU265" s="281"/>
      <c r="AV265" s="281"/>
      <c r="AW265" s="281"/>
      <c r="AX265" s="281"/>
      <c r="AY265" s="281"/>
      <c r="AZ265" s="281"/>
    </row>
    <row r="266" spans="1:52" ht="15" customHeight="1" x14ac:dyDescent="0.3">
      <c r="A266" s="294">
        <v>45974</v>
      </c>
      <c r="B266" s="321" t="s">
        <v>47</v>
      </c>
      <c r="C266" s="321" t="s">
        <v>47</v>
      </c>
      <c r="D266" s="294" t="s">
        <v>79</v>
      </c>
      <c r="E266" s="321" t="s">
        <v>49</v>
      </c>
      <c r="F266" s="295">
        <v>14598949</v>
      </c>
      <c r="G266" s="296">
        <v>20303601</v>
      </c>
      <c r="H266" s="280" t="s">
        <v>50</v>
      </c>
      <c r="I266" s="323" t="s">
        <v>125</v>
      </c>
      <c r="J266" s="323" t="s">
        <v>2516</v>
      </c>
      <c r="K266" s="294">
        <v>46020</v>
      </c>
      <c r="L266" s="294">
        <v>46026</v>
      </c>
      <c r="M266" s="284">
        <f>Table1[[#This Row],[Dep Date]]-Table1[[#This Row],[Arr Date]]</f>
        <v>6</v>
      </c>
      <c r="N266" s="323" t="s">
        <v>52</v>
      </c>
      <c r="O266" s="321">
        <v>1</v>
      </c>
      <c r="P266" s="321">
        <v>2</v>
      </c>
      <c r="Q266" s="321"/>
      <c r="R266" s="321"/>
      <c r="S266" s="321" t="s">
        <v>53</v>
      </c>
      <c r="T266" s="326" t="s">
        <v>1879</v>
      </c>
      <c r="U266" s="297">
        <v>0</v>
      </c>
      <c r="V266" s="294"/>
      <c r="W266" s="297">
        <v>0</v>
      </c>
      <c r="X266" s="294"/>
      <c r="Y266" s="329"/>
      <c r="Z266" s="329"/>
      <c r="AA266" s="332">
        <f>Table1[[#This Row],[Selling USD]]-Table1[[#This Row],[Cost USD]]</f>
        <v>0</v>
      </c>
      <c r="AB266" s="335">
        <f>32*2*3+27*2*3</f>
        <v>354</v>
      </c>
      <c r="AC266" s="298">
        <v>355.77</v>
      </c>
      <c r="AD266" s="299">
        <f>Table1[[#This Row],[Selling EUR]]-Table1[[#This Row],[Cost EUR]]</f>
        <v>1.7699999999999818</v>
      </c>
      <c r="AE266" s="321" t="s">
        <v>54</v>
      </c>
      <c r="AF266" s="294">
        <v>46012</v>
      </c>
      <c r="AG266" s="294"/>
      <c r="AH266" s="321"/>
      <c r="AI266" s="323"/>
      <c r="AJ266" s="338"/>
      <c r="AK266" s="323"/>
      <c r="AL266" s="338"/>
      <c r="AM266" s="338"/>
      <c r="AN266" s="323"/>
      <c r="AO266" s="282"/>
      <c r="AP266" s="306"/>
      <c r="AQ266" s="282"/>
      <c r="AR266" s="282"/>
      <c r="AS266" s="282"/>
      <c r="AT266" s="281"/>
      <c r="AU266" s="281"/>
      <c r="AV266" s="281"/>
      <c r="AW266" s="281"/>
      <c r="AX266" s="281"/>
      <c r="AY266" s="281"/>
      <c r="AZ266" s="281"/>
    </row>
    <row r="267" spans="1:52" ht="15" customHeight="1" x14ac:dyDescent="0.3">
      <c r="A267" s="294">
        <v>45974</v>
      </c>
      <c r="B267" s="321" t="s">
        <v>47</v>
      </c>
      <c r="C267" s="321" t="s">
        <v>47</v>
      </c>
      <c r="D267" s="294" t="s">
        <v>79</v>
      </c>
      <c r="E267" s="321" t="s">
        <v>49</v>
      </c>
      <c r="F267" s="295">
        <v>14605147</v>
      </c>
      <c r="G267" s="296">
        <v>20303606</v>
      </c>
      <c r="H267" s="280" t="s">
        <v>50</v>
      </c>
      <c r="I267" s="323" t="s">
        <v>125</v>
      </c>
      <c r="J267" s="323" t="s">
        <v>2516</v>
      </c>
      <c r="K267" s="294">
        <v>46020</v>
      </c>
      <c r="L267" s="294">
        <v>46032</v>
      </c>
      <c r="M267" s="284">
        <f>Table1[[#This Row],[Dep Date]]-Table1[[#This Row],[Arr Date]]</f>
        <v>12</v>
      </c>
      <c r="N267" s="323" t="s">
        <v>52</v>
      </c>
      <c r="O267" s="321">
        <v>1</v>
      </c>
      <c r="P267" s="321">
        <v>2</v>
      </c>
      <c r="Q267" s="321"/>
      <c r="R267" s="321"/>
      <c r="S267" s="321" t="s">
        <v>53</v>
      </c>
      <c r="T267" s="326" t="s">
        <v>1880</v>
      </c>
      <c r="U267" s="297">
        <v>0</v>
      </c>
      <c r="V267" s="294"/>
      <c r="W267" s="297">
        <v>0</v>
      </c>
      <c r="X267" s="294"/>
      <c r="Y267" s="329"/>
      <c r="Z267" s="329"/>
      <c r="AA267" s="332">
        <f>Table1[[#This Row],[Selling USD]]-Table1[[#This Row],[Cost USD]]</f>
        <v>0</v>
      </c>
      <c r="AB267" s="335">
        <f>32*2*3+27*2*9</f>
        <v>678</v>
      </c>
      <c r="AC267" s="298">
        <v>681.39</v>
      </c>
      <c r="AD267" s="299">
        <f>Table1[[#This Row],[Selling EUR]]-Table1[[#This Row],[Cost EUR]]</f>
        <v>3.3899999999999864</v>
      </c>
      <c r="AE267" s="321" t="s">
        <v>54</v>
      </c>
      <c r="AF267" s="294">
        <v>46012</v>
      </c>
      <c r="AG267" s="294"/>
      <c r="AH267" s="321"/>
      <c r="AI267" s="323"/>
      <c r="AJ267" s="338"/>
      <c r="AK267" s="323"/>
      <c r="AL267" s="338"/>
      <c r="AM267" s="338"/>
      <c r="AN267" s="323"/>
      <c r="AO267" s="282"/>
      <c r="AP267" s="306"/>
      <c r="AQ267" s="282"/>
      <c r="AR267" s="282"/>
      <c r="AS267" s="282"/>
      <c r="AT267" s="281"/>
      <c r="AU267" s="281"/>
      <c r="AV267" s="281"/>
      <c r="AW267" s="281"/>
      <c r="AX267" s="281"/>
      <c r="AY267" s="281"/>
      <c r="AZ267" s="281"/>
    </row>
    <row r="268" spans="1:52" ht="15" customHeight="1" x14ac:dyDescent="0.3">
      <c r="A268" s="294">
        <v>45975</v>
      </c>
      <c r="B268" s="321" t="s">
        <v>1601</v>
      </c>
      <c r="C268" s="321" t="s">
        <v>47</v>
      </c>
      <c r="D268" s="294" t="s">
        <v>137</v>
      </c>
      <c r="E268" s="321" t="s">
        <v>138</v>
      </c>
      <c r="F268" s="295">
        <v>2025017</v>
      </c>
      <c r="G268" s="296"/>
      <c r="H268" s="280" t="s">
        <v>58</v>
      </c>
      <c r="I268" s="323" t="s">
        <v>141</v>
      </c>
      <c r="J268" s="323" t="s">
        <v>2564</v>
      </c>
      <c r="K268" s="294">
        <v>45984</v>
      </c>
      <c r="L268" s="294">
        <v>46012</v>
      </c>
      <c r="M268" s="284">
        <f>Table1[[#This Row],[Dep Date]]-Table1[[#This Row],[Arr Date]]</f>
        <v>28</v>
      </c>
      <c r="N268" s="323"/>
      <c r="O268" s="321"/>
      <c r="P268" s="321">
        <v>1</v>
      </c>
      <c r="Q268" s="321"/>
      <c r="R268" s="321"/>
      <c r="S268" s="321"/>
      <c r="T268" s="326" t="s">
        <v>1881</v>
      </c>
      <c r="U268" s="297">
        <v>0</v>
      </c>
      <c r="V268" s="294"/>
      <c r="W268" s="297">
        <v>0</v>
      </c>
      <c r="X268" s="294"/>
      <c r="Y268" s="329"/>
      <c r="Z268" s="329"/>
      <c r="AA268" s="332">
        <f>Table1[[#This Row],[Selling USD]]-Table1[[#This Row],[Cost USD]]</f>
        <v>0</v>
      </c>
      <c r="AB268" s="335"/>
      <c r="AC268" s="298"/>
      <c r="AD268" s="299">
        <f>Table1[[#This Row],[Selling EUR]]-Table1[[#This Row],[Cost EUR]]</f>
        <v>0</v>
      </c>
      <c r="AE268" s="321" t="s">
        <v>54</v>
      </c>
      <c r="AF268" s="294"/>
      <c r="AG268" s="294"/>
      <c r="AH268" s="321">
        <v>70</v>
      </c>
      <c r="AI268" s="323" t="s">
        <v>2389</v>
      </c>
      <c r="AJ268" s="338">
        <v>0.99305555555555558</v>
      </c>
      <c r="AK268" s="323" t="s">
        <v>2390</v>
      </c>
      <c r="AL268" s="338">
        <v>0.46527777777777779</v>
      </c>
      <c r="AM268" s="338"/>
      <c r="AN268" s="323"/>
      <c r="AO268" s="282"/>
      <c r="AP268" s="306"/>
      <c r="AQ268" s="282"/>
      <c r="AR268" s="282"/>
      <c r="AS268" s="282"/>
      <c r="AT268" s="281"/>
      <c r="AU268" s="281"/>
      <c r="AV268" s="281"/>
      <c r="AW268" s="281"/>
      <c r="AX268" s="281"/>
      <c r="AY268" s="281"/>
      <c r="AZ268" s="281"/>
    </row>
    <row r="269" spans="1:52" ht="15" customHeight="1" x14ac:dyDescent="0.3">
      <c r="A269" s="294">
        <v>45975</v>
      </c>
      <c r="B269" s="321" t="s">
        <v>47</v>
      </c>
      <c r="C269" s="321" t="s">
        <v>47</v>
      </c>
      <c r="D269" s="294" t="s">
        <v>137</v>
      </c>
      <c r="E269" s="321" t="s">
        <v>138</v>
      </c>
      <c r="F269" s="295">
        <v>2025013</v>
      </c>
      <c r="G269" s="296"/>
      <c r="H269" s="280" t="s">
        <v>58</v>
      </c>
      <c r="I269" s="323" t="s">
        <v>141</v>
      </c>
      <c r="J269" s="323" t="s">
        <v>2564</v>
      </c>
      <c r="K269" s="294">
        <v>45972</v>
      </c>
      <c r="L269" s="294">
        <v>45986</v>
      </c>
      <c r="M269" s="284">
        <f>Table1[[#This Row],[Dep Date]]-Table1[[#This Row],[Arr Date]]</f>
        <v>14</v>
      </c>
      <c r="N269" s="323"/>
      <c r="O269" s="321"/>
      <c r="P269" s="321">
        <v>2</v>
      </c>
      <c r="Q269" s="321"/>
      <c r="R269" s="321"/>
      <c r="S269" s="321"/>
      <c r="T269" s="326" t="s">
        <v>1882</v>
      </c>
      <c r="U269" s="297">
        <v>0</v>
      </c>
      <c r="V269" s="294"/>
      <c r="W269" s="297">
        <v>0</v>
      </c>
      <c r="X269" s="294"/>
      <c r="Y269" s="329"/>
      <c r="Z269" s="329"/>
      <c r="AA269" s="332">
        <f>Table1[[#This Row],[Selling USD]]-Table1[[#This Row],[Cost USD]]</f>
        <v>0</v>
      </c>
      <c r="AB269" s="335"/>
      <c r="AC269" s="298"/>
      <c r="AD269" s="299">
        <f>Table1[[#This Row],[Selling EUR]]-Table1[[#This Row],[Cost EUR]]</f>
        <v>0</v>
      </c>
      <c r="AE269" s="321" t="s">
        <v>54</v>
      </c>
      <c r="AF269" s="294"/>
      <c r="AG269" s="294"/>
      <c r="AH269" s="321">
        <v>140</v>
      </c>
      <c r="AI269" s="323" t="s">
        <v>2389</v>
      </c>
      <c r="AJ269" s="338">
        <v>0.93055555555555558</v>
      </c>
      <c r="AK269" s="323" t="s">
        <v>2391</v>
      </c>
      <c r="AL269" s="338" t="s">
        <v>2392</v>
      </c>
      <c r="AM269" s="338"/>
      <c r="AN269" s="323"/>
      <c r="AO269" s="282"/>
      <c r="AP269" s="306"/>
      <c r="AQ269" s="282"/>
      <c r="AR269" s="282"/>
      <c r="AS269" s="282"/>
      <c r="AT269" s="281"/>
      <c r="AU269" s="281"/>
      <c r="AV269" s="281"/>
      <c r="AW269" s="281"/>
      <c r="AX269" s="281"/>
      <c r="AY269" s="281"/>
      <c r="AZ269" s="281"/>
    </row>
    <row r="270" spans="1:52" ht="15" customHeight="1" x14ac:dyDescent="0.3">
      <c r="A270" s="294">
        <v>45975</v>
      </c>
      <c r="B270" s="321" t="s">
        <v>1601</v>
      </c>
      <c r="C270" s="321" t="s">
        <v>47</v>
      </c>
      <c r="D270" s="294" t="s">
        <v>137</v>
      </c>
      <c r="E270" s="321" t="s">
        <v>138</v>
      </c>
      <c r="F270" s="295">
        <v>2025026</v>
      </c>
      <c r="G270" s="296"/>
      <c r="H270" s="280" t="s">
        <v>58</v>
      </c>
      <c r="I270" s="323" t="s">
        <v>143</v>
      </c>
      <c r="J270" s="323" t="s">
        <v>2564</v>
      </c>
      <c r="K270" s="294">
        <v>45972</v>
      </c>
      <c r="L270" s="294">
        <v>45986</v>
      </c>
      <c r="M270" s="284">
        <f>Table1[[#This Row],[Dep Date]]-Table1[[#This Row],[Arr Date]]</f>
        <v>14</v>
      </c>
      <c r="N270" s="323"/>
      <c r="O270" s="321"/>
      <c r="P270" s="321">
        <v>2</v>
      </c>
      <c r="Q270" s="321"/>
      <c r="R270" s="321"/>
      <c r="S270" s="321"/>
      <c r="T270" s="326" t="s">
        <v>1883</v>
      </c>
      <c r="U270" s="297">
        <v>0</v>
      </c>
      <c r="V270" s="294"/>
      <c r="W270" s="297">
        <v>0</v>
      </c>
      <c r="X270" s="294"/>
      <c r="Y270" s="329"/>
      <c r="Z270" s="329"/>
      <c r="AA270" s="332">
        <f>Table1[[#This Row],[Selling USD]]-Table1[[#This Row],[Cost USD]]</f>
        <v>0</v>
      </c>
      <c r="AB270" s="335">
        <v>1687</v>
      </c>
      <c r="AC270" s="298">
        <v>1687</v>
      </c>
      <c r="AD270" s="299">
        <f>Table1[[#This Row],[Selling EUR]]-Table1[[#This Row],[Cost EUR]]</f>
        <v>0</v>
      </c>
      <c r="AE270" s="321" t="s">
        <v>54</v>
      </c>
      <c r="AF270" s="294"/>
      <c r="AG270" s="294"/>
      <c r="AH270" s="321">
        <v>140</v>
      </c>
      <c r="AI270" s="323" t="s">
        <v>2387</v>
      </c>
      <c r="AJ270" s="338">
        <v>0.54513888888888884</v>
      </c>
      <c r="AK270" s="323" t="s">
        <v>2393</v>
      </c>
      <c r="AL270" s="338">
        <v>0.58333333333333337</v>
      </c>
      <c r="AM270" s="338"/>
      <c r="AN270" s="323"/>
      <c r="AO270" s="282"/>
      <c r="AP270" s="306"/>
      <c r="AQ270" s="282"/>
      <c r="AR270" s="282"/>
      <c r="AS270" s="282"/>
      <c r="AT270" s="281"/>
      <c r="AU270" s="281"/>
      <c r="AV270" s="281"/>
      <c r="AW270" s="281"/>
      <c r="AX270" s="281"/>
      <c r="AY270" s="281"/>
      <c r="AZ270" s="281"/>
    </row>
    <row r="271" spans="1:52" ht="15" customHeight="1" x14ac:dyDescent="0.3">
      <c r="A271" s="294">
        <v>45975</v>
      </c>
      <c r="B271" s="321" t="s">
        <v>1601</v>
      </c>
      <c r="C271" s="321" t="s">
        <v>47</v>
      </c>
      <c r="D271" s="294" t="s">
        <v>137</v>
      </c>
      <c r="E271" s="321" t="s">
        <v>138</v>
      </c>
      <c r="F271" s="295">
        <v>2025012</v>
      </c>
      <c r="G271" s="296"/>
      <c r="H271" s="280" t="s">
        <v>58</v>
      </c>
      <c r="I271" s="323" t="s">
        <v>141</v>
      </c>
      <c r="J271" s="323" t="s">
        <v>2564</v>
      </c>
      <c r="K271" s="294">
        <v>45973</v>
      </c>
      <c r="L271" s="294">
        <v>46015</v>
      </c>
      <c r="M271" s="284">
        <f>Table1[[#This Row],[Dep Date]]-Table1[[#This Row],[Arr Date]]</f>
        <v>42</v>
      </c>
      <c r="N271" s="323"/>
      <c r="O271" s="321"/>
      <c r="P271" s="321">
        <v>2</v>
      </c>
      <c r="Q271" s="321"/>
      <c r="R271" s="321"/>
      <c r="S271" s="321"/>
      <c r="T271" s="326" t="s">
        <v>1884</v>
      </c>
      <c r="U271" s="297">
        <v>0</v>
      </c>
      <c r="V271" s="294"/>
      <c r="W271" s="297">
        <v>0</v>
      </c>
      <c r="X271" s="294"/>
      <c r="Y271" s="329"/>
      <c r="Z271" s="329"/>
      <c r="AA271" s="332">
        <f>Table1[[#This Row],[Selling USD]]-Table1[[#This Row],[Cost USD]]</f>
        <v>0</v>
      </c>
      <c r="AB271" s="335"/>
      <c r="AC271" s="298"/>
      <c r="AD271" s="299">
        <f>Table1[[#This Row],[Selling EUR]]-Table1[[#This Row],[Cost EUR]]</f>
        <v>0</v>
      </c>
      <c r="AE271" s="321" t="s">
        <v>54</v>
      </c>
      <c r="AF271" s="294"/>
      <c r="AG271" s="294"/>
      <c r="AH271" s="321">
        <v>140</v>
      </c>
      <c r="AI271" s="323" t="s">
        <v>2394</v>
      </c>
      <c r="AJ271" s="338">
        <v>0.5625</v>
      </c>
      <c r="AK271" s="323" t="s">
        <v>2395</v>
      </c>
      <c r="AL271" s="338">
        <v>0.60069444444444442</v>
      </c>
      <c r="AM271" s="338"/>
      <c r="AN271" s="323"/>
      <c r="AO271" s="282"/>
      <c r="AP271" s="306"/>
      <c r="AQ271" s="282"/>
      <c r="AR271" s="282"/>
      <c r="AS271" s="282"/>
      <c r="AT271" s="281"/>
      <c r="AU271" s="281"/>
      <c r="AV271" s="281"/>
      <c r="AW271" s="281"/>
      <c r="AX271" s="281"/>
      <c r="AY271" s="281"/>
      <c r="AZ271" s="281"/>
    </row>
    <row r="272" spans="1:52" ht="15" customHeight="1" x14ac:dyDescent="0.3">
      <c r="A272" s="294">
        <v>45975</v>
      </c>
      <c r="B272" s="321" t="s">
        <v>47</v>
      </c>
      <c r="C272" s="321" t="s">
        <v>47</v>
      </c>
      <c r="D272" s="294" t="s">
        <v>137</v>
      </c>
      <c r="E272" s="321" t="s">
        <v>138</v>
      </c>
      <c r="F272" s="295">
        <v>2025029</v>
      </c>
      <c r="G272" s="296"/>
      <c r="H272" s="280" t="s">
        <v>58</v>
      </c>
      <c r="I272" s="323" t="s">
        <v>59</v>
      </c>
      <c r="J272" s="323" t="s">
        <v>2565</v>
      </c>
      <c r="K272" s="294">
        <v>45976</v>
      </c>
      <c r="L272" s="294">
        <v>45990</v>
      </c>
      <c r="M272" s="284">
        <f>Table1[[#This Row],[Dep Date]]-Table1[[#This Row],[Arr Date]]</f>
        <v>14</v>
      </c>
      <c r="N272" s="323" t="s">
        <v>52</v>
      </c>
      <c r="O272" s="321">
        <v>1</v>
      </c>
      <c r="P272" s="321">
        <v>2</v>
      </c>
      <c r="Q272" s="321"/>
      <c r="R272" s="321"/>
      <c r="S272" s="321" t="s">
        <v>53</v>
      </c>
      <c r="T272" s="326" t="s">
        <v>1885</v>
      </c>
      <c r="U272" s="297">
        <v>0</v>
      </c>
      <c r="V272" s="294"/>
      <c r="W272" s="297">
        <v>0</v>
      </c>
      <c r="X272" s="294"/>
      <c r="Y272" s="329"/>
      <c r="Z272" s="329"/>
      <c r="AA272" s="332">
        <f>Table1[[#This Row],[Selling USD]]-Table1[[#This Row],[Cost USD]]</f>
        <v>0</v>
      </c>
      <c r="AB272" s="335">
        <v>728</v>
      </c>
      <c r="AC272" s="298">
        <v>786.8</v>
      </c>
      <c r="AD272" s="299">
        <f>Table1[[#This Row],[Selling EUR]]-Table1[[#This Row],[Cost EUR]]</f>
        <v>58.799999999999955</v>
      </c>
      <c r="AE272" s="321" t="s">
        <v>54</v>
      </c>
      <c r="AF272" s="294">
        <v>45977</v>
      </c>
      <c r="AG272" s="294"/>
      <c r="AH272" s="321">
        <v>140</v>
      </c>
      <c r="AI272" s="323" t="s">
        <v>2396</v>
      </c>
      <c r="AJ272" s="338">
        <v>0.50694444444444442</v>
      </c>
      <c r="AK272" s="323" t="s">
        <v>2397</v>
      </c>
      <c r="AL272" s="338">
        <v>0.54166666666666663</v>
      </c>
      <c r="AM272" s="338"/>
      <c r="AN272" s="323"/>
      <c r="AO272" s="282"/>
      <c r="AP272" s="306"/>
      <c r="AQ272" s="282"/>
      <c r="AR272" s="282"/>
      <c r="AS272" s="282"/>
      <c r="AT272" s="281"/>
      <c r="AU272" s="281"/>
      <c r="AV272" s="281"/>
      <c r="AW272" s="281"/>
      <c r="AX272" s="281"/>
      <c r="AY272" s="281"/>
      <c r="AZ272" s="281"/>
    </row>
    <row r="273" spans="1:52" ht="15" customHeight="1" x14ac:dyDescent="0.3">
      <c r="A273" s="294">
        <v>45975</v>
      </c>
      <c r="B273" s="321" t="s">
        <v>1601</v>
      </c>
      <c r="C273" s="321" t="s">
        <v>47</v>
      </c>
      <c r="D273" s="294" t="s">
        <v>137</v>
      </c>
      <c r="E273" s="321" t="s">
        <v>138</v>
      </c>
      <c r="F273" s="295">
        <v>2025022</v>
      </c>
      <c r="G273" s="296"/>
      <c r="H273" s="280" t="s">
        <v>58</v>
      </c>
      <c r="I273" s="323" t="s">
        <v>141</v>
      </c>
      <c r="J273" s="323" t="s">
        <v>2564</v>
      </c>
      <c r="K273" s="294">
        <v>45984</v>
      </c>
      <c r="L273" s="294">
        <v>46012</v>
      </c>
      <c r="M273" s="284">
        <f>Table1[[#This Row],[Dep Date]]-Table1[[#This Row],[Arr Date]]</f>
        <v>28</v>
      </c>
      <c r="N273" s="323"/>
      <c r="O273" s="321"/>
      <c r="P273" s="321">
        <v>1</v>
      </c>
      <c r="Q273" s="321"/>
      <c r="R273" s="321"/>
      <c r="S273" s="321"/>
      <c r="T273" s="326" t="s">
        <v>1886</v>
      </c>
      <c r="U273" s="297">
        <v>0</v>
      </c>
      <c r="V273" s="294"/>
      <c r="W273" s="297">
        <v>0</v>
      </c>
      <c r="X273" s="294"/>
      <c r="Y273" s="329"/>
      <c r="Z273" s="329"/>
      <c r="AA273" s="332">
        <f>Table1[[#This Row],[Selling USD]]-Table1[[#This Row],[Cost USD]]</f>
        <v>0</v>
      </c>
      <c r="AB273" s="335"/>
      <c r="AC273" s="298"/>
      <c r="AD273" s="299">
        <f>Table1[[#This Row],[Selling EUR]]-Table1[[#This Row],[Cost EUR]]</f>
        <v>0</v>
      </c>
      <c r="AE273" s="321" t="s">
        <v>54</v>
      </c>
      <c r="AF273" s="294"/>
      <c r="AG273" s="294"/>
      <c r="AH273" s="321">
        <v>70</v>
      </c>
      <c r="AI273" s="323" t="s">
        <v>2389</v>
      </c>
      <c r="AJ273" s="338">
        <v>0.99305555555555558</v>
      </c>
      <c r="AK273" s="323" t="s">
        <v>2390</v>
      </c>
      <c r="AL273" s="338">
        <v>0.46527777777777779</v>
      </c>
      <c r="AM273" s="338"/>
      <c r="AN273" s="323"/>
      <c r="AO273" s="282"/>
      <c r="AP273" s="306"/>
      <c r="AQ273" s="282"/>
      <c r="AR273" s="282"/>
      <c r="AS273" s="282"/>
      <c r="AT273" s="281"/>
      <c r="AU273" s="281"/>
      <c r="AV273" s="281"/>
      <c r="AW273" s="281"/>
      <c r="AX273" s="281"/>
      <c r="AY273" s="281"/>
      <c r="AZ273" s="281"/>
    </row>
    <row r="274" spans="1:52" ht="15" customHeight="1" x14ac:dyDescent="0.3">
      <c r="A274" s="294">
        <v>45975</v>
      </c>
      <c r="B274" s="321" t="s">
        <v>47</v>
      </c>
      <c r="C274" s="321" t="s">
        <v>47</v>
      </c>
      <c r="D274" s="294" t="s">
        <v>137</v>
      </c>
      <c r="E274" s="321" t="s">
        <v>138</v>
      </c>
      <c r="F274" s="295">
        <v>2025015</v>
      </c>
      <c r="G274" s="296"/>
      <c r="H274" s="280" t="s">
        <v>58</v>
      </c>
      <c r="I274" s="323" t="s">
        <v>59</v>
      </c>
      <c r="J274" s="323" t="s">
        <v>2536</v>
      </c>
      <c r="K274" s="294">
        <v>45986</v>
      </c>
      <c r="L274" s="294">
        <v>46014</v>
      </c>
      <c r="M274" s="284">
        <f>Table1[[#This Row],[Dep Date]]-Table1[[#This Row],[Arr Date]]</f>
        <v>28</v>
      </c>
      <c r="N274" s="323" t="s">
        <v>65</v>
      </c>
      <c r="O274" s="321">
        <v>1</v>
      </c>
      <c r="P274" s="321">
        <v>1</v>
      </c>
      <c r="Q274" s="321"/>
      <c r="R274" s="321"/>
      <c r="S274" s="321" t="s">
        <v>53</v>
      </c>
      <c r="T274" s="326" t="s">
        <v>1887</v>
      </c>
      <c r="U274" s="297">
        <v>0</v>
      </c>
      <c r="V274" s="294"/>
      <c r="W274" s="297">
        <v>0</v>
      </c>
      <c r="X274" s="294"/>
      <c r="Y274" s="329"/>
      <c r="Z274" s="329"/>
      <c r="AA274" s="332">
        <f>Table1[[#This Row],[Selling USD]]-Table1[[#This Row],[Cost USD]]</f>
        <v>0</v>
      </c>
      <c r="AB274" s="335">
        <v>1019.2</v>
      </c>
      <c r="AC274" s="298">
        <v>1106.56</v>
      </c>
      <c r="AD274" s="299">
        <f>Table1[[#This Row],[Selling EUR]]-Table1[[#This Row],[Cost EUR]]</f>
        <v>87.3599999999999</v>
      </c>
      <c r="AE274" s="321" t="s">
        <v>54</v>
      </c>
      <c r="AF274" s="294">
        <v>45981</v>
      </c>
      <c r="AG274" s="294"/>
      <c r="AH274" s="321">
        <v>70</v>
      </c>
      <c r="AI274" s="323" t="s">
        <v>2398</v>
      </c>
      <c r="AJ274" s="338">
        <v>0.54513888888888884</v>
      </c>
      <c r="AK274" s="323" t="s">
        <v>2395</v>
      </c>
      <c r="AL274" s="338">
        <v>0.58333333333333337</v>
      </c>
      <c r="AM274" s="338"/>
      <c r="AN274" s="323"/>
      <c r="AO274" s="282"/>
      <c r="AP274" s="306"/>
      <c r="AQ274" s="282"/>
      <c r="AR274" s="282"/>
      <c r="AS274" s="282"/>
      <c r="AT274" s="281"/>
      <c r="AU274" s="281"/>
      <c r="AV274" s="281"/>
      <c r="AW274" s="281"/>
      <c r="AX274" s="281"/>
      <c r="AY274" s="281"/>
      <c r="AZ274" s="281"/>
    </row>
    <row r="275" spans="1:52" ht="15" customHeight="1" x14ac:dyDescent="0.3">
      <c r="A275" s="294">
        <v>45975</v>
      </c>
      <c r="B275" s="321" t="s">
        <v>47</v>
      </c>
      <c r="C275" s="321" t="s">
        <v>47</v>
      </c>
      <c r="D275" s="294" t="s">
        <v>137</v>
      </c>
      <c r="E275" s="321" t="s">
        <v>138</v>
      </c>
      <c r="F275" s="295">
        <v>2025016</v>
      </c>
      <c r="G275" s="296"/>
      <c r="H275" s="280" t="s">
        <v>58</v>
      </c>
      <c r="I275" s="323" t="s">
        <v>59</v>
      </c>
      <c r="J275" s="323" t="s">
        <v>2536</v>
      </c>
      <c r="K275" s="294">
        <v>45986</v>
      </c>
      <c r="L275" s="294">
        <v>46014</v>
      </c>
      <c r="M275" s="284">
        <f>Table1[[#This Row],[Dep Date]]-Table1[[#This Row],[Arr Date]]</f>
        <v>28</v>
      </c>
      <c r="N275" s="323" t="s">
        <v>52</v>
      </c>
      <c r="O275" s="321">
        <v>1</v>
      </c>
      <c r="P275" s="321">
        <v>2</v>
      </c>
      <c r="Q275" s="321"/>
      <c r="R275" s="321"/>
      <c r="S275" s="321" t="s">
        <v>53</v>
      </c>
      <c r="T275" s="326" t="s">
        <v>1888</v>
      </c>
      <c r="U275" s="297">
        <v>0</v>
      </c>
      <c r="V275" s="294"/>
      <c r="W275" s="297">
        <v>0</v>
      </c>
      <c r="X275" s="294"/>
      <c r="Y275" s="329"/>
      <c r="Z275" s="329"/>
      <c r="AA275" s="332">
        <f>Table1[[#This Row],[Selling USD]]-Table1[[#This Row],[Cost USD]]</f>
        <v>0</v>
      </c>
      <c r="AB275" s="335">
        <v>1274</v>
      </c>
      <c r="AC275" s="298">
        <v>1383.2</v>
      </c>
      <c r="AD275" s="299">
        <f>Table1[[#This Row],[Selling EUR]]-Table1[[#This Row],[Cost EUR]]</f>
        <v>109.20000000000005</v>
      </c>
      <c r="AE275" s="321" t="s">
        <v>54</v>
      </c>
      <c r="AF275" s="294">
        <v>45981</v>
      </c>
      <c r="AG275" s="294"/>
      <c r="AH275" s="321">
        <v>140</v>
      </c>
      <c r="AI275" s="323" t="s">
        <v>2399</v>
      </c>
      <c r="AJ275" s="338">
        <v>0.54513888888888884</v>
      </c>
      <c r="AK275" s="323" t="s">
        <v>2395</v>
      </c>
      <c r="AL275" s="338">
        <v>0.58333333333333337</v>
      </c>
      <c r="AM275" s="338"/>
      <c r="AN275" s="323"/>
      <c r="AO275" s="282"/>
      <c r="AP275" s="306"/>
      <c r="AQ275" s="282"/>
      <c r="AR275" s="282"/>
      <c r="AS275" s="282"/>
      <c r="AT275" s="281"/>
      <c r="AU275" s="281"/>
      <c r="AV275" s="281"/>
      <c r="AW275" s="281"/>
      <c r="AX275" s="281"/>
      <c r="AY275" s="281"/>
      <c r="AZ275" s="281"/>
    </row>
    <row r="276" spans="1:52" ht="15" customHeight="1" x14ac:dyDescent="0.3">
      <c r="A276" s="294">
        <v>45975</v>
      </c>
      <c r="B276" s="321" t="s">
        <v>47</v>
      </c>
      <c r="C276" s="321" t="s">
        <v>47</v>
      </c>
      <c r="D276" s="294" t="s">
        <v>137</v>
      </c>
      <c r="E276" s="321" t="s">
        <v>138</v>
      </c>
      <c r="F276" s="295">
        <v>2025018</v>
      </c>
      <c r="G276" s="296"/>
      <c r="H276" s="280" t="s">
        <v>58</v>
      </c>
      <c r="I276" s="323" t="s">
        <v>144</v>
      </c>
      <c r="J276" s="323" t="s">
        <v>145</v>
      </c>
      <c r="K276" s="294">
        <v>45990</v>
      </c>
      <c r="L276" s="294">
        <v>46004</v>
      </c>
      <c r="M276" s="284">
        <f>Table1[[#This Row],[Dep Date]]-Table1[[#This Row],[Arr Date]]</f>
        <v>14</v>
      </c>
      <c r="N276" s="323" t="s">
        <v>52</v>
      </c>
      <c r="O276" s="321">
        <v>1</v>
      </c>
      <c r="P276" s="321">
        <v>2</v>
      </c>
      <c r="Q276" s="321"/>
      <c r="R276" s="321"/>
      <c r="S276" s="321" t="s">
        <v>53</v>
      </c>
      <c r="T276" s="326" t="s">
        <v>1889</v>
      </c>
      <c r="U276" s="297"/>
      <c r="V276" s="294"/>
      <c r="W276" s="297"/>
      <c r="X276" s="294"/>
      <c r="Y276" s="329"/>
      <c r="Z276" s="329"/>
      <c r="AA276" s="332">
        <f>Table1[[#This Row],[Selling USD]]-Table1[[#This Row],[Cost USD]]</f>
        <v>0</v>
      </c>
      <c r="AB276" s="335">
        <v>1186.5</v>
      </c>
      <c r="AC276" s="298">
        <v>1186.5</v>
      </c>
      <c r="AD276" s="299">
        <f>Table1[[#This Row],[Selling EUR]]-Table1[[#This Row],[Cost EUR]]</f>
        <v>0</v>
      </c>
      <c r="AE276" s="321" t="s">
        <v>54</v>
      </c>
      <c r="AF276" s="294" t="s">
        <v>2268</v>
      </c>
      <c r="AG276" s="294"/>
      <c r="AH276" s="321">
        <v>140</v>
      </c>
      <c r="AI276" s="323" t="s">
        <v>2399</v>
      </c>
      <c r="AJ276" s="338">
        <v>0.56944444444444442</v>
      </c>
      <c r="AK276" s="323" t="s">
        <v>2400</v>
      </c>
      <c r="AL276" s="338">
        <v>0.61111111111111116</v>
      </c>
      <c r="AM276" s="338"/>
      <c r="AN276" s="323"/>
      <c r="AO276" s="282"/>
      <c r="AP276" s="306"/>
      <c r="AQ276" s="282"/>
      <c r="AR276" s="282"/>
      <c r="AS276" s="282"/>
      <c r="AT276" s="281"/>
      <c r="AU276" s="281"/>
      <c r="AV276" s="281"/>
      <c r="AW276" s="281"/>
      <c r="AX276" s="281"/>
      <c r="AY276" s="281"/>
      <c r="AZ276" s="281"/>
    </row>
    <row r="277" spans="1:52" ht="15" customHeight="1" x14ac:dyDescent="0.3">
      <c r="A277" s="294">
        <v>45975</v>
      </c>
      <c r="B277" s="321" t="s">
        <v>47</v>
      </c>
      <c r="C277" s="321" t="s">
        <v>47</v>
      </c>
      <c r="D277" s="294" t="s">
        <v>48</v>
      </c>
      <c r="E277" s="321" t="s">
        <v>49</v>
      </c>
      <c r="F277" s="295">
        <v>17088706</v>
      </c>
      <c r="G277" s="296">
        <v>2105851</v>
      </c>
      <c r="H277" s="280" t="s">
        <v>50</v>
      </c>
      <c r="I277" s="323" t="s">
        <v>96</v>
      </c>
      <c r="J277" s="323" t="s">
        <v>2525</v>
      </c>
      <c r="K277" s="294">
        <v>46023</v>
      </c>
      <c r="L277" s="294">
        <v>46028</v>
      </c>
      <c r="M277" s="284">
        <f>Table1[[#This Row],[Dep Date]]-Table1[[#This Row],[Arr Date]]</f>
        <v>5</v>
      </c>
      <c r="N277" s="323" t="s">
        <v>52</v>
      </c>
      <c r="O277" s="321">
        <v>1</v>
      </c>
      <c r="P277" s="321">
        <v>2</v>
      </c>
      <c r="Q277" s="321"/>
      <c r="R277" s="321"/>
      <c r="S277" s="321" t="s">
        <v>53</v>
      </c>
      <c r="T277" s="326" t="s">
        <v>1890</v>
      </c>
      <c r="U277" s="297">
        <v>0</v>
      </c>
      <c r="V277" s="294"/>
      <c r="W277" s="297">
        <v>0</v>
      </c>
      <c r="X277" s="294"/>
      <c r="Y277" s="329"/>
      <c r="Z277" s="329"/>
      <c r="AA277" s="332">
        <f>Table1[[#This Row],[Selling USD]]-Table1[[#This Row],[Cost USD]]</f>
        <v>0</v>
      </c>
      <c r="AB277" s="335">
        <f>90*2*2+65*2*0.9*3</f>
        <v>711</v>
      </c>
      <c r="AC277" s="298">
        <v>741</v>
      </c>
      <c r="AD277" s="299">
        <f>Table1[[#This Row],[Selling EUR]]-Table1[[#This Row],[Cost EUR]]</f>
        <v>30</v>
      </c>
      <c r="AE277" s="321" t="s">
        <v>54</v>
      </c>
      <c r="AF277" s="294">
        <v>46016</v>
      </c>
      <c r="AG277" s="294"/>
      <c r="AH277" s="321"/>
      <c r="AI277" s="323"/>
      <c r="AJ277" s="338"/>
      <c r="AK277" s="323"/>
      <c r="AL277" s="338"/>
      <c r="AM277" s="338"/>
      <c r="AN277" s="323"/>
      <c r="AO277" s="282"/>
      <c r="AP277" s="306"/>
      <c r="AQ277" s="282"/>
      <c r="AR277" s="282"/>
      <c r="AS277" s="282"/>
      <c r="AT277" s="281"/>
      <c r="AU277" s="281"/>
      <c r="AV277" s="281"/>
      <c r="AW277" s="281"/>
      <c r="AX277" s="281"/>
      <c r="AY277" s="281"/>
      <c r="AZ277" s="281"/>
    </row>
    <row r="278" spans="1:52" ht="15" customHeight="1" x14ac:dyDescent="0.3">
      <c r="A278" s="294">
        <v>46022</v>
      </c>
      <c r="B278" s="321" t="s">
        <v>47</v>
      </c>
      <c r="C278" s="321" t="s">
        <v>47</v>
      </c>
      <c r="D278" s="294" t="s">
        <v>48</v>
      </c>
      <c r="E278" s="321" t="s">
        <v>49</v>
      </c>
      <c r="F278" s="295">
        <v>17189111</v>
      </c>
      <c r="G278" s="296"/>
      <c r="H278" s="280" t="s">
        <v>58</v>
      </c>
      <c r="I278" s="323" t="s">
        <v>62</v>
      </c>
      <c r="J278" s="323" t="s">
        <v>146</v>
      </c>
      <c r="K278" s="294">
        <v>46075</v>
      </c>
      <c r="L278" s="294">
        <v>46084</v>
      </c>
      <c r="M278" s="284">
        <f>Table1[[#This Row],[Dep Date]]-Table1[[#This Row],[Arr Date]]</f>
        <v>9</v>
      </c>
      <c r="N278" s="323" t="s">
        <v>52</v>
      </c>
      <c r="O278" s="321">
        <v>1</v>
      </c>
      <c r="P278" s="321">
        <v>2</v>
      </c>
      <c r="Q278" s="321"/>
      <c r="R278" s="321"/>
      <c r="S278" s="321" t="s">
        <v>53</v>
      </c>
      <c r="T278" s="326" t="s">
        <v>1891</v>
      </c>
      <c r="U278" s="297"/>
      <c r="V278" s="294"/>
      <c r="W278" s="297"/>
      <c r="X278" s="294"/>
      <c r="Y278" s="329"/>
      <c r="Z278" s="329"/>
      <c r="AA278" s="332">
        <f>Table1[[#This Row],[Selling USD]]-Table1[[#This Row],[Cost USD]]</f>
        <v>0</v>
      </c>
      <c r="AB278" s="335">
        <f>46*2*7+70*2*2</f>
        <v>924</v>
      </c>
      <c r="AC278" s="298">
        <v>960</v>
      </c>
      <c r="AD278" s="299">
        <f>Table1[[#This Row],[Selling EUR]]-Table1[[#This Row],[Cost EUR]]</f>
        <v>36</v>
      </c>
      <c r="AE278" s="321" t="s">
        <v>54</v>
      </c>
      <c r="AF278" s="294" t="s">
        <v>2269</v>
      </c>
      <c r="AG278" s="294"/>
      <c r="AH278" s="321"/>
      <c r="AI278" s="323"/>
      <c r="AJ278" s="338"/>
      <c r="AK278" s="323"/>
      <c r="AL278" s="338"/>
      <c r="AM278" s="338"/>
      <c r="AN278" s="323"/>
      <c r="AO278" s="282"/>
      <c r="AP278" s="306"/>
      <c r="AQ278" s="282"/>
      <c r="AR278" s="282"/>
      <c r="AS278" s="282"/>
      <c r="AT278" s="281"/>
      <c r="AU278" s="281"/>
      <c r="AV278" s="281"/>
      <c r="AW278" s="281"/>
      <c r="AX278" s="281"/>
      <c r="AY278" s="281"/>
      <c r="AZ278" s="281"/>
    </row>
    <row r="279" spans="1:52" ht="15" customHeight="1" x14ac:dyDescent="0.3">
      <c r="A279" s="294">
        <v>45975</v>
      </c>
      <c r="B279" s="321" t="s">
        <v>47</v>
      </c>
      <c r="C279" s="321" t="s">
        <v>47</v>
      </c>
      <c r="D279" s="294" t="s">
        <v>137</v>
      </c>
      <c r="E279" s="321" t="s">
        <v>138</v>
      </c>
      <c r="F279" s="295">
        <v>2025020</v>
      </c>
      <c r="G279" s="296">
        <v>2025020</v>
      </c>
      <c r="H279" s="280" t="s">
        <v>84</v>
      </c>
      <c r="I279" s="323" t="s">
        <v>107</v>
      </c>
      <c r="J279" s="323" t="s">
        <v>1502</v>
      </c>
      <c r="K279" s="294">
        <v>46059</v>
      </c>
      <c r="L279" s="294">
        <v>46084</v>
      </c>
      <c r="M279" s="284">
        <f>Table1[[#This Row],[Dep Date]]-Table1[[#This Row],[Arr Date]]</f>
        <v>25</v>
      </c>
      <c r="N279" s="323" t="s">
        <v>65</v>
      </c>
      <c r="O279" s="321">
        <v>1</v>
      </c>
      <c r="P279" s="321">
        <v>1</v>
      </c>
      <c r="Q279" s="321"/>
      <c r="R279" s="321"/>
      <c r="S279" s="321" t="s">
        <v>53</v>
      </c>
      <c r="T279" s="326" t="s">
        <v>1892</v>
      </c>
      <c r="U279" s="297">
        <v>0</v>
      </c>
      <c r="V279" s="294"/>
      <c r="W279" s="297">
        <v>0</v>
      </c>
      <c r="X279" s="294"/>
      <c r="Y279" s="329"/>
      <c r="Z279" s="329"/>
      <c r="AA279" s="332">
        <f>Table1[[#This Row],[Selling USD]]-Table1[[#This Row],[Cost USD]]</f>
        <v>0</v>
      </c>
      <c r="AB279" s="335">
        <f>122*0.75*20+126*0.75*5</f>
        <v>2302.5</v>
      </c>
      <c r="AC279" s="298">
        <v>2758.4000000000005</v>
      </c>
      <c r="AD279" s="299">
        <f>Table1[[#This Row],[Selling EUR]]-Table1[[#This Row],[Cost EUR]]</f>
        <v>455.90000000000055</v>
      </c>
      <c r="AE279" s="321" t="s">
        <v>54</v>
      </c>
      <c r="AF279" s="294">
        <v>46050</v>
      </c>
      <c r="AG279" s="294"/>
      <c r="AH279" s="321">
        <v>50</v>
      </c>
      <c r="AI279" s="323" t="s">
        <v>2401</v>
      </c>
      <c r="AJ279" s="338">
        <v>0.16666666666666666</v>
      </c>
      <c r="AK279" s="323" t="s">
        <v>2402</v>
      </c>
      <c r="AL279" s="338">
        <v>3.05</v>
      </c>
      <c r="AM279" s="338"/>
      <c r="AN279" s="323"/>
      <c r="AO279" s="282"/>
      <c r="AP279" s="306"/>
      <c r="AQ279" s="282"/>
      <c r="AR279" s="282"/>
      <c r="AS279" s="282"/>
      <c r="AT279" s="281"/>
      <c r="AU279" s="281"/>
      <c r="AV279" s="281"/>
      <c r="AW279" s="281"/>
      <c r="AX279" s="281"/>
      <c r="AY279" s="281"/>
      <c r="AZ279" s="281"/>
    </row>
    <row r="280" spans="1:52" ht="15" customHeight="1" x14ac:dyDescent="0.3">
      <c r="A280" s="294">
        <v>45975</v>
      </c>
      <c r="B280" s="321" t="s">
        <v>47</v>
      </c>
      <c r="C280" s="321" t="s">
        <v>47</v>
      </c>
      <c r="D280" s="294" t="s">
        <v>137</v>
      </c>
      <c r="E280" s="321" t="s">
        <v>138</v>
      </c>
      <c r="F280" s="295">
        <v>2025021</v>
      </c>
      <c r="G280" s="296">
        <v>2025021</v>
      </c>
      <c r="H280" s="280" t="s">
        <v>58</v>
      </c>
      <c r="I280" s="323" t="s">
        <v>59</v>
      </c>
      <c r="J280" s="323" t="s">
        <v>2536</v>
      </c>
      <c r="K280" s="294">
        <v>46061</v>
      </c>
      <c r="L280" s="294">
        <v>46082</v>
      </c>
      <c r="M280" s="284">
        <f>Table1[[#This Row],[Dep Date]]-Table1[[#This Row],[Arr Date]]</f>
        <v>21</v>
      </c>
      <c r="N280" s="323" t="s">
        <v>52</v>
      </c>
      <c r="O280" s="321">
        <v>1</v>
      </c>
      <c r="P280" s="321">
        <v>2</v>
      </c>
      <c r="Q280" s="321"/>
      <c r="R280" s="321"/>
      <c r="S280" s="321" t="s">
        <v>53</v>
      </c>
      <c r="T280" s="326" t="s">
        <v>1893</v>
      </c>
      <c r="U280" s="297">
        <v>0</v>
      </c>
      <c r="V280" s="294"/>
      <c r="W280" s="297">
        <v>0</v>
      </c>
      <c r="X280" s="294"/>
      <c r="Y280" s="329"/>
      <c r="Z280" s="329"/>
      <c r="AA280" s="332">
        <f>Table1[[#This Row],[Selling USD]]-Table1[[#This Row],[Cost USD]]</f>
        <v>0</v>
      </c>
      <c r="AB280" s="335">
        <v>955.5</v>
      </c>
      <c r="AC280" s="298">
        <v>1037.4000000000001</v>
      </c>
      <c r="AD280" s="299">
        <f>Table1[[#This Row],[Selling EUR]]-Table1[[#This Row],[Cost EUR]]</f>
        <v>81.900000000000091</v>
      </c>
      <c r="AE280" s="321" t="s">
        <v>54</v>
      </c>
      <c r="AF280" s="294">
        <v>46055</v>
      </c>
      <c r="AG280" s="294"/>
      <c r="AH280" s="321">
        <v>140</v>
      </c>
      <c r="AI280" s="323" t="s">
        <v>2403</v>
      </c>
      <c r="AJ280" s="338">
        <v>0.65277777777777779</v>
      </c>
      <c r="AK280" s="323" t="s">
        <v>2400</v>
      </c>
      <c r="AL280" s="338">
        <v>0.61111111111111116</v>
      </c>
      <c r="AM280" s="338"/>
      <c r="AN280" s="323"/>
      <c r="AO280" s="282"/>
      <c r="AP280" s="306"/>
      <c r="AQ280" s="282"/>
      <c r="AR280" s="282"/>
      <c r="AS280" s="282"/>
      <c r="AT280" s="281"/>
      <c r="AU280" s="281"/>
      <c r="AV280" s="281"/>
      <c r="AW280" s="281"/>
      <c r="AX280" s="281"/>
      <c r="AY280" s="281"/>
      <c r="AZ280" s="281"/>
    </row>
    <row r="281" spans="1:52" ht="15" customHeight="1" x14ac:dyDescent="0.3">
      <c r="A281" s="294">
        <v>45975</v>
      </c>
      <c r="B281" s="321" t="s">
        <v>73</v>
      </c>
      <c r="C281" s="321" t="s">
        <v>73</v>
      </c>
      <c r="D281" s="294" t="s">
        <v>137</v>
      </c>
      <c r="E281" s="321" t="s">
        <v>138</v>
      </c>
      <c r="F281" s="295">
        <v>2025025</v>
      </c>
      <c r="G281" s="296">
        <v>2025025</v>
      </c>
      <c r="H281" s="280" t="s">
        <v>58</v>
      </c>
      <c r="I281" s="323" t="s">
        <v>59</v>
      </c>
      <c r="J281" s="323" t="s">
        <v>2566</v>
      </c>
      <c r="K281" s="294">
        <v>46077</v>
      </c>
      <c r="L281" s="294">
        <v>46091</v>
      </c>
      <c r="M281" s="284">
        <f>Table1[[#This Row],[Dep Date]]-Table1[[#This Row],[Arr Date]]</f>
        <v>14</v>
      </c>
      <c r="N281" s="323" t="s">
        <v>52</v>
      </c>
      <c r="O281" s="321">
        <v>2</v>
      </c>
      <c r="P281" s="321">
        <v>4</v>
      </c>
      <c r="Q281" s="321"/>
      <c r="R281" s="321"/>
      <c r="S281" s="321" t="s">
        <v>53</v>
      </c>
      <c r="T281" s="326" t="s">
        <v>1894</v>
      </c>
      <c r="U281" s="297">
        <v>0</v>
      </c>
      <c r="V281" s="294"/>
      <c r="W281" s="297">
        <v>0</v>
      </c>
      <c r="X281" s="294"/>
      <c r="Y281" s="329"/>
      <c r="Z281" s="329"/>
      <c r="AA281" s="332">
        <f>Table1[[#This Row],[Selling USD]]-Table1[[#This Row],[Cost USD]]</f>
        <v>0</v>
      </c>
      <c r="AB281" s="335"/>
      <c r="AC281" s="298"/>
      <c r="AD281" s="299">
        <f>Table1[[#This Row],[Selling EUR]]-Table1[[#This Row],[Cost EUR]]</f>
        <v>0</v>
      </c>
      <c r="AE281" s="321"/>
      <c r="AF281" s="294"/>
      <c r="AG281" s="294"/>
      <c r="AH281" s="321"/>
      <c r="AI281" s="323" t="s">
        <v>2399</v>
      </c>
      <c r="AJ281" s="338">
        <v>0.54513888888888884</v>
      </c>
      <c r="AK281" s="323" t="s">
        <v>2400</v>
      </c>
      <c r="AL281" s="338">
        <v>0.58333333333333337</v>
      </c>
      <c r="AM281" s="338"/>
      <c r="AN281" s="323"/>
      <c r="AO281" s="282"/>
      <c r="AP281" s="306"/>
      <c r="AQ281" s="282"/>
      <c r="AR281" s="282"/>
      <c r="AS281" s="282"/>
      <c r="AT281" s="281"/>
      <c r="AU281" s="281"/>
      <c r="AV281" s="281"/>
      <c r="AW281" s="281"/>
      <c r="AX281" s="281"/>
      <c r="AY281" s="281"/>
      <c r="AZ281" s="281"/>
    </row>
    <row r="282" spans="1:52" ht="15" customHeight="1" x14ac:dyDescent="0.3">
      <c r="A282" s="294">
        <v>45975</v>
      </c>
      <c r="B282" s="321" t="s">
        <v>73</v>
      </c>
      <c r="C282" s="321" t="s">
        <v>73</v>
      </c>
      <c r="D282" s="294" t="s">
        <v>137</v>
      </c>
      <c r="E282" s="321" t="s">
        <v>138</v>
      </c>
      <c r="F282" s="295">
        <v>2025031</v>
      </c>
      <c r="G282" s="296">
        <v>2025031</v>
      </c>
      <c r="H282" s="280" t="s">
        <v>58</v>
      </c>
      <c r="I282" s="323" t="s">
        <v>59</v>
      </c>
      <c r="J282" s="323" t="s">
        <v>2565</v>
      </c>
      <c r="K282" s="294">
        <v>46078</v>
      </c>
      <c r="L282" s="294">
        <v>46092</v>
      </c>
      <c r="M282" s="284">
        <f>Table1[[#This Row],[Dep Date]]-Table1[[#This Row],[Arr Date]]</f>
        <v>14</v>
      </c>
      <c r="N282" s="323" t="s">
        <v>52</v>
      </c>
      <c r="O282" s="321">
        <v>1</v>
      </c>
      <c r="P282" s="321">
        <v>2</v>
      </c>
      <c r="Q282" s="321"/>
      <c r="R282" s="321"/>
      <c r="S282" s="321" t="s">
        <v>53</v>
      </c>
      <c r="T282" s="326" t="s">
        <v>1895</v>
      </c>
      <c r="U282" s="297">
        <v>0</v>
      </c>
      <c r="V282" s="294"/>
      <c r="W282" s="297">
        <v>0</v>
      </c>
      <c r="X282" s="294"/>
      <c r="Y282" s="329"/>
      <c r="Z282" s="329"/>
      <c r="AA282" s="332">
        <f>Table1[[#This Row],[Selling USD]]-Table1[[#This Row],[Cost USD]]</f>
        <v>0</v>
      </c>
      <c r="AB282" s="335"/>
      <c r="AC282" s="298"/>
      <c r="AD282" s="299">
        <f>Table1[[#This Row],[Selling EUR]]-Table1[[#This Row],[Cost EUR]]</f>
        <v>0</v>
      </c>
      <c r="AE282" s="321"/>
      <c r="AF282" s="294"/>
      <c r="AG282" s="294"/>
      <c r="AH282" s="321"/>
      <c r="AI282" s="323" t="s">
        <v>2398</v>
      </c>
      <c r="AJ282" s="338">
        <v>0.55555555555555558</v>
      </c>
      <c r="AK282" s="323" t="s">
        <v>2400</v>
      </c>
      <c r="AL282" s="338">
        <v>0.60069444444444442</v>
      </c>
      <c r="AM282" s="338"/>
      <c r="AN282" s="323"/>
      <c r="AO282" s="282"/>
      <c r="AP282" s="306"/>
      <c r="AQ282" s="282"/>
      <c r="AR282" s="282"/>
      <c r="AS282" s="282"/>
      <c r="AT282" s="281"/>
      <c r="AU282" s="281"/>
      <c r="AV282" s="281"/>
      <c r="AW282" s="281"/>
      <c r="AX282" s="281"/>
      <c r="AY282" s="281"/>
      <c r="AZ282" s="281"/>
    </row>
    <row r="283" spans="1:52" ht="15" customHeight="1" x14ac:dyDescent="0.3">
      <c r="A283" s="294">
        <v>45975</v>
      </c>
      <c r="B283" s="321" t="s">
        <v>73</v>
      </c>
      <c r="C283" s="321" t="s">
        <v>73</v>
      </c>
      <c r="D283" s="294" t="s">
        <v>137</v>
      </c>
      <c r="E283" s="321" t="s">
        <v>138</v>
      </c>
      <c r="F283" s="295">
        <v>2025030</v>
      </c>
      <c r="G283" s="296">
        <v>2025030</v>
      </c>
      <c r="H283" s="280" t="s">
        <v>58</v>
      </c>
      <c r="I283" s="323" t="s">
        <v>59</v>
      </c>
      <c r="J283" s="323" t="s">
        <v>2565</v>
      </c>
      <c r="K283" s="294">
        <v>46078</v>
      </c>
      <c r="L283" s="294">
        <v>46092</v>
      </c>
      <c r="M283" s="284">
        <f>Table1[[#This Row],[Dep Date]]-Table1[[#This Row],[Arr Date]]</f>
        <v>14</v>
      </c>
      <c r="N283" s="323" t="s">
        <v>52</v>
      </c>
      <c r="O283" s="321">
        <v>1</v>
      </c>
      <c r="P283" s="321">
        <v>2</v>
      </c>
      <c r="Q283" s="321"/>
      <c r="R283" s="321"/>
      <c r="S283" s="321" t="s">
        <v>53</v>
      </c>
      <c r="T283" s="326" t="s">
        <v>1896</v>
      </c>
      <c r="U283" s="297">
        <v>0</v>
      </c>
      <c r="V283" s="294"/>
      <c r="W283" s="297">
        <v>0</v>
      </c>
      <c r="X283" s="294"/>
      <c r="Y283" s="329"/>
      <c r="Z283" s="329"/>
      <c r="AA283" s="332">
        <f>Table1[[#This Row],[Selling USD]]-Table1[[#This Row],[Cost USD]]</f>
        <v>0</v>
      </c>
      <c r="AB283" s="335"/>
      <c r="AC283" s="298"/>
      <c r="AD283" s="299">
        <f>Table1[[#This Row],[Selling EUR]]-Table1[[#This Row],[Cost EUR]]</f>
        <v>0</v>
      </c>
      <c r="AE283" s="321"/>
      <c r="AF283" s="294"/>
      <c r="AG283" s="294"/>
      <c r="AH283" s="321"/>
      <c r="AI283" s="323" t="s">
        <v>2398</v>
      </c>
      <c r="AJ283" s="338">
        <v>0.55555555555555558</v>
      </c>
      <c r="AK283" s="323" t="s">
        <v>2400</v>
      </c>
      <c r="AL283" s="338">
        <v>0.60069444444444442</v>
      </c>
      <c r="AM283" s="338"/>
      <c r="AN283" s="323"/>
      <c r="AO283" s="282"/>
      <c r="AP283" s="306"/>
      <c r="AQ283" s="282"/>
      <c r="AR283" s="282"/>
      <c r="AS283" s="282"/>
      <c r="AT283" s="281"/>
      <c r="AU283" s="281"/>
      <c r="AV283" s="281"/>
      <c r="AW283" s="281"/>
      <c r="AX283" s="281"/>
      <c r="AY283" s="281"/>
      <c r="AZ283" s="281"/>
    </row>
    <row r="284" spans="1:52" ht="15" customHeight="1" x14ac:dyDescent="0.3">
      <c r="A284" s="294">
        <v>45975</v>
      </c>
      <c r="B284" s="321" t="s">
        <v>47</v>
      </c>
      <c r="C284" s="321" t="s">
        <v>47</v>
      </c>
      <c r="D284" s="294" t="s">
        <v>137</v>
      </c>
      <c r="E284" s="321" t="s">
        <v>138</v>
      </c>
      <c r="F284" s="295">
        <v>2025034</v>
      </c>
      <c r="G284" s="296">
        <v>2025034</v>
      </c>
      <c r="H284" s="280" t="s">
        <v>58</v>
      </c>
      <c r="I284" s="323" t="s">
        <v>147</v>
      </c>
      <c r="J284" s="323" t="s">
        <v>2567</v>
      </c>
      <c r="K284" s="294">
        <v>46078</v>
      </c>
      <c r="L284" s="294">
        <v>46099</v>
      </c>
      <c r="M284" s="284">
        <f>Table1[[#This Row],[Dep Date]]-Table1[[#This Row],[Arr Date]]</f>
        <v>21</v>
      </c>
      <c r="N284" s="323" t="s">
        <v>65</v>
      </c>
      <c r="O284" s="321">
        <v>1</v>
      </c>
      <c r="P284" s="321">
        <v>1</v>
      </c>
      <c r="Q284" s="321"/>
      <c r="R284" s="321"/>
      <c r="S284" s="321" t="s">
        <v>53</v>
      </c>
      <c r="T284" s="326" t="s">
        <v>1897</v>
      </c>
      <c r="U284" s="297">
        <v>0</v>
      </c>
      <c r="V284" s="294"/>
      <c r="W284" s="297">
        <v>0</v>
      </c>
      <c r="X284" s="294"/>
      <c r="Y284" s="329"/>
      <c r="Z284" s="329"/>
      <c r="AA284" s="332">
        <f>Table1[[#This Row],[Selling USD]]-Table1[[#This Row],[Cost USD]]</f>
        <v>0</v>
      </c>
      <c r="AB284" s="335"/>
      <c r="AC284" s="298"/>
      <c r="AD284" s="299">
        <f>Table1[[#This Row],[Selling EUR]]-Table1[[#This Row],[Cost EUR]]</f>
        <v>0</v>
      </c>
      <c r="AE284" s="321"/>
      <c r="AF284" s="294"/>
      <c r="AG284" s="294"/>
      <c r="AH284" s="321"/>
      <c r="AI284" s="323" t="s">
        <v>2399</v>
      </c>
      <c r="AJ284" s="338">
        <v>0.5625</v>
      </c>
      <c r="AK284" s="323" t="s">
        <v>2400</v>
      </c>
      <c r="AL284" s="338">
        <v>0.60069444444444442</v>
      </c>
      <c r="AM284" s="338"/>
      <c r="AN284" s="323"/>
      <c r="AO284" s="282"/>
      <c r="AP284" s="306"/>
      <c r="AQ284" s="282"/>
      <c r="AR284" s="282"/>
      <c r="AS284" s="282"/>
      <c r="AT284" s="281"/>
      <c r="AU284" s="281"/>
      <c r="AV284" s="281"/>
      <c r="AW284" s="281"/>
      <c r="AX284" s="281"/>
      <c r="AY284" s="281"/>
      <c r="AZ284" s="281"/>
    </row>
    <row r="285" spans="1:52" ht="15" customHeight="1" x14ac:dyDescent="0.3">
      <c r="A285" s="294">
        <v>45975</v>
      </c>
      <c r="B285" s="321" t="s">
        <v>47</v>
      </c>
      <c r="C285" s="321" t="s">
        <v>47</v>
      </c>
      <c r="D285" s="294" t="s">
        <v>137</v>
      </c>
      <c r="E285" s="321" t="s">
        <v>138</v>
      </c>
      <c r="F285" s="295">
        <v>2025035</v>
      </c>
      <c r="G285" s="296">
        <v>2025035</v>
      </c>
      <c r="H285" s="280" t="s">
        <v>58</v>
      </c>
      <c r="I285" s="323" t="s">
        <v>147</v>
      </c>
      <c r="J285" s="323" t="s">
        <v>2568</v>
      </c>
      <c r="K285" s="294">
        <v>46078</v>
      </c>
      <c r="L285" s="294">
        <v>46099</v>
      </c>
      <c r="M285" s="284">
        <f>Table1[[#This Row],[Dep Date]]-Table1[[#This Row],[Arr Date]]</f>
        <v>21</v>
      </c>
      <c r="N285" s="323" t="s">
        <v>52</v>
      </c>
      <c r="O285" s="321">
        <v>1</v>
      </c>
      <c r="P285" s="321">
        <v>2</v>
      </c>
      <c r="Q285" s="321"/>
      <c r="R285" s="321"/>
      <c r="S285" s="321" t="s">
        <v>53</v>
      </c>
      <c r="T285" s="326" t="s">
        <v>1898</v>
      </c>
      <c r="U285" s="297">
        <v>0</v>
      </c>
      <c r="V285" s="294"/>
      <c r="W285" s="297">
        <v>0</v>
      </c>
      <c r="X285" s="294"/>
      <c r="Y285" s="329"/>
      <c r="Z285" s="329"/>
      <c r="AA285" s="332">
        <f>Table1[[#This Row],[Selling USD]]-Table1[[#This Row],[Cost USD]]</f>
        <v>0</v>
      </c>
      <c r="AB285" s="335"/>
      <c r="AC285" s="298"/>
      <c r="AD285" s="299">
        <f>Table1[[#This Row],[Selling EUR]]-Table1[[#This Row],[Cost EUR]]</f>
        <v>0</v>
      </c>
      <c r="AE285" s="321"/>
      <c r="AF285" s="294"/>
      <c r="AG285" s="294"/>
      <c r="AH285" s="321"/>
      <c r="AI285" s="323" t="s">
        <v>2398</v>
      </c>
      <c r="AJ285" s="338">
        <v>0.5625</v>
      </c>
      <c r="AK285" s="323" t="s">
        <v>2400</v>
      </c>
      <c r="AL285" s="338">
        <v>0.60069444444444442</v>
      </c>
      <c r="AM285" s="338"/>
      <c r="AN285" s="323"/>
      <c r="AO285" s="282"/>
      <c r="AP285" s="306"/>
      <c r="AQ285" s="282"/>
      <c r="AR285" s="282"/>
      <c r="AS285" s="282"/>
      <c r="AT285" s="281"/>
      <c r="AU285" s="281"/>
      <c r="AV285" s="281"/>
      <c r="AW285" s="281"/>
      <c r="AX285" s="281"/>
      <c r="AY285" s="281"/>
      <c r="AZ285" s="281"/>
    </row>
    <row r="286" spans="1:52" ht="15" customHeight="1" x14ac:dyDescent="0.3">
      <c r="A286" s="294">
        <v>45975</v>
      </c>
      <c r="B286" s="321" t="s">
        <v>73</v>
      </c>
      <c r="C286" s="321" t="s">
        <v>73</v>
      </c>
      <c r="D286" s="294" t="s">
        <v>137</v>
      </c>
      <c r="E286" s="321" t="s">
        <v>138</v>
      </c>
      <c r="F286" s="295">
        <v>2025036</v>
      </c>
      <c r="G286" s="296">
        <v>2025036</v>
      </c>
      <c r="H286" s="280" t="s">
        <v>58</v>
      </c>
      <c r="I286" s="323" t="s">
        <v>59</v>
      </c>
      <c r="J286" s="323" t="s">
        <v>2536</v>
      </c>
      <c r="K286" s="294">
        <v>46082</v>
      </c>
      <c r="L286" s="294">
        <v>46096</v>
      </c>
      <c r="M286" s="284">
        <f>Table1[[#This Row],[Dep Date]]-Table1[[#This Row],[Arr Date]]</f>
        <v>14</v>
      </c>
      <c r="N286" s="323" t="s">
        <v>52</v>
      </c>
      <c r="O286" s="321">
        <v>1</v>
      </c>
      <c r="P286" s="321">
        <v>2</v>
      </c>
      <c r="Q286" s="321"/>
      <c r="R286" s="321"/>
      <c r="S286" s="321" t="s">
        <v>53</v>
      </c>
      <c r="T286" s="326" t="s">
        <v>1899</v>
      </c>
      <c r="U286" s="297">
        <v>0</v>
      </c>
      <c r="V286" s="294"/>
      <c r="W286" s="297">
        <v>0</v>
      </c>
      <c r="X286" s="294"/>
      <c r="Y286" s="329"/>
      <c r="Z286" s="329"/>
      <c r="AA286" s="332">
        <f>Table1[[#This Row],[Selling USD]]-Table1[[#This Row],[Cost USD]]</f>
        <v>0</v>
      </c>
      <c r="AB286" s="335"/>
      <c r="AC286" s="298"/>
      <c r="AD286" s="299">
        <f>Table1[[#This Row],[Selling EUR]]-Table1[[#This Row],[Cost EUR]]</f>
        <v>0</v>
      </c>
      <c r="AE286" s="321" t="s">
        <v>54</v>
      </c>
      <c r="AF286" s="294"/>
      <c r="AG286" s="294"/>
      <c r="AH286" s="321">
        <v>140</v>
      </c>
      <c r="AI286" s="323" t="s">
        <v>2404</v>
      </c>
      <c r="AJ286" s="338">
        <v>0.92361111111111116</v>
      </c>
      <c r="AK286" s="323" t="s">
        <v>2405</v>
      </c>
      <c r="AL286" s="338">
        <v>0.47222222222222221</v>
      </c>
      <c r="AM286" s="338"/>
      <c r="AN286" s="323"/>
      <c r="AO286" s="282"/>
      <c r="AP286" s="306"/>
      <c r="AQ286" s="282"/>
      <c r="AR286" s="282"/>
      <c r="AS286" s="282"/>
      <c r="AT286" s="281"/>
      <c r="AU286" s="281"/>
      <c r="AV286" s="281"/>
      <c r="AW286" s="281"/>
      <c r="AX286" s="281"/>
      <c r="AY286" s="281"/>
      <c r="AZ286" s="281"/>
    </row>
    <row r="287" spans="1:52" ht="15" customHeight="1" x14ac:dyDescent="0.3">
      <c r="A287" s="294">
        <v>45976</v>
      </c>
      <c r="B287" s="321" t="s">
        <v>73</v>
      </c>
      <c r="C287" s="321" t="s">
        <v>73</v>
      </c>
      <c r="D287" s="294" t="s">
        <v>48</v>
      </c>
      <c r="E287" s="321" t="s">
        <v>49</v>
      </c>
      <c r="F287" s="295">
        <v>17089862</v>
      </c>
      <c r="G287" s="296"/>
      <c r="H287" s="280" t="s">
        <v>50</v>
      </c>
      <c r="I287" s="323" t="s">
        <v>96</v>
      </c>
      <c r="J287" s="323" t="s">
        <v>2542</v>
      </c>
      <c r="K287" s="294">
        <v>46022</v>
      </c>
      <c r="L287" s="294">
        <v>46032</v>
      </c>
      <c r="M287" s="284">
        <f>Table1[[#This Row],[Dep Date]]-Table1[[#This Row],[Arr Date]]</f>
        <v>10</v>
      </c>
      <c r="N287" s="323" t="s">
        <v>52</v>
      </c>
      <c r="O287" s="321">
        <v>1</v>
      </c>
      <c r="P287" s="321">
        <v>2</v>
      </c>
      <c r="Q287" s="321"/>
      <c r="R287" s="321"/>
      <c r="S287" s="321" t="s">
        <v>53</v>
      </c>
      <c r="T287" s="326" t="s">
        <v>1900</v>
      </c>
      <c r="U287" s="297">
        <v>0</v>
      </c>
      <c r="V287" s="294"/>
      <c r="W287" s="297">
        <v>0</v>
      </c>
      <c r="X287" s="294"/>
      <c r="Y287" s="329"/>
      <c r="Z287" s="329"/>
      <c r="AA287" s="332">
        <f>Table1[[#This Row],[Selling USD]]-Table1[[#This Row],[Cost USD]]</f>
        <v>0</v>
      </c>
      <c r="AB287" s="335"/>
      <c r="AC287" s="298"/>
      <c r="AD287" s="299">
        <f>Table1[[#This Row],[Selling EUR]]-Table1[[#This Row],[Cost EUR]]</f>
        <v>0</v>
      </c>
      <c r="AE287" s="321"/>
      <c r="AF287" s="294"/>
      <c r="AG287" s="294"/>
      <c r="AH287" s="321"/>
      <c r="AI287" s="323"/>
      <c r="AJ287" s="338"/>
      <c r="AK287" s="323"/>
      <c r="AL287" s="338"/>
      <c r="AM287" s="338"/>
      <c r="AN287" s="323"/>
      <c r="AO287" s="282"/>
      <c r="AP287" s="306"/>
      <c r="AQ287" s="282"/>
      <c r="AR287" s="282"/>
      <c r="AS287" s="282"/>
      <c r="AT287" s="281"/>
      <c r="AU287" s="281"/>
      <c r="AV287" s="281"/>
      <c r="AW287" s="281"/>
      <c r="AX287" s="281"/>
      <c r="AY287" s="281"/>
      <c r="AZ287" s="281"/>
    </row>
    <row r="288" spans="1:52" ht="15" customHeight="1" x14ac:dyDescent="0.3">
      <c r="A288" s="294">
        <v>45976</v>
      </c>
      <c r="B288" s="321" t="s">
        <v>73</v>
      </c>
      <c r="C288" s="321" t="s">
        <v>73</v>
      </c>
      <c r="D288" s="294" t="s">
        <v>79</v>
      </c>
      <c r="E288" s="321" t="s">
        <v>138</v>
      </c>
      <c r="F288" s="295">
        <v>14632061</v>
      </c>
      <c r="G288" s="296">
        <v>20303611</v>
      </c>
      <c r="H288" s="280" t="s">
        <v>50</v>
      </c>
      <c r="I288" s="323" t="s">
        <v>109</v>
      </c>
      <c r="J288" s="323" t="s">
        <v>145</v>
      </c>
      <c r="K288" s="294">
        <v>46023</v>
      </c>
      <c r="L288" s="294">
        <v>46027</v>
      </c>
      <c r="M288" s="284">
        <f>Table1[[#This Row],[Dep Date]]-Table1[[#This Row],[Arr Date]]</f>
        <v>4</v>
      </c>
      <c r="N288" s="323" t="s">
        <v>65</v>
      </c>
      <c r="O288" s="321">
        <v>1</v>
      </c>
      <c r="P288" s="321">
        <v>1</v>
      </c>
      <c r="Q288" s="321">
        <v>1</v>
      </c>
      <c r="R288" s="321"/>
      <c r="S288" s="321" t="s">
        <v>53</v>
      </c>
      <c r="T288" s="326" t="s">
        <v>1901</v>
      </c>
      <c r="U288" s="297">
        <v>10.136986301369863</v>
      </c>
      <c r="V288" s="294">
        <v>42323</v>
      </c>
      <c r="W288" s="297">
        <v>0</v>
      </c>
      <c r="X288" s="294"/>
      <c r="Y288" s="329"/>
      <c r="Z288" s="329"/>
      <c r="AA288" s="332">
        <f>Table1[[#This Row],[Selling USD]]-Table1[[#This Row],[Cost USD]]</f>
        <v>0</v>
      </c>
      <c r="AB288" s="335"/>
      <c r="AC288" s="298"/>
      <c r="AD288" s="299">
        <f>Table1[[#This Row],[Selling EUR]]-Table1[[#This Row],[Cost EUR]]</f>
        <v>0</v>
      </c>
      <c r="AE288" s="321"/>
      <c r="AF288" s="294"/>
      <c r="AG288" s="294"/>
      <c r="AH288" s="321"/>
      <c r="AI288" s="323"/>
      <c r="AJ288" s="338"/>
      <c r="AK288" s="323"/>
      <c r="AL288" s="338"/>
      <c r="AM288" s="338"/>
      <c r="AN288" s="323"/>
      <c r="AO288" s="282"/>
      <c r="AP288" s="306"/>
      <c r="AQ288" s="282"/>
      <c r="AR288" s="282"/>
      <c r="AS288" s="282"/>
      <c r="AT288" s="281"/>
      <c r="AU288" s="281"/>
      <c r="AV288" s="281"/>
      <c r="AW288" s="281"/>
      <c r="AX288" s="281"/>
      <c r="AY288" s="281"/>
      <c r="AZ288" s="281"/>
    </row>
    <row r="289" spans="1:52" ht="15" customHeight="1" x14ac:dyDescent="0.3">
      <c r="A289" s="294">
        <v>45976</v>
      </c>
      <c r="B289" s="321" t="s">
        <v>73</v>
      </c>
      <c r="C289" s="321" t="s">
        <v>73</v>
      </c>
      <c r="D289" s="294" t="s">
        <v>79</v>
      </c>
      <c r="E289" s="321" t="s">
        <v>138</v>
      </c>
      <c r="F289" s="295">
        <v>14632070</v>
      </c>
      <c r="G289" s="296">
        <v>20303612</v>
      </c>
      <c r="H289" s="280" t="s">
        <v>50</v>
      </c>
      <c r="I289" s="323" t="s">
        <v>109</v>
      </c>
      <c r="J289" s="323" t="s">
        <v>145</v>
      </c>
      <c r="K289" s="294">
        <v>46023</v>
      </c>
      <c r="L289" s="294">
        <v>46027</v>
      </c>
      <c r="M289" s="284">
        <f>Table1[[#This Row],[Dep Date]]-Table1[[#This Row],[Arr Date]]</f>
        <v>4</v>
      </c>
      <c r="N289" s="323" t="s">
        <v>65</v>
      </c>
      <c r="O289" s="321">
        <v>1</v>
      </c>
      <c r="P289" s="321">
        <v>1</v>
      </c>
      <c r="Q289" s="321"/>
      <c r="R289" s="321"/>
      <c r="S289" s="321" t="s">
        <v>53</v>
      </c>
      <c r="T289" s="326" t="s">
        <v>1902</v>
      </c>
      <c r="U289" s="297">
        <v>0</v>
      </c>
      <c r="V289" s="294"/>
      <c r="W289" s="297">
        <v>0</v>
      </c>
      <c r="X289" s="294"/>
      <c r="Y289" s="329"/>
      <c r="Z289" s="329"/>
      <c r="AA289" s="332">
        <f>Table1[[#This Row],[Selling USD]]-Table1[[#This Row],[Cost USD]]</f>
        <v>0</v>
      </c>
      <c r="AB289" s="335"/>
      <c r="AC289" s="298"/>
      <c r="AD289" s="299">
        <f>Table1[[#This Row],[Selling EUR]]-Table1[[#This Row],[Cost EUR]]</f>
        <v>0</v>
      </c>
      <c r="AE289" s="321"/>
      <c r="AF289" s="294"/>
      <c r="AG289" s="294"/>
      <c r="AH289" s="321"/>
      <c r="AI289" s="323"/>
      <c r="AJ289" s="338"/>
      <c r="AK289" s="323"/>
      <c r="AL289" s="338"/>
      <c r="AM289" s="338"/>
      <c r="AN289" s="323"/>
      <c r="AO289" s="282"/>
      <c r="AP289" s="306"/>
      <c r="AQ289" s="282"/>
      <c r="AR289" s="282"/>
      <c r="AS289" s="282"/>
      <c r="AT289" s="281"/>
      <c r="AU289" s="281"/>
      <c r="AV289" s="281"/>
      <c r="AW289" s="281"/>
      <c r="AX289" s="281"/>
      <c r="AY289" s="281"/>
      <c r="AZ289" s="281"/>
    </row>
    <row r="290" spans="1:52" ht="15" customHeight="1" x14ac:dyDescent="0.3">
      <c r="A290" s="294">
        <v>45976</v>
      </c>
      <c r="B290" s="321" t="s">
        <v>47</v>
      </c>
      <c r="C290" s="321" t="s">
        <v>47</v>
      </c>
      <c r="D290" s="294" t="s">
        <v>79</v>
      </c>
      <c r="E290" s="321" t="s">
        <v>49</v>
      </c>
      <c r="F290" s="295">
        <v>14632122</v>
      </c>
      <c r="G290" s="296">
        <v>20303613</v>
      </c>
      <c r="H290" s="280" t="s">
        <v>50</v>
      </c>
      <c r="I290" s="323" t="s">
        <v>148</v>
      </c>
      <c r="J290" s="323" t="s">
        <v>98</v>
      </c>
      <c r="K290" s="294">
        <v>46087</v>
      </c>
      <c r="L290" s="294">
        <v>46095</v>
      </c>
      <c r="M290" s="284">
        <f>Table1[[#This Row],[Dep Date]]-Table1[[#This Row],[Arr Date]]</f>
        <v>8</v>
      </c>
      <c r="N290" s="323" t="s">
        <v>52</v>
      </c>
      <c r="O290" s="321">
        <v>1</v>
      </c>
      <c r="P290" s="321">
        <v>2</v>
      </c>
      <c r="Q290" s="321">
        <v>1</v>
      </c>
      <c r="R290" s="321"/>
      <c r="S290" s="321" t="s">
        <v>53</v>
      </c>
      <c r="T290" s="326" t="s">
        <v>1903</v>
      </c>
      <c r="U290" s="297">
        <v>2.1534246575342464</v>
      </c>
      <c r="V290" s="294">
        <v>45301</v>
      </c>
      <c r="W290" s="297">
        <v>0</v>
      </c>
      <c r="X290" s="294"/>
      <c r="Y290" s="329"/>
      <c r="Z290" s="329"/>
      <c r="AA290" s="332">
        <f>Table1[[#This Row],[Selling USD]]-Table1[[#This Row],[Cost USD]]</f>
        <v>0</v>
      </c>
      <c r="AB290" s="335">
        <f>135*2*0.51*8</f>
        <v>1101.5999999999999</v>
      </c>
      <c r="AC290" s="298">
        <v>1134.43</v>
      </c>
      <c r="AD290" s="299">
        <f>Table1[[#This Row],[Selling EUR]]-Table1[[#This Row],[Cost EUR]]</f>
        <v>32.830000000000155</v>
      </c>
      <c r="AE290" s="321" t="s">
        <v>54</v>
      </c>
      <c r="AF290" s="294">
        <v>46079</v>
      </c>
      <c r="AG290" s="294"/>
      <c r="AH290" s="321"/>
      <c r="AI290" s="323"/>
      <c r="AJ290" s="338"/>
      <c r="AK290" s="323"/>
      <c r="AL290" s="338"/>
      <c r="AM290" s="338"/>
      <c r="AN290" s="323"/>
      <c r="AO290" s="282"/>
      <c r="AP290" s="306"/>
      <c r="AQ290" s="282"/>
      <c r="AR290" s="282"/>
      <c r="AS290" s="282"/>
      <c r="AT290" s="281"/>
      <c r="AU290" s="281"/>
      <c r="AV290" s="281"/>
      <c r="AW290" s="281"/>
      <c r="AX290" s="281"/>
      <c r="AY290" s="281"/>
      <c r="AZ290" s="281"/>
    </row>
    <row r="291" spans="1:52" ht="15" customHeight="1" x14ac:dyDescent="0.3">
      <c r="A291" s="294">
        <v>45977</v>
      </c>
      <c r="B291" s="321" t="s">
        <v>47</v>
      </c>
      <c r="C291" s="321" t="s">
        <v>47</v>
      </c>
      <c r="D291" s="294" t="s">
        <v>79</v>
      </c>
      <c r="E291" s="321" t="s">
        <v>49</v>
      </c>
      <c r="F291" s="295">
        <v>14648688</v>
      </c>
      <c r="G291" s="296">
        <v>20303614</v>
      </c>
      <c r="H291" s="280" t="s">
        <v>50</v>
      </c>
      <c r="I291" s="323" t="s">
        <v>66</v>
      </c>
      <c r="J291" s="323" t="s">
        <v>1402</v>
      </c>
      <c r="K291" s="294">
        <v>46001</v>
      </c>
      <c r="L291" s="294">
        <v>46015</v>
      </c>
      <c r="M291" s="284">
        <f>Table1[[#This Row],[Dep Date]]-Table1[[#This Row],[Arr Date]]</f>
        <v>14</v>
      </c>
      <c r="N291" s="323" t="s">
        <v>52</v>
      </c>
      <c r="O291" s="321">
        <v>1</v>
      </c>
      <c r="P291" s="321">
        <v>2</v>
      </c>
      <c r="Q291" s="321"/>
      <c r="R291" s="321">
        <v>1</v>
      </c>
      <c r="S291" s="321" t="s">
        <v>53</v>
      </c>
      <c r="T291" s="326" t="s">
        <v>1904</v>
      </c>
      <c r="U291" s="297">
        <v>1.0657534246575342</v>
      </c>
      <c r="V291" s="294">
        <v>45612</v>
      </c>
      <c r="W291" s="297">
        <v>0</v>
      </c>
      <c r="X291" s="294"/>
      <c r="Y291" s="329"/>
      <c r="Z291" s="329"/>
      <c r="AA291" s="332">
        <f>Table1[[#This Row],[Selling USD]]-Table1[[#This Row],[Cost USD]]</f>
        <v>0</v>
      </c>
      <c r="AB291" s="335">
        <f>45*2*13+55*2*1</f>
        <v>1280</v>
      </c>
      <c r="AC291" s="298">
        <v>1292.8</v>
      </c>
      <c r="AD291" s="299">
        <f>Table1[[#This Row],[Selling EUR]]-Table1[[#This Row],[Cost EUR]]</f>
        <v>12.799999999999955</v>
      </c>
      <c r="AE291" s="321" t="s">
        <v>54</v>
      </c>
      <c r="AF291" s="294">
        <v>45995</v>
      </c>
      <c r="AG291" s="294"/>
      <c r="AH291" s="321"/>
      <c r="AI291" s="323"/>
      <c r="AJ291" s="338"/>
      <c r="AK291" s="323"/>
      <c r="AL291" s="338"/>
      <c r="AM291" s="338"/>
      <c r="AN291" s="323"/>
      <c r="AO291" s="282"/>
      <c r="AP291" s="306"/>
      <c r="AQ291" s="282"/>
      <c r="AR291" s="282"/>
      <c r="AS291" s="282"/>
      <c r="AT291" s="281"/>
      <c r="AU291" s="281"/>
      <c r="AV291" s="281"/>
      <c r="AW291" s="281"/>
      <c r="AX291" s="281"/>
      <c r="AY291" s="281"/>
      <c r="AZ291" s="281"/>
    </row>
    <row r="292" spans="1:52" ht="15" customHeight="1" x14ac:dyDescent="0.3">
      <c r="A292" s="294">
        <v>45978</v>
      </c>
      <c r="B292" s="321" t="s">
        <v>47</v>
      </c>
      <c r="C292" s="321" t="s">
        <v>47</v>
      </c>
      <c r="D292" s="294" t="s">
        <v>79</v>
      </c>
      <c r="E292" s="321" t="s">
        <v>49</v>
      </c>
      <c r="F292" s="295">
        <v>14665994</v>
      </c>
      <c r="G292" s="296">
        <v>20303615</v>
      </c>
      <c r="H292" s="280" t="s">
        <v>50</v>
      </c>
      <c r="I292" s="323" t="s">
        <v>125</v>
      </c>
      <c r="J292" s="323" t="s">
        <v>2516</v>
      </c>
      <c r="K292" s="294">
        <v>46046</v>
      </c>
      <c r="L292" s="294">
        <v>46049</v>
      </c>
      <c r="M292" s="284">
        <f>Table1[[#This Row],[Dep Date]]-Table1[[#This Row],[Arr Date]]</f>
        <v>3</v>
      </c>
      <c r="N292" s="323" t="s">
        <v>65</v>
      </c>
      <c r="O292" s="321">
        <v>1</v>
      </c>
      <c r="P292" s="321">
        <v>1</v>
      </c>
      <c r="Q292" s="321"/>
      <c r="R292" s="321"/>
      <c r="S292" s="321" t="s">
        <v>53</v>
      </c>
      <c r="T292" s="326" t="s">
        <v>1905</v>
      </c>
      <c r="U292" s="297">
        <v>0</v>
      </c>
      <c r="V292" s="294"/>
      <c r="W292" s="297">
        <v>0</v>
      </c>
      <c r="X292" s="294"/>
      <c r="Y292" s="329"/>
      <c r="Z292" s="329"/>
      <c r="AA292" s="332">
        <f>Table1[[#This Row],[Selling USD]]-Table1[[#This Row],[Cost USD]]</f>
        <v>0</v>
      </c>
      <c r="AB292" s="335">
        <f>27*1.5*3</f>
        <v>121.5</v>
      </c>
      <c r="AC292" s="298">
        <v>122.11</v>
      </c>
      <c r="AD292" s="299">
        <f>Table1[[#This Row],[Selling EUR]]-Table1[[#This Row],[Cost EUR]]</f>
        <v>0.60999999999999943</v>
      </c>
      <c r="AE292" s="321" t="s">
        <v>54</v>
      </c>
      <c r="AF292" s="294">
        <v>46040</v>
      </c>
      <c r="AG292" s="294"/>
      <c r="AH292" s="321"/>
      <c r="AI292" s="323"/>
      <c r="AJ292" s="338"/>
      <c r="AK292" s="323"/>
      <c r="AL292" s="338"/>
      <c r="AM292" s="338"/>
      <c r="AN292" s="323"/>
      <c r="AO292" s="282"/>
      <c r="AP292" s="306"/>
      <c r="AQ292" s="282"/>
      <c r="AR292" s="282"/>
      <c r="AS292" s="282"/>
      <c r="AT292" s="281"/>
      <c r="AU292" s="281"/>
      <c r="AV292" s="281"/>
      <c r="AW292" s="281"/>
      <c r="AX292" s="281"/>
      <c r="AY292" s="281"/>
      <c r="AZ292" s="281"/>
    </row>
    <row r="293" spans="1:52" ht="15" customHeight="1" x14ac:dyDescent="0.3">
      <c r="A293" s="294">
        <v>45978</v>
      </c>
      <c r="B293" s="321" t="s">
        <v>73</v>
      </c>
      <c r="C293" s="321" t="s">
        <v>73</v>
      </c>
      <c r="D293" s="294" t="s">
        <v>48</v>
      </c>
      <c r="E293" s="321" t="s">
        <v>49</v>
      </c>
      <c r="F293" s="295">
        <v>17096240</v>
      </c>
      <c r="G293" s="296"/>
      <c r="H293" s="280" t="s">
        <v>50</v>
      </c>
      <c r="I293" s="323" t="s">
        <v>90</v>
      </c>
      <c r="J293" s="323" t="s">
        <v>1470</v>
      </c>
      <c r="K293" s="294">
        <v>46296</v>
      </c>
      <c r="L293" s="294">
        <v>46307</v>
      </c>
      <c r="M293" s="284">
        <f>Table1[[#This Row],[Dep Date]]-Table1[[#This Row],[Arr Date]]</f>
        <v>11</v>
      </c>
      <c r="N293" s="323" t="s">
        <v>52</v>
      </c>
      <c r="O293" s="321">
        <v>1</v>
      </c>
      <c r="P293" s="321">
        <v>2</v>
      </c>
      <c r="Q293" s="321"/>
      <c r="R293" s="321"/>
      <c r="S293" s="321" t="s">
        <v>53</v>
      </c>
      <c r="T293" s="326" t="s">
        <v>1906</v>
      </c>
      <c r="U293" s="297">
        <v>0</v>
      </c>
      <c r="V293" s="294"/>
      <c r="W293" s="297">
        <v>0</v>
      </c>
      <c r="X293" s="294"/>
      <c r="Y293" s="329"/>
      <c r="Z293" s="329"/>
      <c r="AA293" s="332">
        <f>Table1[[#This Row],[Selling USD]]-Table1[[#This Row],[Cost USD]]</f>
        <v>0</v>
      </c>
      <c r="AB293" s="335"/>
      <c r="AC293" s="298"/>
      <c r="AD293" s="299">
        <f>Table1[[#This Row],[Selling EUR]]-Table1[[#This Row],[Cost EUR]]</f>
        <v>0</v>
      </c>
      <c r="AE293" s="321" t="s">
        <v>54</v>
      </c>
      <c r="AF293" s="294">
        <v>46285</v>
      </c>
      <c r="AG293" s="294"/>
      <c r="AH293" s="321"/>
      <c r="AI293" s="323"/>
      <c r="AJ293" s="338"/>
      <c r="AK293" s="323"/>
      <c r="AL293" s="338"/>
      <c r="AM293" s="338"/>
      <c r="AN293" s="323"/>
      <c r="AO293" s="282"/>
      <c r="AP293" s="306"/>
      <c r="AQ293" s="282"/>
      <c r="AR293" s="282"/>
      <c r="AS293" s="282"/>
      <c r="AT293" s="281"/>
      <c r="AU293" s="281"/>
      <c r="AV293" s="281"/>
      <c r="AW293" s="281"/>
      <c r="AX293" s="281"/>
      <c r="AY293" s="281"/>
      <c r="AZ293" s="281"/>
    </row>
    <row r="294" spans="1:52" ht="15" customHeight="1" x14ac:dyDescent="0.3">
      <c r="A294" s="294">
        <v>45980</v>
      </c>
      <c r="B294" s="321" t="s">
        <v>47</v>
      </c>
      <c r="C294" s="321" t="s">
        <v>47</v>
      </c>
      <c r="D294" s="294" t="s">
        <v>137</v>
      </c>
      <c r="E294" s="321" t="s">
        <v>138</v>
      </c>
      <c r="F294" s="295">
        <v>2025038</v>
      </c>
      <c r="G294" s="296"/>
      <c r="H294" s="280" t="s">
        <v>84</v>
      </c>
      <c r="I294" s="323" t="s">
        <v>149</v>
      </c>
      <c r="J294" s="323" t="s">
        <v>2569</v>
      </c>
      <c r="K294" s="294">
        <v>45984</v>
      </c>
      <c r="L294" s="294">
        <v>45989</v>
      </c>
      <c r="M294" s="284">
        <f>Table1[[#This Row],[Dep Date]]-Table1[[#This Row],[Arr Date]]</f>
        <v>5</v>
      </c>
      <c r="N294" s="323" t="s">
        <v>52</v>
      </c>
      <c r="O294" s="321">
        <v>1</v>
      </c>
      <c r="P294" s="321">
        <v>2</v>
      </c>
      <c r="Q294" s="321"/>
      <c r="R294" s="321"/>
      <c r="S294" s="321" t="s">
        <v>53</v>
      </c>
      <c r="T294" s="326" t="s">
        <v>1907</v>
      </c>
      <c r="U294" s="297">
        <v>0</v>
      </c>
      <c r="V294" s="294"/>
      <c r="W294" s="297">
        <v>0</v>
      </c>
      <c r="X294" s="294"/>
      <c r="Y294" s="329"/>
      <c r="Z294" s="329"/>
      <c r="AA294" s="332">
        <f>Table1[[#This Row],[Selling USD]]-Table1[[#This Row],[Cost USD]]</f>
        <v>0</v>
      </c>
      <c r="AB294" s="335">
        <f>125*2*5</f>
        <v>1250</v>
      </c>
      <c r="AC294" s="298">
        <v>1270</v>
      </c>
      <c r="AD294" s="299">
        <f>Table1[[#This Row],[Selling EUR]]-Table1[[#This Row],[Cost EUR]]</f>
        <v>20</v>
      </c>
      <c r="AE294" s="321" t="s">
        <v>54</v>
      </c>
      <c r="AF294" s="294">
        <v>45981</v>
      </c>
      <c r="AG294" s="294"/>
      <c r="AH294" s="321">
        <v>100</v>
      </c>
      <c r="AI294" s="323" t="s">
        <v>2406</v>
      </c>
      <c r="AJ294" s="338">
        <v>0.79861111111111116</v>
      </c>
      <c r="AK294" s="323" t="s">
        <v>2407</v>
      </c>
      <c r="AL294" s="338">
        <v>0.5625</v>
      </c>
      <c r="AM294" s="338"/>
      <c r="AN294" s="323"/>
      <c r="AO294" s="282"/>
      <c r="AP294" s="306"/>
      <c r="AQ294" s="282"/>
      <c r="AR294" s="282"/>
      <c r="AS294" s="282"/>
      <c r="AT294" s="281"/>
      <c r="AU294" s="281"/>
      <c r="AV294" s="281"/>
      <c r="AW294" s="281"/>
      <c r="AX294" s="281"/>
      <c r="AY294" s="281"/>
      <c r="AZ294" s="281"/>
    </row>
    <row r="295" spans="1:52" ht="15" customHeight="1" x14ac:dyDescent="0.3">
      <c r="A295" s="294">
        <v>45980</v>
      </c>
      <c r="B295" s="321" t="s">
        <v>73</v>
      </c>
      <c r="C295" s="321" t="s">
        <v>73</v>
      </c>
      <c r="D295" s="294" t="s">
        <v>48</v>
      </c>
      <c r="E295" s="321" t="s">
        <v>61</v>
      </c>
      <c r="F295" s="295">
        <v>17100778</v>
      </c>
      <c r="G295" s="296"/>
      <c r="H295" s="280" t="s">
        <v>84</v>
      </c>
      <c r="I295" s="323" t="s">
        <v>150</v>
      </c>
      <c r="J295" s="323" t="s">
        <v>2570</v>
      </c>
      <c r="K295" s="294">
        <v>46003</v>
      </c>
      <c r="L295" s="294">
        <v>46010</v>
      </c>
      <c r="M295" s="284">
        <f>Table1[[#This Row],[Dep Date]]-Table1[[#This Row],[Arr Date]]</f>
        <v>7</v>
      </c>
      <c r="N295" s="323" t="s">
        <v>52</v>
      </c>
      <c r="O295" s="321">
        <v>1</v>
      </c>
      <c r="P295" s="321">
        <v>2</v>
      </c>
      <c r="Q295" s="321">
        <v>2</v>
      </c>
      <c r="R295" s="321">
        <v>1</v>
      </c>
      <c r="S295" s="321" t="s">
        <v>53</v>
      </c>
      <c r="T295" s="326" t="s">
        <v>1908</v>
      </c>
      <c r="U295" s="297">
        <v>9</v>
      </c>
      <c r="V295" s="294"/>
      <c r="W295" s="297">
        <v>6</v>
      </c>
      <c r="X295" s="294"/>
      <c r="Y295" s="329"/>
      <c r="Z295" s="329"/>
      <c r="AA295" s="332">
        <f>Table1[[#This Row],[Selling USD]]-Table1[[#This Row],[Cost USD]]</f>
        <v>0</v>
      </c>
      <c r="AB295" s="335"/>
      <c r="AC295" s="298"/>
      <c r="AD295" s="299">
        <f>Table1[[#This Row],[Selling EUR]]-Table1[[#This Row],[Cost EUR]]</f>
        <v>0</v>
      </c>
      <c r="AE295" s="321"/>
      <c r="AF295" s="294"/>
      <c r="AG295" s="294"/>
      <c r="AH295" s="321"/>
      <c r="AI295" s="323"/>
      <c r="AJ295" s="338"/>
      <c r="AK295" s="323"/>
      <c r="AL295" s="338"/>
      <c r="AM295" s="338"/>
      <c r="AN295" s="323"/>
      <c r="AO295" s="282"/>
      <c r="AP295" s="306"/>
      <c r="AQ295" s="282"/>
      <c r="AR295" s="282"/>
      <c r="AS295" s="282"/>
      <c r="AT295" s="281"/>
      <c r="AU295" s="281"/>
      <c r="AV295" s="281"/>
      <c r="AW295" s="281"/>
      <c r="AX295" s="281"/>
      <c r="AY295" s="281"/>
      <c r="AZ295" s="281"/>
    </row>
    <row r="296" spans="1:52" ht="15" customHeight="1" x14ac:dyDescent="0.3">
      <c r="A296" s="294">
        <v>45980</v>
      </c>
      <c r="B296" s="321" t="s">
        <v>47</v>
      </c>
      <c r="C296" s="321" t="s">
        <v>47</v>
      </c>
      <c r="D296" s="294" t="s">
        <v>79</v>
      </c>
      <c r="E296" s="321" t="s">
        <v>106</v>
      </c>
      <c r="F296" s="295">
        <v>14691932</v>
      </c>
      <c r="G296" s="296">
        <v>20303617</v>
      </c>
      <c r="H296" s="280" t="s">
        <v>50</v>
      </c>
      <c r="I296" s="323" t="s">
        <v>68</v>
      </c>
      <c r="J296" s="323" t="s">
        <v>1562</v>
      </c>
      <c r="K296" s="294">
        <v>46007</v>
      </c>
      <c r="L296" s="294">
        <v>46014</v>
      </c>
      <c r="M296" s="284">
        <f>Table1[[#This Row],[Dep Date]]-Table1[[#This Row],[Arr Date]]</f>
        <v>7</v>
      </c>
      <c r="N296" s="323" t="s">
        <v>52</v>
      </c>
      <c r="O296" s="321">
        <v>1</v>
      </c>
      <c r="P296" s="321">
        <v>2</v>
      </c>
      <c r="Q296" s="321"/>
      <c r="R296" s="321"/>
      <c r="S296" s="321" t="s">
        <v>53</v>
      </c>
      <c r="T296" s="326" t="s">
        <v>1909</v>
      </c>
      <c r="U296" s="297">
        <v>0</v>
      </c>
      <c r="V296" s="294"/>
      <c r="W296" s="297">
        <v>0</v>
      </c>
      <c r="X296" s="294"/>
      <c r="Y296" s="329">
        <f>50*2*7</f>
        <v>700</v>
      </c>
      <c r="Z296" s="329">
        <v>707</v>
      </c>
      <c r="AA296" s="332">
        <f>Table1[[#This Row],[Selling USD]]-Table1[[#This Row],[Cost USD]]</f>
        <v>7</v>
      </c>
      <c r="AB296" s="335"/>
      <c r="AC296" s="298"/>
      <c r="AD296" s="299">
        <f>Table1[[#This Row],[Selling EUR]]-Table1[[#This Row],[Cost EUR]]</f>
        <v>0</v>
      </c>
      <c r="AE296" s="321" t="s">
        <v>54</v>
      </c>
      <c r="AF296" s="294">
        <v>46001</v>
      </c>
      <c r="AG296" s="294"/>
      <c r="AH296" s="321"/>
      <c r="AI296" s="323"/>
      <c r="AJ296" s="338"/>
      <c r="AK296" s="323"/>
      <c r="AL296" s="338"/>
      <c r="AM296" s="338"/>
      <c r="AN296" s="323"/>
      <c r="AO296" s="282"/>
      <c r="AP296" s="306"/>
      <c r="AQ296" s="282"/>
      <c r="AR296" s="282"/>
      <c r="AS296" s="282"/>
      <c r="AT296" s="281"/>
      <c r="AU296" s="281"/>
      <c r="AV296" s="281"/>
      <c r="AW296" s="281"/>
      <c r="AX296" s="281"/>
      <c r="AY296" s="281"/>
      <c r="AZ296" s="281"/>
    </row>
    <row r="297" spans="1:52" ht="15" customHeight="1" x14ac:dyDescent="0.3">
      <c r="A297" s="294">
        <v>45981</v>
      </c>
      <c r="B297" s="321" t="s">
        <v>73</v>
      </c>
      <c r="C297" s="321" t="s">
        <v>73</v>
      </c>
      <c r="D297" s="294" t="s">
        <v>48</v>
      </c>
      <c r="E297" s="321" t="s">
        <v>49</v>
      </c>
      <c r="F297" s="295">
        <v>17101660</v>
      </c>
      <c r="G297" s="296"/>
      <c r="H297" s="280" t="s">
        <v>50</v>
      </c>
      <c r="I297" s="323" t="s">
        <v>151</v>
      </c>
      <c r="J297" s="323" t="s">
        <v>2571</v>
      </c>
      <c r="K297" s="294">
        <v>46023</v>
      </c>
      <c r="L297" s="294">
        <v>46030</v>
      </c>
      <c r="M297" s="284">
        <f>Table1[[#This Row],[Dep Date]]-Table1[[#This Row],[Arr Date]]</f>
        <v>7</v>
      </c>
      <c r="N297" s="323" t="s">
        <v>52</v>
      </c>
      <c r="O297" s="321">
        <v>1</v>
      </c>
      <c r="P297" s="321">
        <v>2</v>
      </c>
      <c r="Q297" s="321">
        <v>2</v>
      </c>
      <c r="R297" s="321"/>
      <c r="S297" s="321" t="s">
        <v>53</v>
      </c>
      <c r="T297" s="326" t="s">
        <v>1910</v>
      </c>
      <c r="U297" s="297">
        <v>12</v>
      </c>
      <c r="V297" s="294"/>
      <c r="W297" s="297">
        <v>9</v>
      </c>
      <c r="X297" s="294"/>
      <c r="Y297" s="329"/>
      <c r="Z297" s="329"/>
      <c r="AA297" s="332">
        <f>Table1[[#This Row],[Selling USD]]-Table1[[#This Row],[Cost USD]]</f>
        <v>0</v>
      </c>
      <c r="AB297" s="335"/>
      <c r="AC297" s="298"/>
      <c r="AD297" s="299">
        <f>Table1[[#This Row],[Selling EUR]]-Table1[[#This Row],[Cost EUR]]</f>
        <v>0</v>
      </c>
      <c r="AE297" s="321"/>
      <c r="AF297" s="294">
        <v>46019</v>
      </c>
      <c r="AG297" s="294"/>
      <c r="AH297" s="321"/>
      <c r="AI297" s="323"/>
      <c r="AJ297" s="338"/>
      <c r="AK297" s="323"/>
      <c r="AL297" s="338"/>
      <c r="AM297" s="338"/>
      <c r="AN297" s="323"/>
      <c r="AO297" s="282"/>
      <c r="AP297" s="306"/>
      <c r="AQ297" s="282"/>
      <c r="AR297" s="282"/>
      <c r="AS297" s="282"/>
      <c r="AT297" s="281"/>
      <c r="AU297" s="281"/>
      <c r="AV297" s="281"/>
      <c r="AW297" s="281"/>
      <c r="AX297" s="281"/>
      <c r="AY297" s="281"/>
      <c r="AZ297" s="281"/>
    </row>
    <row r="298" spans="1:52" ht="15" customHeight="1" x14ac:dyDescent="0.3">
      <c r="A298" s="294">
        <v>45981</v>
      </c>
      <c r="B298" s="321" t="s">
        <v>73</v>
      </c>
      <c r="C298" s="321" t="s">
        <v>73</v>
      </c>
      <c r="D298" s="294" t="s">
        <v>48</v>
      </c>
      <c r="E298" s="321" t="s">
        <v>61</v>
      </c>
      <c r="F298" s="295">
        <v>17102001</v>
      </c>
      <c r="G298" s="296"/>
      <c r="H298" s="280" t="s">
        <v>50</v>
      </c>
      <c r="I298" s="323" t="s">
        <v>80</v>
      </c>
      <c r="J298" s="323" t="s">
        <v>2572</v>
      </c>
      <c r="K298" s="294">
        <v>46044</v>
      </c>
      <c r="L298" s="294">
        <v>46049</v>
      </c>
      <c r="M298" s="284">
        <f>Table1[[#This Row],[Dep Date]]-Table1[[#This Row],[Arr Date]]</f>
        <v>5</v>
      </c>
      <c r="N298" s="323" t="s">
        <v>52</v>
      </c>
      <c r="O298" s="321">
        <v>1</v>
      </c>
      <c r="P298" s="321">
        <v>2</v>
      </c>
      <c r="Q298" s="321"/>
      <c r="R298" s="321"/>
      <c r="S298" s="321" t="s">
        <v>53</v>
      </c>
      <c r="T298" s="326" t="s">
        <v>1911</v>
      </c>
      <c r="U298" s="297">
        <v>0</v>
      </c>
      <c r="V298" s="294"/>
      <c r="W298" s="297">
        <v>0</v>
      </c>
      <c r="X298" s="294"/>
      <c r="Y298" s="329"/>
      <c r="Z298" s="329"/>
      <c r="AA298" s="332">
        <f>Table1[[#This Row],[Selling USD]]-Table1[[#This Row],[Cost USD]]</f>
        <v>0</v>
      </c>
      <c r="AB298" s="335"/>
      <c r="AC298" s="298"/>
      <c r="AD298" s="299">
        <f>Table1[[#This Row],[Selling EUR]]-Table1[[#This Row],[Cost EUR]]</f>
        <v>0</v>
      </c>
      <c r="AE298" s="321"/>
      <c r="AF298" s="294"/>
      <c r="AG298" s="294"/>
      <c r="AH298" s="321"/>
      <c r="AI298" s="323"/>
      <c r="AJ298" s="338"/>
      <c r="AK298" s="323"/>
      <c r="AL298" s="338"/>
      <c r="AM298" s="338"/>
      <c r="AN298" s="323"/>
      <c r="AO298" s="282"/>
      <c r="AP298" s="306"/>
      <c r="AQ298" s="282"/>
      <c r="AR298" s="282"/>
      <c r="AS298" s="282"/>
      <c r="AT298" s="281"/>
      <c r="AU298" s="281"/>
      <c r="AV298" s="281"/>
      <c r="AW298" s="281"/>
      <c r="AX298" s="281"/>
      <c r="AY298" s="281"/>
      <c r="AZ298" s="281"/>
    </row>
    <row r="299" spans="1:52" ht="15" customHeight="1" x14ac:dyDescent="0.3">
      <c r="A299" s="294">
        <v>45981</v>
      </c>
      <c r="B299" s="321" t="s">
        <v>47</v>
      </c>
      <c r="C299" s="321" t="s">
        <v>47</v>
      </c>
      <c r="D299" s="294" t="s">
        <v>79</v>
      </c>
      <c r="E299" s="321" t="s">
        <v>106</v>
      </c>
      <c r="F299" s="295">
        <v>14695547</v>
      </c>
      <c r="G299" s="296">
        <v>20303618</v>
      </c>
      <c r="H299" s="280" t="s">
        <v>84</v>
      </c>
      <c r="I299" s="323" t="s">
        <v>113</v>
      </c>
      <c r="J299" s="323" t="s">
        <v>1481</v>
      </c>
      <c r="K299" s="294">
        <v>45992</v>
      </c>
      <c r="L299" s="294">
        <v>45996</v>
      </c>
      <c r="M299" s="284">
        <f>Table1[[#This Row],[Dep Date]]-Table1[[#This Row],[Arr Date]]</f>
        <v>4</v>
      </c>
      <c r="N299" s="323" t="s">
        <v>52</v>
      </c>
      <c r="O299" s="321">
        <v>1</v>
      </c>
      <c r="P299" s="321">
        <v>2</v>
      </c>
      <c r="Q299" s="321"/>
      <c r="R299" s="321"/>
      <c r="S299" s="321" t="s">
        <v>53</v>
      </c>
      <c r="T299" s="326" t="s">
        <v>1912</v>
      </c>
      <c r="U299" s="297">
        <v>0</v>
      </c>
      <c r="V299" s="294"/>
      <c r="W299" s="297">
        <v>0</v>
      </c>
      <c r="X299" s="294"/>
      <c r="Y299" s="329">
        <f>200*2*0.62*4</f>
        <v>992</v>
      </c>
      <c r="Z299" s="329">
        <v>1001.92</v>
      </c>
      <c r="AA299" s="332">
        <f>Table1[[#This Row],[Selling USD]]-Table1[[#This Row],[Cost USD]]</f>
        <v>9.9199999999999591</v>
      </c>
      <c r="AB299" s="335"/>
      <c r="AC299" s="298"/>
      <c r="AD299" s="299">
        <f>Table1[[#This Row],[Selling EUR]]-Table1[[#This Row],[Cost EUR]]</f>
        <v>0</v>
      </c>
      <c r="AE299" s="321" t="s">
        <v>54</v>
      </c>
      <c r="AF299" s="294">
        <v>45984</v>
      </c>
      <c r="AG299" s="294"/>
      <c r="AH299" s="321"/>
      <c r="AI299" s="323"/>
      <c r="AJ299" s="338"/>
      <c r="AK299" s="323"/>
      <c r="AL299" s="338"/>
      <c r="AM299" s="338"/>
      <c r="AN299" s="323"/>
      <c r="AO299" s="282"/>
      <c r="AP299" s="306"/>
      <c r="AQ299" s="282"/>
      <c r="AR299" s="282"/>
      <c r="AS299" s="282"/>
      <c r="AT299" s="281"/>
      <c r="AU299" s="281"/>
      <c r="AV299" s="281"/>
      <c r="AW299" s="281"/>
      <c r="AX299" s="281"/>
      <c r="AY299" s="281"/>
      <c r="AZ299" s="281"/>
    </row>
    <row r="300" spans="1:52" ht="15" customHeight="1" x14ac:dyDescent="0.3">
      <c r="A300" s="294">
        <v>45981</v>
      </c>
      <c r="B300" s="321" t="s">
        <v>47</v>
      </c>
      <c r="C300" s="321" t="s">
        <v>47</v>
      </c>
      <c r="D300" s="294" t="s">
        <v>48</v>
      </c>
      <c r="E300" s="321" t="s">
        <v>49</v>
      </c>
      <c r="F300" s="295">
        <v>17102706</v>
      </c>
      <c r="G300" s="296"/>
      <c r="H300" s="280" t="s">
        <v>50</v>
      </c>
      <c r="I300" s="323" t="s">
        <v>82</v>
      </c>
      <c r="J300" s="323" t="s">
        <v>2529</v>
      </c>
      <c r="K300" s="294">
        <v>46018</v>
      </c>
      <c r="L300" s="294">
        <v>46021</v>
      </c>
      <c r="M300" s="284">
        <f>Table1[[#This Row],[Dep Date]]-Table1[[#This Row],[Arr Date]]</f>
        <v>3</v>
      </c>
      <c r="N300" s="323" t="s">
        <v>52</v>
      </c>
      <c r="O300" s="321">
        <v>1</v>
      </c>
      <c r="P300" s="321">
        <v>2</v>
      </c>
      <c r="Q300" s="321">
        <v>1</v>
      </c>
      <c r="R300" s="321"/>
      <c r="S300" s="321" t="s">
        <v>53</v>
      </c>
      <c r="T300" s="326" t="s">
        <v>1913</v>
      </c>
      <c r="U300" s="297">
        <v>11</v>
      </c>
      <c r="V300" s="294"/>
      <c r="W300" s="297">
        <v>0</v>
      </c>
      <c r="X300" s="294"/>
      <c r="Y300" s="329"/>
      <c r="Z300" s="329"/>
      <c r="AA300" s="332">
        <f>Table1[[#This Row],[Selling USD]]-Table1[[#This Row],[Cost USD]]</f>
        <v>0</v>
      </c>
      <c r="AB300" s="335">
        <f>91*2*3</f>
        <v>546</v>
      </c>
      <c r="AC300" s="298">
        <v>492.48</v>
      </c>
      <c r="AD300" s="299">
        <f>Table1[[#This Row],[Selling EUR]]-Table1[[#This Row],[Cost EUR]]</f>
        <v>-53.519999999999982</v>
      </c>
      <c r="AE300" s="321" t="s">
        <v>54</v>
      </c>
      <c r="AF300" s="294" t="s">
        <v>2260</v>
      </c>
      <c r="AG300" s="294"/>
      <c r="AH300" s="321"/>
      <c r="AI300" s="323"/>
      <c r="AJ300" s="338"/>
      <c r="AK300" s="323"/>
      <c r="AL300" s="338"/>
      <c r="AM300" s="338"/>
      <c r="AN300" s="323" t="s">
        <v>2408</v>
      </c>
      <c r="AO300" s="282"/>
      <c r="AP300" s="306"/>
      <c r="AQ300" s="282"/>
      <c r="AR300" s="282"/>
      <c r="AS300" s="282"/>
      <c r="AT300" s="281"/>
      <c r="AU300" s="281"/>
      <c r="AV300" s="281"/>
      <c r="AW300" s="281"/>
      <c r="AX300" s="281"/>
      <c r="AY300" s="281"/>
      <c r="AZ300" s="281"/>
    </row>
    <row r="301" spans="1:52" ht="15" customHeight="1" x14ac:dyDescent="0.3">
      <c r="A301" s="294">
        <v>45981</v>
      </c>
      <c r="B301" s="321" t="s">
        <v>73</v>
      </c>
      <c r="C301" s="321" t="s">
        <v>73</v>
      </c>
      <c r="D301" s="294" t="s">
        <v>79</v>
      </c>
      <c r="E301" s="321" t="s">
        <v>49</v>
      </c>
      <c r="F301" s="295">
        <v>14699356</v>
      </c>
      <c r="G301" s="296">
        <v>20303619</v>
      </c>
      <c r="H301" s="280" t="s">
        <v>84</v>
      </c>
      <c r="I301" s="323" t="s">
        <v>123</v>
      </c>
      <c r="J301" s="323" t="s">
        <v>2519</v>
      </c>
      <c r="K301" s="294">
        <v>46046</v>
      </c>
      <c r="L301" s="294">
        <v>46053</v>
      </c>
      <c r="M301" s="284">
        <f>Table1[[#This Row],[Dep Date]]-Table1[[#This Row],[Arr Date]]</f>
        <v>7</v>
      </c>
      <c r="N301" s="323" t="s">
        <v>52</v>
      </c>
      <c r="O301" s="321">
        <v>1</v>
      </c>
      <c r="P301" s="321">
        <v>2</v>
      </c>
      <c r="Q301" s="321"/>
      <c r="R301" s="321"/>
      <c r="S301" s="321" t="s">
        <v>53</v>
      </c>
      <c r="T301" s="326" t="s">
        <v>1914</v>
      </c>
      <c r="U301" s="297">
        <v>0</v>
      </c>
      <c r="V301" s="294"/>
      <c r="W301" s="297">
        <v>0</v>
      </c>
      <c r="X301" s="294"/>
      <c r="Y301" s="329"/>
      <c r="Z301" s="329"/>
      <c r="AA301" s="332">
        <f>Table1[[#This Row],[Selling USD]]-Table1[[#This Row],[Cost USD]]</f>
        <v>0</v>
      </c>
      <c r="AB301" s="335"/>
      <c r="AC301" s="298"/>
      <c r="AD301" s="299">
        <f>Table1[[#This Row],[Selling EUR]]-Table1[[#This Row],[Cost EUR]]</f>
        <v>0</v>
      </c>
      <c r="AE301" s="321"/>
      <c r="AF301" s="294"/>
      <c r="AG301" s="294"/>
      <c r="AH301" s="321"/>
      <c r="AI301" s="323"/>
      <c r="AJ301" s="338"/>
      <c r="AK301" s="323"/>
      <c r="AL301" s="338"/>
      <c r="AM301" s="338"/>
      <c r="AN301" s="323"/>
      <c r="AO301" s="282"/>
      <c r="AP301" s="306"/>
      <c r="AQ301" s="282"/>
      <c r="AR301" s="282"/>
      <c r="AS301" s="282"/>
      <c r="AT301" s="281"/>
      <c r="AU301" s="281"/>
      <c r="AV301" s="281"/>
      <c r="AW301" s="281"/>
      <c r="AX301" s="281"/>
      <c r="AY301" s="281"/>
      <c r="AZ301" s="281"/>
    </row>
    <row r="302" spans="1:52" ht="15" customHeight="1" x14ac:dyDescent="0.3">
      <c r="A302" s="294">
        <v>45980</v>
      </c>
      <c r="B302" s="321" t="s">
        <v>47</v>
      </c>
      <c r="C302" s="321" t="s">
        <v>47</v>
      </c>
      <c r="D302" s="294" t="s">
        <v>137</v>
      </c>
      <c r="E302" s="321" t="s">
        <v>138</v>
      </c>
      <c r="F302" s="295"/>
      <c r="G302" s="296"/>
      <c r="H302" s="280" t="s">
        <v>152</v>
      </c>
      <c r="I302" s="323" t="s">
        <v>153</v>
      </c>
      <c r="J302" s="323" t="s">
        <v>2564</v>
      </c>
      <c r="K302" s="294">
        <v>45981</v>
      </c>
      <c r="L302" s="294">
        <v>45981</v>
      </c>
      <c r="M302" s="284">
        <f>Table1[[#This Row],[Dep Date]]-Table1[[#This Row],[Arr Date]]</f>
        <v>0</v>
      </c>
      <c r="N302" s="323"/>
      <c r="O302" s="321"/>
      <c r="P302" s="321">
        <v>2</v>
      </c>
      <c r="Q302" s="321"/>
      <c r="R302" s="321"/>
      <c r="S302" s="321"/>
      <c r="T302" s="326" t="s">
        <v>1915</v>
      </c>
      <c r="U302" s="297">
        <v>0</v>
      </c>
      <c r="V302" s="294"/>
      <c r="W302" s="297">
        <v>0</v>
      </c>
      <c r="X302" s="294"/>
      <c r="Y302" s="329"/>
      <c r="Z302" s="329"/>
      <c r="AA302" s="332">
        <f>Table1[[#This Row],[Selling USD]]-Table1[[#This Row],[Cost USD]]</f>
        <v>0</v>
      </c>
      <c r="AB302" s="335">
        <f>115*2</f>
        <v>230</v>
      </c>
      <c r="AC302" s="298">
        <v>360</v>
      </c>
      <c r="AD302" s="299">
        <f>Table1[[#This Row],[Selling EUR]]-Table1[[#This Row],[Cost EUR]]</f>
        <v>130</v>
      </c>
      <c r="AE302" s="321" t="s">
        <v>54</v>
      </c>
      <c r="AF302" s="294"/>
      <c r="AG302" s="294"/>
      <c r="AH302" s="321"/>
      <c r="AI302" s="323"/>
      <c r="AJ302" s="338"/>
      <c r="AK302" s="323"/>
      <c r="AL302" s="338"/>
      <c r="AM302" s="338"/>
      <c r="AN302" s="323"/>
      <c r="AO302" s="282"/>
      <c r="AP302" s="306"/>
      <c r="AQ302" s="282"/>
      <c r="AR302" s="282"/>
      <c r="AS302" s="282"/>
      <c r="AT302" s="281"/>
      <c r="AU302" s="281"/>
      <c r="AV302" s="281"/>
      <c r="AW302" s="281"/>
      <c r="AX302" s="281"/>
      <c r="AY302" s="281"/>
      <c r="AZ302" s="281"/>
    </row>
    <row r="303" spans="1:52" ht="15" customHeight="1" x14ac:dyDescent="0.3">
      <c r="A303" s="294">
        <v>45981</v>
      </c>
      <c r="B303" s="321" t="s">
        <v>73</v>
      </c>
      <c r="C303" s="321" t="s">
        <v>73</v>
      </c>
      <c r="D303" s="294" t="s">
        <v>48</v>
      </c>
      <c r="E303" s="321" t="s">
        <v>49</v>
      </c>
      <c r="F303" s="295">
        <v>17103276</v>
      </c>
      <c r="G303" s="296"/>
      <c r="H303" s="280" t="s">
        <v>84</v>
      </c>
      <c r="I303" s="323" t="s">
        <v>123</v>
      </c>
      <c r="J303" s="323" t="s">
        <v>2519</v>
      </c>
      <c r="K303" s="294">
        <v>46131</v>
      </c>
      <c r="L303" s="294">
        <v>46138.041666666599</v>
      </c>
      <c r="M303" s="284">
        <f>Table1[[#This Row],[Dep Date]]-Table1[[#This Row],[Arr Date]]</f>
        <v>7.0416666665987577</v>
      </c>
      <c r="N303" s="323" t="s">
        <v>70</v>
      </c>
      <c r="O303" s="321">
        <v>1</v>
      </c>
      <c r="P303" s="321">
        <v>3</v>
      </c>
      <c r="Q303" s="321"/>
      <c r="R303" s="321"/>
      <c r="S303" s="321" t="s">
        <v>53</v>
      </c>
      <c r="T303" s="326" t="s">
        <v>1916</v>
      </c>
      <c r="U303" s="297">
        <v>0</v>
      </c>
      <c r="V303" s="294"/>
      <c r="W303" s="297">
        <v>0</v>
      </c>
      <c r="X303" s="294"/>
      <c r="Y303" s="329"/>
      <c r="Z303" s="329"/>
      <c r="AA303" s="332">
        <f>Table1[[#This Row],[Selling USD]]-Table1[[#This Row],[Cost USD]]</f>
        <v>0</v>
      </c>
      <c r="AB303" s="335"/>
      <c r="AC303" s="298"/>
      <c r="AD303" s="299">
        <f>Table1[[#This Row],[Selling EUR]]-Table1[[#This Row],[Cost EUR]]</f>
        <v>0</v>
      </c>
      <c r="AE303" s="321"/>
      <c r="AF303" s="294"/>
      <c r="AG303" s="294"/>
      <c r="AH303" s="321"/>
      <c r="AI303" s="323"/>
      <c r="AJ303" s="338"/>
      <c r="AK303" s="323"/>
      <c r="AL303" s="338"/>
      <c r="AM303" s="338"/>
      <c r="AN303" s="323"/>
      <c r="AO303" s="282"/>
      <c r="AP303" s="306"/>
      <c r="AQ303" s="282"/>
      <c r="AR303" s="282"/>
      <c r="AS303" s="282"/>
      <c r="AT303" s="281"/>
      <c r="AU303" s="281"/>
      <c r="AV303" s="281"/>
      <c r="AW303" s="281"/>
      <c r="AX303" s="281"/>
      <c r="AY303" s="281"/>
      <c r="AZ303" s="281"/>
    </row>
    <row r="304" spans="1:52" ht="15" customHeight="1" x14ac:dyDescent="0.3">
      <c r="A304" s="294">
        <v>45981</v>
      </c>
      <c r="B304" s="321" t="s">
        <v>47</v>
      </c>
      <c r="C304" s="321" t="s">
        <v>47</v>
      </c>
      <c r="D304" s="294" t="s">
        <v>48</v>
      </c>
      <c r="E304" s="321" t="s">
        <v>61</v>
      </c>
      <c r="F304" s="295">
        <v>17103778</v>
      </c>
      <c r="G304" s="296"/>
      <c r="H304" s="280" t="s">
        <v>50</v>
      </c>
      <c r="I304" s="323" t="s">
        <v>121</v>
      </c>
      <c r="J304" s="323" t="s">
        <v>2573</v>
      </c>
      <c r="K304" s="294">
        <v>46013</v>
      </c>
      <c r="L304" s="294">
        <v>46020</v>
      </c>
      <c r="M304" s="284">
        <f>Table1[[#This Row],[Dep Date]]-Table1[[#This Row],[Arr Date]]</f>
        <v>7</v>
      </c>
      <c r="N304" s="323" t="s">
        <v>65</v>
      </c>
      <c r="O304" s="321">
        <v>1</v>
      </c>
      <c r="P304" s="321">
        <v>1</v>
      </c>
      <c r="Q304" s="321"/>
      <c r="R304" s="321"/>
      <c r="S304" s="321" t="s">
        <v>53</v>
      </c>
      <c r="T304" s="326" t="s">
        <v>1917</v>
      </c>
      <c r="U304" s="297">
        <v>0</v>
      </c>
      <c r="V304" s="294"/>
      <c r="W304" s="297">
        <v>0</v>
      </c>
      <c r="X304" s="294"/>
      <c r="Y304" s="329">
        <f>(38*1.5*2+45*1.5*5)+50</f>
        <v>501.5</v>
      </c>
      <c r="Z304" s="329">
        <v>437</v>
      </c>
      <c r="AA304" s="332">
        <f>Table1[[#This Row],[Selling USD]]-Table1[[#This Row],[Cost USD]]</f>
        <v>-64.5</v>
      </c>
      <c r="AB304" s="335"/>
      <c r="AC304" s="298"/>
      <c r="AD304" s="299">
        <f>Table1[[#This Row],[Selling EUR]]-Table1[[#This Row],[Cost EUR]]</f>
        <v>0</v>
      </c>
      <c r="AE304" s="321" t="s">
        <v>54</v>
      </c>
      <c r="AF304" s="294">
        <v>46001</v>
      </c>
      <c r="AG304" s="294"/>
      <c r="AH304" s="321"/>
      <c r="AI304" s="323"/>
      <c r="AJ304" s="338"/>
      <c r="AK304" s="323"/>
      <c r="AL304" s="338"/>
      <c r="AM304" s="338"/>
      <c r="AN304" s="323"/>
      <c r="AO304" s="282"/>
      <c r="AP304" s="306"/>
      <c r="AQ304" s="282"/>
      <c r="AR304" s="282"/>
      <c r="AS304" s="282"/>
      <c r="AT304" s="281"/>
      <c r="AU304" s="281"/>
      <c r="AV304" s="281"/>
      <c r="AW304" s="281"/>
      <c r="AX304" s="281"/>
      <c r="AY304" s="281"/>
      <c r="AZ304" s="281"/>
    </row>
    <row r="305" spans="1:52" ht="15" customHeight="1" x14ac:dyDescent="0.3">
      <c r="A305" s="294">
        <v>46131</v>
      </c>
      <c r="B305" s="321" t="s">
        <v>47</v>
      </c>
      <c r="C305" s="321" t="s">
        <v>47</v>
      </c>
      <c r="D305" s="294" t="s">
        <v>48</v>
      </c>
      <c r="E305" s="321" t="s">
        <v>49</v>
      </c>
      <c r="F305" s="295">
        <v>17527599</v>
      </c>
      <c r="G305" s="296"/>
      <c r="H305" s="280" t="s">
        <v>50</v>
      </c>
      <c r="I305" s="323" t="s">
        <v>88</v>
      </c>
      <c r="J305" s="323" t="s">
        <v>2574</v>
      </c>
      <c r="K305" s="294">
        <v>46148.041666666599</v>
      </c>
      <c r="L305" s="294">
        <v>46155.041666666599</v>
      </c>
      <c r="M305" s="284">
        <f>Table1[[#This Row],[Dep Date]]-Table1[[#This Row],[Arr Date]]</f>
        <v>7</v>
      </c>
      <c r="N305" s="323" t="s">
        <v>52</v>
      </c>
      <c r="O305" s="321">
        <v>1</v>
      </c>
      <c r="P305" s="321">
        <v>2</v>
      </c>
      <c r="Q305" s="321">
        <v>1</v>
      </c>
      <c r="R305" s="321"/>
      <c r="S305" s="321" t="s">
        <v>53</v>
      </c>
      <c r="T305" s="326" t="s">
        <v>1918</v>
      </c>
      <c r="U305" s="297">
        <v>3</v>
      </c>
      <c r="V305" s="294"/>
      <c r="W305" s="297"/>
      <c r="X305" s="294"/>
      <c r="Y305" s="329"/>
      <c r="Z305" s="329"/>
      <c r="AA305" s="332">
        <f>Table1[[#This Row],[Selling USD]]-Table1[[#This Row],[Cost USD]]</f>
        <v>0</v>
      </c>
      <c r="AB305" s="335">
        <f>113*2*0.57*7+35*2</f>
        <v>971.74</v>
      </c>
      <c r="AC305" s="298">
        <v>987.7</v>
      </c>
      <c r="AD305" s="299">
        <f>Table1[[#This Row],[Selling EUR]]-Table1[[#This Row],[Cost EUR]]</f>
        <v>15.960000000000036</v>
      </c>
      <c r="AE305" s="321" t="s">
        <v>54</v>
      </c>
      <c r="AF305" s="294">
        <v>46140.041666666599</v>
      </c>
      <c r="AG305" s="294"/>
      <c r="AH305" s="321"/>
      <c r="AI305" s="323"/>
      <c r="AJ305" s="338"/>
      <c r="AK305" s="323"/>
      <c r="AL305" s="338"/>
      <c r="AM305" s="338"/>
      <c r="AN305" s="323"/>
      <c r="AO305" s="282"/>
      <c r="AP305" s="306"/>
      <c r="AQ305" s="282"/>
      <c r="AR305" s="282"/>
      <c r="AS305" s="282"/>
      <c r="AT305" s="281"/>
      <c r="AU305" s="281"/>
      <c r="AV305" s="281"/>
      <c r="AW305" s="281"/>
      <c r="AX305" s="281"/>
      <c r="AY305" s="281"/>
      <c r="AZ305" s="281"/>
    </row>
    <row r="306" spans="1:52" ht="15" customHeight="1" x14ac:dyDescent="0.3">
      <c r="A306" s="294">
        <v>45982</v>
      </c>
      <c r="B306" s="321" t="s">
        <v>73</v>
      </c>
      <c r="C306" s="321" t="s">
        <v>73</v>
      </c>
      <c r="D306" s="294" t="s">
        <v>79</v>
      </c>
      <c r="E306" s="321" t="s">
        <v>106</v>
      </c>
      <c r="F306" s="295">
        <v>14714219</v>
      </c>
      <c r="G306" s="296">
        <v>20303620</v>
      </c>
      <c r="H306" s="280" t="s">
        <v>50</v>
      </c>
      <c r="I306" s="323" t="s">
        <v>88</v>
      </c>
      <c r="J306" s="323" t="s">
        <v>2575</v>
      </c>
      <c r="K306" s="294">
        <v>46072</v>
      </c>
      <c r="L306" s="294">
        <v>46079</v>
      </c>
      <c r="M306" s="284">
        <f>Table1[[#This Row],[Dep Date]]-Table1[[#This Row],[Arr Date]]</f>
        <v>7</v>
      </c>
      <c r="N306" s="323" t="s">
        <v>52</v>
      </c>
      <c r="O306" s="321">
        <v>1</v>
      </c>
      <c r="P306" s="321">
        <v>2</v>
      </c>
      <c r="Q306" s="321">
        <v>2</v>
      </c>
      <c r="R306" s="321"/>
      <c r="S306" s="321" t="s">
        <v>53</v>
      </c>
      <c r="T306" s="326" t="s">
        <v>1919</v>
      </c>
      <c r="U306" s="297">
        <v>12.142465753424657</v>
      </c>
      <c r="V306" s="294">
        <v>41640</v>
      </c>
      <c r="W306" s="297">
        <v>6</v>
      </c>
      <c r="X306" s="294">
        <v>43831</v>
      </c>
      <c r="Y306" s="329"/>
      <c r="Z306" s="329"/>
      <c r="AA306" s="332">
        <f>Table1[[#This Row],[Selling USD]]-Table1[[#This Row],[Cost USD]]</f>
        <v>0</v>
      </c>
      <c r="AB306" s="335"/>
      <c r="AC306" s="298"/>
      <c r="AD306" s="299">
        <f>Table1[[#This Row],[Selling EUR]]-Table1[[#This Row],[Cost EUR]]</f>
        <v>0</v>
      </c>
      <c r="AE306" s="321" t="s">
        <v>54</v>
      </c>
      <c r="AF306" s="294">
        <v>46063</v>
      </c>
      <c r="AG306" s="294"/>
      <c r="AH306" s="321"/>
      <c r="AI306" s="323"/>
      <c r="AJ306" s="338"/>
      <c r="AK306" s="323"/>
      <c r="AL306" s="338"/>
      <c r="AM306" s="338"/>
      <c r="AN306" s="323"/>
      <c r="AO306" s="282"/>
      <c r="AP306" s="306"/>
      <c r="AQ306" s="282"/>
      <c r="AR306" s="282"/>
      <c r="AS306" s="282"/>
      <c r="AT306" s="281"/>
      <c r="AU306" s="281"/>
      <c r="AV306" s="281"/>
      <c r="AW306" s="281"/>
      <c r="AX306" s="281"/>
      <c r="AY306" s="281"/>
      <c r="AZ306" s="281"/>
    </row>
    <row r="307" spans="1:52" ht="15" customHeight="1" x14ac:dyDescent="0.3">
      <c r="A307" s="294">
        <v>45982</v>
      </c>
      <c r="B307" s="321" t="s">
        <v>47</v>
      </c>
      <c r="C307" s="321" t="s">
        <v>47</v>
      </c>
      <c r="D307" s="294" t="s">
        <v>48</v>
      </c>
      <c r="E307" s="321" t="s">
        <v>61</v>
      </c>
      <c r="F307" s="295">
        <v>17105845</v>
      </c>
      <c r="G307" s="296"/>
      <c r="H307" s="280" t="s">
        <v>50</v>
      </c>
      <c r="I307" s="323" t="s">
        <v>133</v>
      </c>
      <c r="J307" s="323" t="s">
        <v>155</v>
      </c>
      <c r="K307" s="294">
        <v>45986</v>
      </c>
      <c r="L307" s="294">
        <v>45989</v>
      </c>
      <c r="M307" s="284">
        <f>Table1[[#This Row],[Dep Date]]-Table1[[#This Row],[Arr Date]]</f>
        <v>3</v>
      </c>
      <c r="N307" s="323" t="s">
        <v>65</v>
      </c>
      <c r="O307" s="321">
        <v>1</v>
      </c>
      <c r="P307" s="321">
        <v>1</v>
      </c>
      <c r="Q307" s="321"/>
      <c r="R307" s="321"/>
      <c r="S307" s="321" t="s">
        <v>53</v>
      </c>
      <c r="T307" s="326" t="s">
        <v>1920</v>
      </c>
      <c r="U307" s="297">
        <v>0</v>
      </c>
      <c r="V307" s="294"/>
      <c r="W307" s="297">
        <v>0</v>
      </c>
      <c r="X307" s="294"/>
      <c r="Y307" s="329">
        <f>50*1.5*3</f>
        <v>225</v>
      </c>
      <c r="Z307" s="329">
        <v>228</v>
      </c>
      <c r="AA307" s="332">
        <f>Table1[[#This Row],[Selling USD]]-Table1[[#This Row],[Cost USD]]</f>
        <v>3</v>
      </c>
      <c r="AB307" s="335"/>
      <c r="AC307" s="298"/>
      <c r="AD307" s="299">
        <f>Table1[[#This Row],[Selling EUR]]-Table1[[#This Row],[Cost EUR]]</f>
        <v>0</v>
      </c>
      <c r="AE307" s="321" t="s">
        <v>54</v>
      </c>
      <c r="AF307" s="294">
        <v>45984</v>
      </c>
      <c r="AG307" s="294"/>
      <c r="AH307" s="321"/>
      <c r="AI307" s="323"/>
      <c r="AJ307" s="338"/>
      <c r="AK307" s="323"/>
      <c r="AL307" s="338"/>
      <c r="AM307" s="338"/>
      <c r="AN307" s="323"/>
      <c r="AO307" s="282"/>
      <c r="AP307" s="306"/>
      <c r="AQ307" s="282"/>
      <c r="AR307" s="282"/>
      <c r="AS307" s="282"/>
      <c r="AT307" s="281"/>
      <c r="AU307" s="281"/>
      <c r="AV307" s="281"/>
      <c r="AW307" s="281"/>
      <c r="AX307" s="281"/>
      <c r="AY307" s="281"/>
      <c r="AZ307" s="281"/>
    </row>
    <row r="308" spans="1:52" ht="15" customHeight="1" x14ac:dyDescent="0.3">
      <c r="A308" s="294">
        <v>45982</v>
      </c>
      <c r="B308" s="321" t="s">
        <v>73</v>
      </c>
      <c r="C308" s="321" t="s">
        <v>73</v>
      </c>
      <c r="D308" s="294" t="s">
        <v>79</v>
      </c>
      <c r="E308" s="321" t="s">
        <v>61</v>
      </c>
      <c r="F308" s="295">
        <v>14719477</v>
      </c>
      <c r="G308" s="296">
        <v>20303621</v>
      </c>
      <c r="H308" s="280" t="s">
        <v>84</v>
      </c>
      <c r="I308" s="323" t="s">
        <v>113</v>
      </c>
      <c r="J308" s="323" t="s">
        <v>1470</v>
      </c>
      <c r="K308" s="294">
        <v>46051</v>
      </c>
      <c r="L308" s="294">
        <v>46054</v>
      </c>
      <c r="M308" s="284">
        <f>Table1[[#This Row],[Dep Date]]-Table1[[#This Row],[Arr Date]]</f>
        <v>3</v>
      </c>
      <c r="N308" s="323" t="s">
        <v>52</v>
      </c>
      <c r="O308" s="321">
        <v>1</v>
      </c>
      <c r="P308" s="321">
        <v>2</v>
      </c>
      <c r="Q308" s="321"/>
      <c r="R308" s="321"/>
      <c r="S308" s="321" t="s">
        <v>53</v>
      </c>
      <c r="T308" s="326" t="s">
        <v>1921</v>
      </c>
      <c r="U308" s="297">
        <v>0</v>
      </c>
      <c r="V308" s="294"/>
      <c r="W308" s="297">
        <v>0</v>
      </c>
      <c r="X308" s="294"/>
      <c r="Y308" s="329"/>
      <c r="Z308" s="329"/>
      <c r="AA308" s="332">
        <f>Table1[[#This Row],[Selling USD]]-Table1[[#This Row],[Cost USD]]</f>
        <v>0</v>
      </c>
      <c r="AB308" s="335"/>
      <c r="AC308" s="298"/>
      <c r="AD308" s="299">
        <f>Table1[[#This Row],[Selling EUR]]-Table1[[#This Row],[Cost EUR]]</f>
        <v>0</v>
      </c>
      <c r="AE308" s="321"/>
      <c r="AF308" s="294"/>
      <c r="AG308" s="294"/>
      <c r="AH308" s="321"/>
      <c r="AI308" s="323"/>
      <c r="AJ308" s="338"/>
      <c r="AK308" s="323"/>
      <c r="AL308" s="338"/>
      <c r="AM308" s="338"/>
      <c r="AN308" s="323"/>
      <c r="AO308" s="282"/>
      <c r="AP308" s="306"/>
      <c r="AQ308" s="282"/>
      <c r="AR308" s="282"/>
      <c r="AS308" s="282"/>
      <c r="AT308" s="281"/>
      <c r="AU308" s="281"/>
      <c r="AV308" s="281"/>
      <c r="AW308" s="281"/>
      <c r="AX308" s="281"/>
      <c r="AY308" s="281"/>
      <c r="AZ308" s="281"/>
    </row>
    <row r="309" spans="1:52" ht="15" customHeight="1" x14ac:dyDescent="0.3">
      <c r="A309" s="294">
        <v>45985</v>
      </c>
      <c r="B309" s="321" t="s">
        <v>47</v>
      </c>
      <c r="C309" s="321" t="s">
        <v>47</v>
      </c>
      <c r="D309" s="294" t="s">
        <v>137</v>
      </c>
      <c r="E309" s="321" t="s">
        <v>138</v>
      </c>
      <c r="F309" s="295">
        <v>2025039</v>
      </c>
      <c r="G309" s="296">
        <v>2025039</v>
      </c>
      <c r="H309" s="280" t="s">
        <v>50</v>
      </c>
      <c r="I309" s="323" t="s">
        <v>156</v>
      </c>
      <c r="J309" s="323" t="s">
        <v>2576</v>
      </c>
      <c r="K309" s="294">
        <v>46032</v>
      </c>
      <c r="L309" s="294">
        <v>46047</v>
      </c>
      <c r="M309" s="284">
        <f>Table1[[#This Row],[Dep Date]]-Table1[[#This Row],[Arr Date]]</f>
        <v>15</v>
      </c>
      <c r="N309" s="323" t="s">
        <v>52</v>
      </c>
      <c r="O309" s="321">
        <v>1</v>
      </c>
      <c r="P309" s="321">
        <v>2</v>
      </c>
      <c r="Q309" s="321"/>
      <c r="R309" s="321"/>
      <c r="S309" s="321" t="s">
        <v>1620</v>
      </c>
      <c r="T309" s="326" t="s">
        <v>1922</v>
      </c>
      <c r="U309" s="297">
        <v>0</v>
      </c>
      <c r="V309" s="294"/>
      <c r="W309" s="297">
        <v>0</v>
      </c>
      <c r="X309" s="294"/>
      <c r="Y309" s="329"/>
      <c r="Z309" s="329"/>
      <c r="AA309" s="332">
        <f>Table1[[#This Row],[Selling USD]]-Table1[[#This Row],[Cost USD]]</f>
        <v>0</v>
      </c>
      <c r="AB309" s="335">
        <f>73*2*0.8*15</f>
        <v>1752.0000000000002</v>
      </c>
      <c r="AC309" s="298">
        <v>1752.0000000000002</v>
      </c>
      <c r="AD309" s="299">
        <f>Table1[[#This Row],[Selling EUR]]-Table1[[#This Row],[Cost EUR]]</f>
        <v>0</v>
      </c>
      <c r="AE309" s="321" t="s">
        <v>54</v>
      </c>
      <c r="AF309" s="294">
        <v>46027</v>
      </c>
      <c r="AG309" s="294"/>
      <c r="AH309" s="321">
        <v>190</v>
      </c>
      <c r="AI309" s="323" t="s">
        <v>2409</v>
      </c>
      <c r="AJ309" s="338">
        <v>0.57291666666666663</v>
      </c>
      <c r="AK309" s="323" t="s">
        <v>2410</v>
      </c>
      <c r="AL309" s="338">
        <v>0.63541666666666663</v>
      </c>
      <c r="AM309" s="338"/>
      <c r="AN309" s="323"/>
      <c r="AO309" s="282"/>
      <c r="AP309" s="306"/>
      <c r="AQ309" s="282"/>
      <c r="AR309" s="282"/>
      <c r="AS309" s="282"/>
      <c r="AT309" s="281"/>
      <c r="AU309" s="281"/>
      <c r="AV309" s="281"/>
      <c r="AW309" s="281"/>
      <c r="AX309" s="281"/>
      <c r="AY309" s="281"/>
      <c r="AZ309" s="281"/>
    </row>
    <row r="310" spans="1:52" ht="15" customHeight="1" x14ac:dyDescent="0.3">
      <c r="A310" s="294">
        <v>45985</v>
      </c>
      <c r="B310" s="321" t="s">
        <v>47</v>
      </c>
      <c r="C310" s="321" t="s">
        <v>47</v>
      </c>
      <c r="D310" s="294" t="s">
        <v>137</v>
      </c>
      <c r="E310" s="321" t="s">
        <v>138</v>
      </c>
      <c r="F310" s="295">
        <v>2025040</v>
      </c>
      <c r="G310" s="296">
        <v>2025040</v>
      </c>
      <c r="H310" s="280" t="s">
        <v>50</v>
      </c>
      <c r="I310" s="323" t="s">
        <v>156</v>
      </c>
      <c r="J310" s="323" t="s">
        <v>2576</v>
      </c>
      <c r="K310" s="294">
        <v>46032</v>
      </c>
      <c r="L310" s="294">
        <v>46047</v>
      </c>
      <c r="M310" s="284">
        <f>Table1[[#This Row],[Dep Date]]-Table1[[#This Row],[Arr Date]]</f>
        <v>15</v>
      </c>
      <c r="N310" s="323" t="s">
        <v>52</v>
      </c>
      <c r="O310" s="321">
        <v>1</v>
      </c>
      <c r="P310" s="321">
        <v>2</v>
      </c>
      <c r="Q310" s="321"/>
      <c r="R310" s="321"/>
      <c r="S310" s="321" t="s">
        <v>1620</v>
      </c>
      <c r="T310" s="326" t="s">
        <v>1923</v>
      </c>
      <c r="U310" s="297">
        <v>0</v>
      </c>
      <c r="V310" s="294"/>
      <c r="W310" s="297">
        <v>0</v>
      </c>
      <c r="X310" s="294"/>
      <c r="Y310" s="329"/>
      <c r="Z310" s="329"/>
      <c r="AA310" s="332">
        <f>Table1[[#This Row],[Selling USD]]-Table1[[#This Row],[Cost USD]]</f>
        <v>0</v>
      </c>
      <c r="AB310" s="335">
        <f>73*2*0.8*15</f>
        <v>1752.0000000000002</v>
      </c>
      <c r="AC310" s="298">
        <v>1752.0000000000002</v>
      </c>
      <c r="AD310" s="299">
        <f>Table1[[#This Row],[Selling EUR]]-Table1[[#This Row],[Cost EUR]]</f>
        <v>0</v>
      </c>
      <c r="AE310" s="321" t="s">
        <v>54</v>
      </c>
      <c r="AF310" s="294">
        <v>46027</v>
      </c>
      <c r="AG310" s="294"/>
      <c r="AH310" s="321">
        <v>190</v>
      </c>
      <c r="AI310" s="323" t="s">
        <v>2409</v>
      </c>
      <c r="AJ310" s="338">
        <v>0.57291666666666663</v>
      </c>
      <c r="AK310" s="323" t="s">
        <v>2410</v>
      </c>
      <c r="AL310" s="338">
        <v>0.63541666666666663</v>
      </c>
      <c r="AM310" s="338"/>
      <c r="AN310" s="323"/>
      <c r="AO310" s="282"/>
      <c r="AP310" s="306"/>
      <c r="AQ310" s="282"/>
      <c r="AR310" s="282"/>
      <c r="AS310" s="282"/>
      <c r="AT310" s="281"/>
      <c r="AU310" s="281"/>
      <c r="AV310" s="281"/>
      <c r="AW310" s="281"/>
      <c r="AX310" s="281"/>
      <c r="AY310" s="281"/>
      <c r="AZ310" s="281"/>
    </row>
    <row r="311" spans="1:52" ht="15" customHeight="1" x14ac:dyDescent="0.3">
      <c r="A311" s="294">
        <v>45985</v>
      </c>
      <c r="B311" s="321" t="s">
        <v>47</v>
      </c>
      <c r="C311" s="321" t="s">
        <v>47</v>
      </c>
      <c r="D311" s="294" t="s">
        <v>79</v>
      </c>
      <c r="E311" s="321" t="s">
        <v>83</v>
      </c>
      <c r="F311" s="295">
        <v>14752228</v>
      </c>
      <c r="G311" s="296">
        <v>20303622</v>
      </c>
      <c r="H311" s="280" t="s">
        <v>84</v>
      </c>
      <c r="I311" s="323" t="s">
        <v>118</v>
      </c>
      <c r="J311" s="323" t="s">
        <v>2570</v>
      </c>
      <c r="K311" s="294">
        <v>46020</v>
      </c>
      <c r="L311" s="294">
        <v>46025</v>
      </c>
      <c r="M311" s="284">
        <f>Table1[[#This Row],[Dep Date]]-Table1[[#This Row],[Arr Date]]</f>
        <v>5</v>
      </c>
      <c r="N311" s="323" t="s">
        <v>52</v>
      </c>
      <c r="O311" s="321">
        <v>1</v>
      </c>
      <c r="P311" s="321">
        <v>2</v>
      </c>
      <c r="Q311" s="321"/>
      <c r="R311" s="321"/>
      <c r="S311" s="321" t="s">
        <v>53</v>
      </c>
      <c r="T311" s="326" t="s">
        <v>1924</v>
      </c>
      <c r="U311" s="297">
        <v>0</v>
      </c>
      <c r="V311" s="294"/>
      <c r="W311" s="297">
        <v>0</v>
      </c>
      <c r="X311" s="294"/>
      <c r="Y311" s="329"/>
      <c r="Z311" s="329"/>
      <c r="AA311" s="332">
        <f>Table1[[#This Row],[Selling USD]]-Table1[[#This Row],[Cost USD]]</f>
        <v>0</v>
      </c>
      <c r="AB311" s="335">
        <f>205*2*0.85*5+380*2</f>
        <v>2502.5</v>
      </c>
      <c r="AC311" s="298">
        <v>2519.92</v>
      </c>
      <c r="AD311" s="299">
        <f>Table1[[#This Row],[Selling EUR]]-Table1[[#This Row],[Cost EUR]]</f>
        <v>17.420000000000073</v>
      </c>
      <c r="AE311" s="321" t="s">
        <v>54</v>
      </c>
      <c r="AF311" s="294">
        <v>46013</v>
      </c>
      <c r="AG311" s="294"/>
      <c r="AH311" s="321"/>
      <c r="AI311" s="323"/>
      <c r="AJ311" s="338"/>
      <c r="AK311" s="323"/>
      <c r="AL311" s="338"/>
      <c r="AM311" s="338"/>
      <c r="AN311" s="323"/>
      <c r="AO311" s="282"/>
      <c r="AP311" s="306"/>
      <c r="AQ311" s="282"/>
      <c r="AR311" s="282"/>
      <c r="AS311" s="282"/>
      <c r="AT311" s="281"/>
      <c r="AU311" s="281"/>
      <c r="AV311" s="281"/>
      <c r="AW311" s="281"/>
      <c r="AX311" s="281"/>
      <c r="AY311" s="281"/>
      <c r="AZ311" s="281"/>
    </row>
    <row r="312" spans="1:52" ht="15" customHeight="1" x14ac:dyDescent="0.3">
      <c r="A312" s="294">
        <v>45864</v>
      </c>
      <c r="B312" s="321" t="s">
        <v>47</v>
      </c>
      <c r="C312" s="321" t="s">
        <v>47</v>
      </c>
      <c r="D312" s="294" t="s">
        <v>79</v>
      </c>
      <c r="E312" s="321" t="s">
        <v>61</v>
      </c>
      <c r="F312" s="295">
        <v>12970161</v>
      </c>
      <c r="G312" s="296">
        <v>20243022</v>
      </c>
      <c r="H312" s="280" t="s">
        <v>84</v>
      </c>
      <c r="I312" s="323" t="s">
        <v>85</v>
      </c>
      <c r="J312" s="323" t="s">
        <v>2577</v>
      </c>
      <c r="K312" s="294">
        <v>46108</v>
      </c>
      <c r="L312" s="294">
        <v>46115</v>
      </c>
      <c r="M312" s="284">
        <f>Table1[[#This Row],[Dep Date]]-Table1[[#This Row],[Arr Date]]</f>
        <v>7</v>
      </c>
      <c r="N312" s="323" t="s">
        <v>52</v>
      </c>
      <c r="O312" s="321">
        <v>1</v>
      </c>
      <c r="P312" s="321">
        <v>2</v>
      </c>
      <c r="Q312" s="321">
        <v>2</v>
      </c>
      <c r="R312" s="321"/>
      <c r="S312" s="321" t="s">
        <v>53</v>
      </c>
      <c r="T312" s="327" t="s">
        <v>1925</v>
      </c>
      <c r="U312" s="297" t="s">
        <v>2270</v>
      </c>
      <c r="V312" s="294"/>
      <c r="W312" s="297">
        <v>0</v>
      </c>
      <c r="X312" s="294"/>
      <c r="Y312" s="329"/>
      <c r="Z312" s="329"/>
      <c r="AA312" s="332">
        <f>Table1[[#This Row],[Selling USD]]-Table1[[#This Row],[Cost USD]]</f>
        <v>0</v>
      </c>
      <c r="AB312" s="335">
        <f>561*7*0.8</f>
        <v>3141.6000000000004</v>
      </c>
      <c r="AC312" s="298">
        <v>3141.6</v>
      </c>
      <c r="AD312" s="299">
        <f>Table1[[#This Row],[Selling EUR]]-Table1[[#This Row],[Cost EUR]]</f>
        <v>0</v>
      </c>
      <c r="AE312" s="321" t="s">
        <v>54</v>
      </c>
      <c r="AF312" s="294">
        <v>46096</v>
      </c>
      <c r="AG312" s="294" t="s">
        <v>2317</v>
      </c>
      <c r="AH312" s="321"/>
      <c r="AI312" s="323"/>
      <c r="AJ312" s="338"/>
      <c r="AK312" s="323"/>
      <c r="AL312" s="338"/>
      <c r="AM312" s="338"/>
      <c r="AN312" s="323" t="s">
        <v>2411</v>
      </c>
      <c r="AO312" s="282"/>
      <c r="AP312" s="306"/>
      <c r="AQ312" s="282"/>
      <c r="AR312" s="282"/>
      <c r="AS312" s="282"/>
      <c r="AT312" s="281"/>
      <c r="AU312" s="281"/>
      <c r="AV312" s="281"/>
      <c r="AW312" s="281"/>
      <c r="AX312" s="281"/>
      <c r="AY312" s="281"/>
      <c r="AZ312" s="281"/>
    </row>
    <row r="313" spans="1:52" ht="15" customHeight="1" x14ac:dyDescent="0.3">
      <c r="A313" s="294">
        <v>45987</v>
      </c>
      <c r="B313" s="321" t="s">
        <v>47</v>
      </c>
      <c r="C313" s="321" t="s">
        <v>47</v>
      </c>
      <c r="D313" s="294" t="s">
        <v>48</v>
      </c>
      <c r="E313" s="321" t="s">
        <v>49</v>
      </c>
      <c r="F313" s="295">
        <v>17115789</v>
      </c>
      <c r="G313" s="296"/>
      <c r="H313" s="280" t="s">
        <v>50</v>
      </c>
      <c r="I313" s="323" t="s">
        <v>133</v>
      </c>
      <c r="J313" s="323" t="s">
        <v>155</v>
      </c>
      <c r="K313" s="294">
        <v>46012</v>
      </c>
      <c r="L313" s="294">
        <v>46019</v>
      </c>
      <c r="M313" s="284">
        <f>Table1[[#This Row],[Dep Date]]-Table1[[#This Row],[Arr Date]]</f>
        <v>7</v>
      </c>
      <c r="N313" s="323" t="s">
        <v>52</v>
      </c>
      <c r="O313" s="321">
        <v>1</v>
      </c>
      <c r="P313" s="321">
        <v>2</v>
      </c>
      <c r="Q313" s="321"/>
      <c r="R313" s="321"/>
      <c r="S313" s="321" t="s">
        <v>53</v>
      </c>
      <c r="T313" s="326" t="s">
        <v>1926</v>
      </c>
      <c r="U313" s="297">
        <v>0</v>
      </c>
      <c r="V313" s="294"/>
      <c r="W313" s="297">
        <v>0</v>
      </c>
      <c r="X313" s="294"/>
      <c r="Y313" s="329"/>
      <c r="Z313" s="329"/>
      <c r="AA313" s="332">
        <f>Table1[[#This Row],[Selling USD]]-Table1[[#This Row],[Cost USD]]</f>
        <v>0</v>
      </c>
      <c r="AB313" s="335">
        <f>65*2*7</f>
        <v>910</v>
      </c>
      <c r="AC313" s="298">
        <v>924</v>
      </c>
      <c r="AD313" s="299">
        <f>Table1[[#This Row],[Selling EUR]]-Table1[[#This Row],[Cost EUR]]</f>
        <v>14</v>
      </c>
      <c r="AE313" s="321" t="s">
        <v>54</v>
      </c>
      <c r="AF313" s="294">
        <v>46012</v>
      </c>
      <c r="AG313" s="294"/>
      <c r="AH313" s="321"/>
      <c r="AI313" s="323"/>
      <c r="AJ313" s="338"/>
      <c r="AK313" s="323"/>
      <c r="AL313" s="338"/>
      <c r="AM313" s="338"/>
      <c r="AN313" s="323"/>
      <c r="AO313" s="282"/>
      <c r="AP313" s="306"/>
      <c r="AQ313" s="282"/>
      <c r="AR313" s="282"/>
      <c r="AS313" s="282"/>
      <c r="AT313" s="281"/>
      <c r="AU313" s="281"/>
      <c r="AV313" s="281"/>
      <c r="AW313" s="281"/>
      <c r="AX313" s="281"/>
      <c r="AY313" s="281"/>
      <c r="AZ313" s="281"/>
    </row>
    <row r="314" spans="1:52" ht="15" customHeight="1" x14ac:dyDescent="0.3">
      <c r="A314" s="294">
        <v>45987</v>
      </c>
      <c r="B314" s="321" t="s">
        <v>47</v>
      </c>
      <c r="C314" s="321" t="s">
        <v>47</v>
      </c>
      <c r="D314" s="294" t="s">
        <v>48</v>
      </c>
      <c r="E314" s="321" t="s">
        <v>49</v>
      </c>
      <c r="F314" s="295">
        <v>17115882</v>
      </c>
      <c r="G314" s="296"/>
      <c r="H314" s="280" t="s">
        <v>50</v>
      </c>
      <c r="I314" s="323" t="s">
        <v>133</v>
      </c>
      <c r="J314" s="323" t="s">
        <v>155</v>
      </c>
      <c r="K314" s="294">
        <v>46012</v>
      </c>
      <c r="L314" s="294">
        <v>46019</v>
      </c>
      <c r="M314" s="284">
        <f>Table1[[#This Row],[Dep Date]]-Table1[[#This Row],[Arr Date]]</f>
        <v>7</v>
      </c>
      <c r="N314" s="323" t="s">
        <v>65</v>
      </c>
      <c r="O314" s="321">
        <v>1</v>
      </c>
      <c r="P314" s="321">
        <v>1</v>
      </c>
      <c r="Q314" s="321"/>
      <c r="R314" s="321"/>
      <c r="S314" s="321" t="s">
        <v>53</v>
      </c>
      <c r="T314" s="326" t="s">
        <v>1927</v>
      </c>
      <c r="U314" s="297">
        <v>0</v>
      </c>
      <c r="V314" s="294"/>
      <c r="W314" s="297">
        <v>0</v>
      </c>
      <c r="X314" s="294"/>
      <c r="Y314" s="329"/>
      <c r="Z314" s="329"/>
      <c r="AA314" s="332">
        <f>Table1[[#This Row],[Selling USD]]-Table1[[#This Row],[Cost USD]]</f>
        <v>0</v>
      </c>
      <c r="AB314" s="335">
        <f>65*1.5*7</f>
        <v>682.5</v>
      </c>
      <c r="AC314" s="298">
        <v>689.5</v>
      </c>
      <c r="AD314" s="299">
        <f>Table1[[#This Row],[Selling EUR]]-Table1[[#This Row],[Cost EUR]]</f>
        <v>7</v>
      </c>
      <c r="AE314" s="321" t="s">
        <v>54</v>
      </c>
      <c r="AF314" s="294">
        <v>46012</v>
      </c>
      <c r="AG314" s="294"/>
      <c r="AH314" s="321"/>
      <c r="AI314" s="323"/>
      <c r="AJ314" s="338"/>
      <c r="AK314" s="323"/>
      <c r="AL314" s="338"/>
      <c r="AM314" s="338"/>
      <c r="AN314" s="323"/>
      <c r="AO314" s="282"/>
      <c r="AP314" s="306"/>
      <c r="AQ314" s="282"/>
      <c r="AR314" s="282"/>
      <c r="AS314" s="282"/>
      <c r="AT314" s="281"/>
      <c r="AU314" s="281"/>
      <c r="AV314" s="281"/>
      <c r="AW314" s="281"/>
      <c r="AX314" s="281"/>
      <c r="AY314" s="281"/>
      <c r="AZ314" s="281"/>
    </row>
    <row r="315" spans="1:52" ht="15" customHeight="1" x14ac:dyDescent="0.3">
      <c r="A315" s="294">
        <v>46013</v>
      </c>
      <c r="B315" s="321" t="s">
        <v>47</v>
      </c>
      <c r="C315" s="321" t="s">
        <v>47</v>
      </c>
      <c r="D315" s="294" t="s">
        <v>48</v>
      </c>
      <c r="E315" s="321" t="s">
        <v>49</v>
      </c>
      <c r="F315" s="295">
        <v>17172128</v>
      </c>
      <c r="G315" s="296">
        <v>2651479</v>
      </c>
      <c r="H315" s="280" t="s">
        <v>50</v>
      </c>
      <c r="I315" s="323" t="s">
        <v>103</v>
      </c>
      <c r="J315" s="323" t="s">
        <v>2578</v>
      </c>
      <c r="K315" s="294">
        <v>46094</v>
      </c>
      <c r="L315" s="294">
        <v>46102</v>
      </c>
      <c r="M315" s="284">
        <f>Table1[[#This Row],[Dep Date]]-Table1[[#This Row],[Arr Date]]</f>
        <v>8</v>
      </c>
      <c r="N315" s="323" t="s">
        <v>52</v>
      </c>
      <c r="O315" s="321">
        <v>1</v>
      </c>
      <c r="P315" s="321">
        <v>2</v>
      </c>
      <c r="Q315" s="321"/>
      <c r="R315" s="321"/>
      <c r="S315" s="321" t="s">
        <v>53</v>
      </c>
      <c r="T315" s="326" t="s">
        <v>1928</v>
      </c>
      <c r="U315" s="297">
        <v>0</v>
      </c>
      <c r="V315" s="294"/>
      <c r="W315" s="297">
        <v>0</v>
      </c>
      <c r="X315" s="294"/>
      <c r="Y315" s="329"/>
      <c r="Z315" s="329"/>
      <c r="AA315" s="332">
        <f>Table1[[#This Row],[Selling USD]]-Table1[[#This Row],[Cost USD]]</f>
        <v>0</v>
      </c>
      <c r="AB315" s="335">
        <f>90*2*8*0.8</f>
        <v>1152</v>
      </c>
      <c r="AC315" s="298">
        <v>1177.5999999999999</v>
      </c>
      <c r="AD315" s="299">
        <f>Table1[[#This Row],[Selling EUR]]-Table1[[#This Row],[Cost EUR]]</f>
        <v>25.599999999999909</v>
      </c>
      <c r="AE315" s="321" t="s">
        <v>54</v>
      </c>
      <c r="AF315" s="294">
        <v>46082</v>
      </c>
      <c r="AG315" s="294"/>
      <c r="AH315" s="321"/>
      <c r="AI315" s="323"/>
      <c r="AJ315" s="338"/>
      <c r="AK315" s="323"/>
      <c r="AL315" s="338"/>
      <c r="AM315" s="338"/>
      <c r="AN315" s="323"/>
      <c r="AO315" s="282"/>
      <c r="AP315" s="306"/>
      <c r="AQ315" s="282"/>
      <c r="AR315" s="282"/>
      <c r="AS315" s="282"/>
      <c r="AT315" s="281"/>
      <c r="AU315" s="281"/>
      <c r="AV315" s="281"/>
      <c r="AW315" s="281"/>
      <c r="AX315" s="281"/>
      <c r="AY315" s="281"/>
      <c r="AZ315" s="281"/>
    </row>
    <row r="316" spans="1:52" ht="15" customHeight="1" x14ac:dyDescent="0.3">
      <c r="A316" s="294">
        <v>45987</v>
      </c>
      <c r="B316" s="321" t="s">
        <v>47</v>
      </c>
      <c r="C316" s="321" t="s">
        <v>47</v>
      </c>
      <c r="D316" s="294" t="s">
        <v>79</v>
      </c>
      <c r="E316" s="321" t="s">
        <v>49</v>
      </c>
      <c r="F316" s="295">
        <v>14788604</v>
      </c>
      <c r="G316" s="296">
        <v>20303625</v>
      </c>
      <c r="H316" s="280" t="s">
        <v>84</v>
      </c>
      <c r="I316" s="323" t="s">
        <v>157</v>
      </c>
      <c r="J316" s="323" t="s">
        <v>2473</v>
      </c>
      <c r="K316" s="294">
        <v>46022</v>
      </c>
      <c r="L316" s="294">
        <v>46031</v>
      </c>
      <c r="M316" s="284">
        <f>Table1[[#This Row],[Dep Date]]-Table1[[#This Row],[Arr Date]]</f>
        <v>9</v>
      </c>
      <c r="N316" s="323" t="s">
        <v>52</v>
      </c>
      <c r="O316" s="321">
        <v>1</v>
      </c>
      <c r="P316" s="321">
        <v>2</v>
      </c>
      <c r="Q316" s="321"/>
      <c r="R316" s="321"/>
      <c r="S316" s="321" t="s">
        <v>53</v>
      </c>
      <c r="T316" s="326" t="s">
        <v>1929</v>
      </c>
      <c r="U316" s="297">
        <v>0</v>
      </c>
      <c r="V316" s="294"/>
      <c r="W316" s="297">
        <v>0</v>
      </c>
      <c r="X316" s="294"/>
      <c r="Y316" s="329"/>
      <c r="Z316" s="329"/>
      <c r="AA316" s="332">
        <f>Table1[[#This Row],[Selling USD]]-Table1[[#This Row],[Cost USD]]</f>
        <v>0</v>
      </c>
      <c r="AB316" s="335">
        <f>85*2*4+70*2*5+150*2</f>
        <v>1680</v>
      </c>
      <c r="AC316" s="298">
        <v>1923.78</v>
      </c>
      <c r="AD316" s="299">
        <f>Table1[[#This Row],[Selling EUR]]-Table1[[#This Row],[Cost EUR]]</f>
        <v>243.77999999999997</v>
      </c>
      <c r="AE316" s="321" t="s">
        <v>54</v>
      </c>
      <c r="AF316" s="294">
        <v>46000</v>
      </c>
      <c r="AG316" s="294"/>
      <c r="AH316" s="321"/>
      <c r="AI316" s="323"/>
      <c r="AJ316" s="338"/>
      <c r="AK316" s="323"/>
      <c r="AL316" s="338"/>
      <c r="AM316" s="338"/>
      <c r="AN316" s="323"/>
      <c r="AO316" s="282"/>
      <c r="AP316" s="306"/>
      <c r="AQ316" s="282"/>
      <c r="AR316" s="282"/>
      <c r="AS316" s="282"/>
      <c r="AT316" s="281"/>
      <c r="AU316" s="281"/>
      <c r="AV316" s="281"/>
      <c r="AW316" s="281"/>
      <c r="AX316" s="281"/>
      <c r="AY316" s="281"/>
      <c r="AZ316" s="281"/>
    </row>
    <row r="317" spans="1:52" ht="15" customHeight="1" x14ac:dyDescent="0.3">
      <c r="A317" s="294">
        <v>45988</v>
      </c>
      <c r="B317" s="321" t="s">
        <v>73</v>
      </c>
      <c r="C317" s="321" t="s">
        <v>73</v>
      </c>
      <c r="D317" s="294" t="s">
        <v>79</v>
      </c>
      <c r="E317" s="321" t="s">
        <v>49</v>
      </c>
      <c r="F317" s="295">
        <v>14793548</v>
      </c>
      <c r="G317" s="296">
        <v>20303626</v>
      </c>
      <c r="H317" s="280" t="s">
        <v>50</v>
      </c>
      <c r="I317" s="323" t="s">
        <v>66</v>
      </c>
      <c r="J317" s="323" t="s">
        <v>1402</v>
      </c>
      <c r="K317" s="294">
        <v>46009</v>
      </c>
      <c r="L317" s="294">
        <v>46016</v>
      </c>
      <c r="M317" s="284">
        <f>Table1[[#This Row],[Dep Date]]-Table1[[#This Row],[Arr Date]]</f>
        <v>7</v>
      </c>
      <c r="N317" s="323" t="s">
        <v>52</v>
      </c>
      <c r="O317" s="321">
        <v>1</v>
      </c>
      <c r="P317" s="321">
        <v>2</v>
      </c>
      <c r="Q317" s="321"/>
      <c r="R317" s="321">
        <v>1</v>
      </c>
      <c r="S317" s="321" t="s">
        <v>53</v>
      </c>
      <c r="T317" s="326" t="s">
        <v>1930</v>
      </c>
      <c r="U317" s="297">
        <v>0</v>
      </c>
      <c r="V317" s="294"/>
      <c r="W317" s="297">
        <v>1.0575342465753426</v>
      </c>
      <c r="X317" s="294">
        <v>45623</v>
      </c>
      <c r="Y317" s="329"/>
      <c r="Z317" s="329"/>
      <c r="AA317" s="332">
        <f>Table1[[#This Row],[Selling USD]]-Table1[[#This Row],[Cost USD]]</f>
        <v>0</v>
      </c>
      <c r="AB317" s="335"/>
      <c r="AC317" s="298"/>
      <c r="AD317" s="299">
        <f>Table1[[#This Row],[Selling EUR]]-Table1[[#This Row],[Cost EUR]]</f>
        <v>0</v>
      </c>
      <c r="AE317" s="321"/>
      <c r="AF317" s="294"/>
      <c r="AG317" s="294"/>
      <c r="AH317" s="321"/>
      <c r="AI317" s="323"/>
      <c r="AJ317" s="338"/>
      <c r="AK317" s="323"/>
      <c r="AL317" s="338"/>
      <c r="AM317" s="338"/>
      <c r="AN317" s="323"/>
      <c r="AO317" s="282"/>
      <c r="AP317" s="306"/>
      <c r="AQ317" s="282"/>
      <c r="AR317" s="282"/>
      <c r="AS317" s="282"/>
      <c r="AT317" s="281"/>
      <c r="AU317" s="281"/>
      <c r="AV317" s="281"/>
      <c r="AW317" s="281"/>
      <c r="AX317" s="281"/>
      <c r="AY317" s="281"/>
      <c r="AZ317" s="281"/>
    </row>
    <row r="318" spans="1:52" ht="15" customHeight="1" x14ac:dyDescent="0.3">
      <c r="A318" s="294">
        <v>45988</v>
      </c>
      <c r="B318" s="321" t="s">
        <v>47</v>
      </c>
      <c r="C318" s="321" t="s">
        <v>47</v>
      </c>
      <c r="D318" s="294" t="s">
        <v>48</v>
      </c>
      <c r="E318" s="321" t="s">
        <v>49</v>
      </c>
      <c r="F318" s="295">
        <v>17118782</v>
      </c>
      <c r="G318" s="296"/>
      <c r="H318" s="280" t="s">
        <v>84</v>
      </c>
      <c r="I318" s="323" t="s">
        <v>122</v>
      </c>
      <c r="J318" s="323" t="s">
        <v>2579</v>
      </c>
      <c r="K318" s="294">
        <v>46013</v>
      </c>
      <c r="L318" s="294">
        <v>46020</v>
      </c>
      <c r="M318" s="284">
        <f>Table1[[#This Row],[Dep Date]]-Table1[[#This Row],[Arr Date]]</f>
        <v>7</v>
      </c>
      <c r="N318" s="323" t="s">
        <v>65</v>
      </c>
      <c r="O318" s="321">
        <v>1</v>
      </c>
      <c r="P318" s="321">
        <v>1</v>
      </c>
      <c r="Q318" s="321"/>
      <c r="R318" s="321"/>
      <c r="S318" s="321" t="s">
        <v>53</v>
      </c>
      <c r="T318" s="326" t="s">
        <v>1931</v>
      </c>
      <c r="U318" s="297">
        <v>0</v>
      </c>
      <c r="V318" s="294"/>
      <c r="W318" s="297">
        <v>0</v>
      </c>
      <c r="X318" s="294"/>
      <c r="Y318" s="329"/>
      <c r="Z318" s="329"/>
      <c r="AA318" s="332">
        <f>Table1[[#This Row],[Selling USD]]-Table1[[#This Row],[Cost USD]]</f>
        <v>0</v>
      </c>
      <c r="AB318" s="335">
        <f>47*1.6*2+59*1.6*5+60</f>
        <v>682.4</v>
      </c>
      <c r="AC318" s="298">
        <v>470</v>
      </c>
      <c r="AD318" s="299">
        <f>Table1[[#This Row],[Selling EUR]]-Table1[[#This Row],[Cost EUR]]</f>
        <v>-212.39999999999998</v>
      </c>
      <c r="AE318" s="321" t="s">
        <v>54</v>
      </c>
      <c r="AF318" s="294">
        <v>46006</v>
      </c>
      <c r="AG318" s="294"/>
      <c r="AH318" s="321"/>
      <c r="AI318" s="323"/>
      <c r="AJ318" s="338"/>
      <c r="AK318" s="323"/>
      <c r="AL318" s="338"/>
      <c r="AM318" s="338"/>
      <c r="AN318" s="323"/>
      <c r="AO318" s="282"/>
      <c r="AP318" s="306"/>
      <c r="AQ318" s="282"/>
      <c r="AR318" s="282"/>
      <c r="AS318" s="282"/>
      <c r="AT318" s="281"/>
      <c r="AU318" s="281"/>
      <c r="AV318" s="281"/>
      <c r="AW318" s="281"/>
      <c r="AX318" s="281"/>
      <c r="AY318" s="281"/>
      <c r="AZ318" s="281"/>
    </row>
    <row r="319" spans="1:52" ht="15" customHeight="1" x14ac:dyDescent="0.3">
      <c r="A319" s="294">
        <v>45988</v>
      </c>
      <c r="B319" s="321" t="s">
        <v>47</v>
      </c>
      <c r="C319" s="321" t="s">
        <v>47</v>
      </c>
      <c r="D319" s="294" t="s">
        <v>79</v>
      </c>
      <c r="E319" s="321" t="s">
        <v>83</v>
      </c>
      <c r="F319" s="295">
        <v>14805425</v>
      </c>
      <c r="G319" s="296">
        <v>20303628</v>
      </c>
      <c r="H319" s="280" t="s">
        <v>84</v>
      </c>
      <c r="I319" s="323" t="s">
        <v>118</v>
      </c>
      <c r="J319" s="323" t="s">
        <v>1410</v>
      </c>
      <c r="K319" s="294">
        <v>46160.041666666599</v>
      </c>
      <c r="L319" s="294">
        <v>46166.041666666599</v>
      </c>
      <c r="M319" s="284">
        <f>Table1[[#This Row],[Dep Date]]-Table1[[#This Row],[Arr Date]]</f>
        <v>6</v>
      </c>
      <c r="N319" s="323" t="s">
        <v>52</v>
      </c>
      <c r="O319" s="321">
        <v>1</v>
      </c>
      <c r="P319" s="321">
        <v>2</v>
      </c>
      <c r="Q319" s="321"/>
      <c r="R319" s="321"/>
      <c r="S319" s="321" t="s">
        <v>53</v>
      </c>
      <c r="T319" s="326" t="s">
        <v>1932</v>
      </c>
      <c r="U319" s="297">
        <v>0</v>
      </c>
      <c r="V319" s="294"/>
      <c r="W319" s="297">
        <v>0</v>
      </c>
      <c r="X319" s="294"/>
      <c r="Y319" s="329"/>
      <c r="Z319" s="329"/>
      <c r="AA319" s="332">
        <f>Table1[[#This Row],[Selling USD]]-Table1[[#This Row],[Cost USD]]</f>
        <v>0</v>
      </c>
      <c r="AB319" s="335">
        <f>175*2*0.85*0.8*6</f>
        <v>1428</v>
      </c>
      <c r="AC319" s="298">
        <v>1442.28</v>
      </c>
      <c r="AD319" s="299">
        <f>Table1[[#This Row],[Selling EUR]]-Table1[[#This Row],[Cost EUR]]</f>
        <v>14.279999999999973</v>
      </c>
      <c r="AE319" s="321" t="s">
        <v>54</v>
      </c>
      <c r="AF319" s="294">
        <v>46149.041666666599</v>
      </c>
      <c r="AG319" s="294" t="s">
        <v>2412</v>
      </c>
      <c r="AH319" s="321"/>
      <c r="AI319" s="323"/>
      <c r="AJ319" s="338"/>
      <c r="AK319" s="323"/>
      <c r="AL319" s="338"/>
      <c r="AM319" s="338"/>
      <c r="AN319" s="323"/>
      <c r="AO319" s="282"/>
      <c r="AP319" s="306"/>
      <c r="AQ319" s="282"/>
      <c r="AR319" s="282"/>
      <c r="AS319" s="282"/>
      <c r="AT319" s="281"/>
      <c r="AU319" s="281"/>
      <c r="AV319" s="281"/>
      <c r="AW319" s="281"/>
      <c r="AX319" s="281"/>
      <c r="AY319" s="281"/>
      <c r="AZ319" s="281"/>
    </row>
    <row r="320" spans="1:52" ht="15" customHeight="1" x14ac:dyDescent="0.3">
      <c r="A320" s="294">
        <v>45989</v>
      </c>
      <c r="B320" s="321" t="s">
        <v>47</v>
      </c>
      <c r="C320" s="321" t="s">
        <v>47</v>
      </c>
      <c r="D320" s="294" t="s">
        <v>79</v>
      </c>
      <c r="E320" s="321" t="s">
        <v>49</v>
      </c>
      <c r="F320" s="295">
        <v>14814403</v>
      </c>
      <c r="G320" s="296">
        <v>20303629</v>
      </c>
      <c r="H320" s="280" t="s">
        <v>84</v>
      </c>
      <c r="I320" s="323" t="s">
        <v>158</v>
      </c>
      <c r="J320" s="323" t="s">
        <v>2580</v>
      </c>
      <c r="K320" s="294">
        <v>46023</v>
      </c>
      <c r="L320" s="294">
        <v>46028</v>
      </c>
      <c r="M320" s="284">
        <f>Table1[[#This Row],[Dep Date]]-Table1[[#This Row],[Arr Date]]</f>
        <v>5</v>
      </c>
      <c r="N320" s="323" t="s">
        <v>52</v>
      </c>
      <c r="O320" s="321">
        <v>1</v>
      </c>
      <c r="P320" s="321">
        <v>2</v>
      </c>
      <c r="Q320" s="321"/>
      <c r="R320" s="321"/>
      <c r="S320" s="321" t="s">
        <v>53</v>
      </c>
      <c r="T320" s="326" t="s">
        <v>1933</v>
      </c>
      <c r="U320" s="297">
        <v>0</v>
      </c>
      <c r="V320" s="294"/>
      <c r="W320" s="297">
        <v>0</v>
      </c>
      <c r="X320" s="294"/>
      <c r="Y320" s="329"/>
      <c r="Z320" s="329"/>
      <c r="AA320" s="332">
        <f>Table1[[#This Row],[Selling USD]]-Table1[[#This Row],[Cost USD]]</f>
        <v>0</v>
      </c>
      <c r="AB320" s="335">
        <f>59*2*1+47*2*4</f>
        <v>494</v>
      </c>
      <c r="AC320" s="298">
        <v>498.94</v>
      </c>
      <c r="AD320" s="299">
        <f>Table1[[#This Row],[Selling EUR]]-Table1[[#This Row],[Cost EUR]]</f>
        <v>4.9399999999999977</v>
      </c>
      <c r="AE320" s="321" t="s">
        <v>54</v>
      </c>
      <c r="AF320" s="294">
        <v>46016</v>
      </c>
      <c r="AG320" s="294"/>
      <c r="AH320" s="321"/>
      <c r="AI320" s="323"/>
      <c r="AJ320" s="338"/>
      <c r="AK320" s="323"/>
      <c r="AL320" s="338"/>
      <c r="AM320" s="338"/>
      <c r="AN320" s="323"/>
      <c r="AO320" s="282"/>
      <c r="AP320" s="306"/>
      <c r="AQ320" s="282"/>
      <c r="AR320" s="282"/>
      <c r="AS320" s="282"/>
      <c r="AT320" s="281"/>
      <c r="AU320" s="281"/>
      <c r="AV320" s="281"/>
      <c r="AW320" s="281"/>
      <c r="AX320" s="281"/>
      <c r="AY320" s="281"/>
      <c r="AZ320" s="281"/>
    </row>
    <row r="321" spans="1:52" ht="15" customHeight="1" x14ac:dyDescent="0.3">
      <c r="A321" s="294">
        <v>45989</v>
      </c>
      <c r="B321" s="321" t="s">
        <v>47</v>
      </c>
      <c r="C321" s="321" t="s">
        <v>47</v>
      </c>
      <c r="D321" s="294" t="s">
        <v>79</v>
      </c>
      <c r="E321" s="321" t="s">
        <v>61</v>
      </c>
      <c r="F321" s="295">
        <v>14814555</v>
      </c>
      <c r="G321" s="296">
        <v>20303630</v>
      </c>
      <c r="H321" s="280" t="s">
        <v>84</v>
      </c>
      <c r="I321" s="323" t="s">
        <v>122</v>
      </c>
      <c r="J321" s="323" t="s">
        <v>1480</v>
      </c>
      <c r="K321" s="294">
        <v>46019</v>
      </c>
      <c r="L321" s="294">
        <v>46026</v>
      </c>
      <c r="M321" s="284">
        <f>Table1[[#This Row],[Dep Date]]-Table1[[#This Row],[Arr Date]]</f>
        <v>7</v>
      </c>
      <c r="N321" s="323" t="s">
        <v>52</v>
      </c>
      <c r="O321" s="321">
        <v>1</v>
      </c>
      <c r="P321" s="321">
        <v>2</v>
      </c>
      <c r="Q321" s="321"/>
      <c r="R321" s="321"/>
      <c r="S321" s="321" t="s">
        <v>53</v>
      </c>
      <c r="T321" s="326" t="s">
        <v>1934</v>
      </c>
      <c r="U321" s="297">
        <v>0</v>
      </c>
      <c r="V321" s="294"/>
      <c r="W321" s="297">
        <v>0</v>
      </c>
      <c r="X321" s="294"/>
      <c r="Y321" s="329">
        <f>70*2*6+52*2*1+120*2</f>
        <v>1184</v>
      </c>
      <c r="Z321" s="329">
        <v>1122.74</v>
      </c>
      <c r="AA321" s="332">
        <f>Table1[[#This Row],[Selling USD]]-Table1[[#This Row],[Cost USD]]</f>
        <v>-61.259999999999991</v>
      </c>
      <c r="AB321" s="335"/>
      <c r="AC321" s="298"/>
      <c r="AD321" s="299">
        <f>Table1[[#This Row],[Selling EUR]]-Table1[[#This Row],[Cost EUR]]</f>
        <v>0</v>
      </c>
      <c r="AE321" s="321" t="s">
        <v>54</v>
      </c>
      <c r="AF321" s="294">
        <v>46014</v>
      </c>
      <c r="AG321" s="294"/>
      <c r="AH321" s="321"/>
      <c r="AI321" s="323"/>
      <c r="AJ321" s="338"/>
      <c r="AK321" s="323"/>
      <c r="AL321" s="338"/>
      <c r="AM321" s="338"/>
      <c r="AN321" s="323"/>
      <c r="AO321" s="282"/>
      <c r="AP321" s="306"/>
      <c r="AQ321" s="282"/>
      <c r="AR321" s="282"/>
      <c r="AS321" s="282"/>
      <c r="AT321" s="281"/>
      <c r="AU321" s="281"/>
      <c r="AV321" s="281"/>
      <c r="AW321" s="281"/>
      <c r="AX321" s="281"/>
      <c r="AY321" s="281"/>
      <c r="AZ321" s="281"/>
    </row>
    <row r="322" spans="1:52" ht="15" customHeight="1" x14ac:dyDescent="0.3">
      <c r="A322" s="294">
        <v>45989</v>
      </c>
      <c r="B322" s="321" t="s">
        <v>47</v>
      </c>
      <c r="C322" s="321" t="s">
        <v>47</v>
      </c>
      <c r="D322" s="294" t="s">
        <v>79</v>
      </c>
      <c r="E322" s="321" t="s">
        <v>61</v>
      </c>
      <c r="F322" s="295">
        <v>14822672</v>
      </c>
      <c r="G322" s="296">
        <v>20303631</v>
      </c>
      <c r="H322" s="280" t="s">
        <v>50</v>
      </c>
      <c r="I322" s="323" t="s">
        <v>111</v>
      </c>
      <c r="J322" s="323" t="s">
        <v>2581</v>
      </c>
      <c r="K322" s="294">
        <v>46010</v>
      </c>
      <c r="L322" s="294">
        <v>46019</v>
      </c>
      <c r="M322" s="284">
        <f>Table1[[#This Row],[Dep Date]]-Table1[[#This Row],[Arr Date]]</f>
        <v>9</v>
      </c>
      <c r="N322" s="323" t="s">
        <v>52</v>
      </c>
      <c r="O322" s="321">
        <v>2</v>
      </c>
      <c r="P322" s="321">
        <v>4</v>
      </c>
      <c r="Q322" s="321"/>
      <c r="R322" s="321"/>
      <c r="S322" s="321" t="s">
        <v>53</v>
      </c>
      <c r="T322" s="326" t="s">
        <v>1935</v>
      </c>
      <c r="U322" s="297">
        <v>0</v>
      </c>
      <c r="V322" s="294"/>
      <c r="W322" s="297">
        <v>0</v>
      </c>
      <c r="X322" s="294"/>
      <c r="Y322" s="329">
        <f>38*2*5+52*2*4+45*2*5+59*2*4</f>
        <v>1718</v>
      </c>
      <c r="Z322" s="329">
        <v>1789.72</v>
      </c>
      <c r="AA322" s="332">
        <f>Table1[[#This Row],[Selling USD]]-Table1[[#This Row],[Cost USD]]</f>
        <v>71.720000000000027</v>
      </c>
      <c r="AB322" s="335"/>
      <c r="AC322" s="298"/>
      <c r="AD322" s="299">
        <f>Table1[[#This Row],[Selling EUR]]-Table1[[#This Row],[Cost EUR]]</f>
        <v>0</v>
      </c>
      <c r="AE322" s="321" t="s">
        <v>54</v>
      </c>
      <c r="AF322" s="294" t="s">
        <v>2256</v>
      </c>
      <c r="AG322" s="294"/>
      <c r="AH322" s="321"/>
      <c r="AI322" s="323"/>
      <c r="AJ322" s="338"/>
      <c r="AK322" s="323"/>
      <c r="AL322" s="338"/>
      <c r="AM322" s="338"/>
      <c r="AN322" s="323"/>
      <c r="AO322" s="282"/>
      <c r="AP322" s="306"/>
      <c r="AQ322" s="282"/>
      <c r="AR322" s="282"/>
      <c r="AS322" s="282"/>
      <c r="AT322" s="281"/>
      <c r="AU322" s="281"/>
      <c r="AV322" s="281"/>
      <c r="AW322" s="281"/>
      <c r="AX322" s="281"/>
      <c r="AY322" s="281"/>
      <c r="AZ322" s="281"/>
    </row>
    <row r="323" spans="1:52" ht="15" customHeight="1" x14ac:dyDescent="0.3">
      <c r="A323" s="294">
        <v>45992</v>
      </c>
      <c r="B323" s="321" t="s">
        <v>47</v>
      </c>
      <c r="C323" s="321" t="s">
        <v>47</v>
      </c>
      <c r="D323" s="294" t="s">
        <v>79</v>
      </c>
      <c r="E323" s="321" t="s">
        <v>49</v>
      </c>
      <c r="F323" s="295">
        <v>14849509</v>
      </c>
      <c r="G323" s="296">
        <v>20303633</v>
      </c>
      <c r="H323" s="280" t="s">
        <v>50</v>
      </c>
      <c r="I323" s="323" t="s">
        <v>124</v>
      </c>
      <c r="J323" s="323" t="s">
        <v>1470</v>
      </c>
      <c r="K323" s="294">
        <v>46020</v>
      </c>
      <c r="L323" s="294">
        <v>46023</v>
      </c>
      <c r="M323" s="284">
        <f>Table1[[#This Row],[Dep Date]]-Table1[[#This Row],[Arr Date]]</f>
        <v>3</v>
      </c>
      <c r="N323" s="323" t="s">
        <v>52</v>
      </c>
      <c r="O323" s="321">
        <v>1</v>
      </c>
      <c r="P323" s="321">
        <v>2</v>
      </c>
      <c r="Q323" s="321">
        <v>1</v>
      </c>
      <c r="R323" s="321"/>
      <c r="S323" s="321" t="s">
        <v>53</v>
      </c>
      <c r="T323" s="326" t="s">
        <v>1809</v>
      </c>
      <c r="U323" s="297">
        <v>12</v>
      </c>
      <c r="V323" s="294">
        <v>41608</v>
      </c>
      <c r="W323" s="297">
        <v>0</v>
      </c>
      <c r="X323" s="294"/>
      <c r="Y323" s="329"/>
      <c r="Z323" s="329"/>
      <c r="AA323" s="332">
        <f>Table1[[#This Row],[Selling USD]]-Table1[[#This Row],[Cost USD]]</f>
        <v>0</v>
      </c>
      <c r="AB323" s="335">
        <f>96*2*0.7*3+252*2*0.8+126*0.8+50*2+40</f>
        <v>1047.2</v>
      </c>
      <c r="AC323" s="298">
        <v>1101.6300000000001</v>
      </c>
      <c r="AD323" s="299">
        <f>Table1[[#This Row],[Selling EUR]]-Table1[[#This Row],[Cost EUR]]</f>
        <v>54.430000000000064</v>
      </c>
      <c r="AE323" s="321" t="s">
        <v>54</v>
      </c>
      <c r="AF323" s="294" t="s">
        <v>2260</v>
      </c>
      <c r="AG323" s="294"/>
      <c r="AH323" s="321"/>
      <c r="AI323" s="323"/>
      <c r="AJ323" s="338"/>
      <c r="AK323" s="323"/>
      <c r="AL323" s="338"/>
      <c r="AM323" s="338"/>
      <c r="AN323" s="323"/>
      <c r="AO323" s="282"/>
      <c r="AP323" s="306"/>
      <c r="AQ323" s="282"/>
      <c r="AR323" s="282"/>
      <c r="AS323" s="282"/>
      <c r="AT323" s="281"/>
      <c r="AU323" s="281"/>
      <c r="AV323" s="281"/>
      <c r="AW323" s="281"/>
      <c r="AX323" s="281"/>
      <c r="AY323" s="281"/>
      <c r="AZ323" s="281"/>
    </row>
    <row r="324" spans="1:52" ht="15" customHeight="1" x14ac:dyDescent="0.3">
      <c r="A324" s="294">
        <v>45992</v>
      </c>
      <c r="B324" s="321" t="s">
        <v>47</v>
      </c>
      <c r="C324" s="321" t="s">
        <v>47</v>
      </c>
      <c r="D324" s="294" t="s">
        <v>79</v>
      </c>
      <c r="E324" s="321" t="s">
        <v>138</v>
      </c>
      <c r="F324" s="295">
        <v>14854131</v>
      </c>
      <c r="G324" s="296">
        <v>20303635</v>
      </c>
      <c r="H324" s="280" t="s">
        <v>58</v>
      </c>
      <c r="I324" s="323" t="s">
        <v>144</v>
      </c>
      <c r="J324" s="323" t="s">
        <v>2582</v>
      </c>
      <c r="K324" s="294">
        <v>46024</v>
      </c>
      <c r="L324" s="294">
        <v>46031</v>
      </c>
      <c r="M324" s="284">
        <f>Table1[[#This Row],[Dep Date]]-Table1[[#This Row],[Arr Date]]</f>
        <v>7</v>
      </c>
      <c r="N324" s="323" t="s">
        <v>52</v>
      </c>
      <c r="O324" s="321">
        <v>1</v>
      </c>
      <c r="P324" s="321">
        <v>2</v>
      </c>
      <c r="Q324" s="321"/>
      <c r="R324" s="321"/>
      <c r="S324" s="321" t="s">
        <v>53</v>
      </c>
      <c r="T324" s="326" t="s">
        <v>1936</v>
      </c>
      <c r="U324" s="297"/>
      <c r="V324" s="294"/>
      <c r="W324" s="297"/>
      <c r="X324" s="294"/>
      <c r="Y324" s="329"/>
      <c r="Z324" s="329"/>
      <c r="AA324" s="332">
        <f>Table1[[#This Row],[Selling USD]]-Table1[[#This Row],[Cost USD]]</f>
        <v>0</v>
      </c>
      <c r="AB324" s="335">
        <f>95*2*1+80*2*6</f>
        <v>1150</v>
      </c>
      <c r="AC324" s="298">
        <v>1161.5</v>
      </c>
      <c r="AD324" s="299">
        <f>Table1[[#This Row],[Selling EUR]]-Table1[[#This Row],[Cost EUR]]</f>
        <v>11.5</v>
      </c>
      <c r="AE324" s="321" t="s">
        <v>54</v>
      </c>
      <c r="AF324" s="294">
        <v>46016</v>
      </c>
      <c r="AG324" s="294"/>
      <c r="AH324" s="321"/>
      <c r="AI324" s="323"/>
      <c r="AJ324" s="338"/>
      <c r="AK324" s="323"/>
      <c r="AL324" s="338"/>
      <c r="AM324" s="338"/>
      <c r="AN324" s="323"/>
      <c r="AO324" s="282"/>
      <c r="AP324" s="306"/>
      <c r="AQ324" s="282"/>
      <c r="AR324" s="282"/>
      <c r="AS324" s="282"/>
      <c r="AT324" s="281"/>
      <c r="AU324" s="281"/>
      <c r="AV324" s="281"/>
      <c r="AW324" s="281"/>
      <c r="AX324" s="281"/>
      <c r="AY324" s="281"/>
      <c r="AZ324" s="281"/>
    </row>
    <row r="325" spans="1:52" ht="15" customHeight="1" x14ac:dyDescent="0.3">
      <c r="A325" s="294">
        <v>45992</v>
      </c>
      <c r="B325" s="321" t="s">
        <v>73</v>
      </c>
      <c r="C325" s="321" t="s">
        <v>73</v>
      </c>
      <c r="D325" s="294" t="s">
        <v>79</v>
      </c>
      <c r="E325" s="321" t="s">
        <v>106</v>
      </c>
      <c r="F325" s="295">
        <v>14856411</v>
      </c>
      <c r="G325" s="296">
        <v>20303636</v>
      </c>
      <c r="H325" s="280" t="s">
        <v>50</v>
      </c>
      <c r="I325" s="323" t="s">
        <v>82</v>
      </c>
      <c r="J325" s="323" t="s">
        <v>2529</v>
      </c>
      <c r="K325" s="294">
        <v>46042</v>
      </c>
      <c r="L325" s="294">
        <v>46056</v>
      </c>
      <c r="M325" s="284">
        <f>Table1[[#This Row],[Dep Date]]-Table1[[#This Row],[Arr Date]]</f>
        <v>14</v>
      </c>
      <c r="N325" s="323" t="s">
        <v>52</v>
      </c>
      <c r="O325" s="321">
        <v>1</v>
      </c>
      <c r="P325" s="321">
        <v>2</v>
      </c>
      <c r="Q325" s="321"/>
      <c r="R325" s="321"/>
      <c r="S325" s="321" t="s">
        <v>53</v>
      </c>
      <c r="T325" s="326" t="s">
        <v>1937</v>
      </c>
      <c r="U325" s="297">
        <v>0</v>
      </c>
      <c r="V325" s="294"/>
      <c r="W325" s="297">
        <v>0</v>
      </c>
      <c r="X325" s="294"/>
      <c r="Y325" s="329"/>
      <c r="Z325" s="329"/>
      <c r="AA325" s="332">
        <f>Table1[[#This Row],[Selling USD]]-Table1[[#This Row],[Cost USD]]</f>
        <v>0</v>
      </c>
      <c r="AB325" s="335"/>
      <c r="AC325" s="298"/>
      <c r="AD325" s="299">
        <f>Table1[[#This Row],[Selling EUR]]-Table1[[#This Row],[Cost EUR]]</f>
        <v>0</v>
      </c>
      <c r="AE325" s="321"/>
      <c r="AF325" s="294"/>
      <c r="AG325" s="294"/>
      <c r="AH325" s="321"/>
      <c r="AI325" s="323"/>
      <c r="AJ325" s="338"/>
      <c r="AK325" s="323"/>
      <c r="AL325" s="338"/>
      <c r="AM325" s="338"/>
      <c r="AN325" s="323"/>
      <c r="AO325" s="282"/>
      <c r="AP325" s="306"/>
      <c r="AQ325" s="282"/>
      <c r="AR325" s="282"/>
      <c r="AS325" s="282"/>
      <c r="AT325" s="281"/>
      <c r="AU325" s="281"/>
      <c r="AV325" s="281"/>
      <c r="AW325" s="281"/>
      <c r="AX325" s="281"/>
      <c r="AY325" s="281"/>
      <c r="AZ325" s="281"/>
    </row>
    <row r="326" spans="1:52" ht="15" customHeight="1" x14ac:dyDescent="0.3">
      <c r="A326" s="294">
        <v>45992</v>
      </c>
      <c r="B326" s="321" t="s">
        <v>47</v>
      </c>
      <c r="C326" s="321" t="s">
        <v>47</v>
      </c>
      <c r="D326" s="294" t="s">
        <v>48</v>
      </c>
      <c r="E326" s="321" t="s">
        <v>49</v>
      </c>
      <c r="F326" s="295">
        <v>17128479</v>
      </c>
      <c r="G326" s="296"/>
      <c r="H326" s="280" t="s">
        <v>50</v>
      </c>
      <c r="I326" s="323" t="s">
        <v>67</v>
      </c>
      <c r="J326" s="323" t="s">
        <v>72</v>
      </c>
      <c r="K326" s="294">
        <v>46029</v>
      </c>
      <c r="L326" s="294">
        <v>46038</v>
      </c>
      <c r="M326" s="284">
        <f>Table1[[#This Row],[Dep Date]]-Table1[[#This Row],[Arr Date]]</f>
        <v>9</v>
      </c>
      <c r="N326" s="323" t="s">
        <v>52</v>
      </c>
      <c r="O326" s="321">
        <v>1</v>
      </c>
      <c r="P326" s="321">
        <v>2</v>
      </c>
      <c r="Q326" s="321">
        <v>1</v>
      </c>
      <c r="R326" s="321"/>
      <c r="S326" s="321" t="s">
        <v>53</v>
      </c>
      <c r="T326" s="326" t="s">
        <v>1938</v>
      </c>
      <c r="U326" s="297">
        <v>8</v>
      </c>
      <c r="V326" s="294"/>
      <c r="W326" s="297">
        <v>0</v>
      </c>
      <c r="X326" s="294"/>
      <c r="Y326" s="329"/>
      <c r="Z326" s="329"/>
      <c r="AA326" s="332">
        <f>Table1[[#This Row],[Selling USD]]-Table1[[#This Row],[Cost USD]]</f>
        <v>0</v>
      </c>
      <c r="AB326" s="335">
        <f>65*2*9</f>
        <v>1170</v>
      </c>
      <c r="AC326" s="298">
        <v>1206</v>
      </c>
      <c r="AD326" s="299">
        <f>Table1[[#This Row],[Selling EUR]]-Table1[[#This Row],[Cost EUR]]</f>
        <v>36</v>
      </c>
      <c r="AE326" s="321" t="s">
        <v>54</v>
      </c>
      <c r="AF326" s="294">
        <v>46026</v>
      </c>
      <c r="AG326" s="294"/>
      <c r="AH326" s="321"/>
      <c r="AI326" s="323"/>
      <c r="AJ326" s="338"/>
      <c r="AK326" s="323"/>
      <c r="AL326" s="338"/>
      <c r="AM326" s="338"/>
      <c r="AN326" s="323"/>
      <c r="AO326" s="282"/>
      <c r="AP326" s="306"/>
      <c r="AQ326" s="282"/>
      <c r="AR326" s="282"/>
      <c r="AS326" s="282"/>
      <c r="AT326" s="281"/>
      <c r="AU326" s="281"/>
      <c r="AV326" s="281"/>
      <c r="AW326" s="281"/>
      <c r="AX326" s="281"/>
      <c r="AY326" s="281"/>
      <c r="AZ326" s="281"/>
    </row>
    <row r="327" spans="1:52" ht="15" customHeight="1" x14ac:dyDescent="0.3">
      <c r="A327" s="294">
        <v>45992</v>
      </c>
      <c r="B327" s="321" t="s">
        <v>47</v>
      </c>
      <c r="C327" s="321" t="s">
        <v>47</v>
      </c>
      <c r="D327" s="294" t="s">
        <v>48</v>
      </c>
      <c r="E327" s="321" t="s">
        <v>49</v>
      </c>
      <c r="F327" s="295">
        <v>17129072</v>
      </c>
      <c r="G327" s="296"/>
      <c r="H327" s="280" t="s">
        <v>50</v>
      </c>
      <c r="I327" s="323" t="s">
        <v>111</v>
      </c>
      <c r="J327" s="323" t="s">
        <v>2583</v>
      </c>
      <c r="K327" s="294">
        <v>46272</v>
      </c>
      <c r="L327" s="294">
        <v>46282</v>
      </c>
      <c r="M327" s="284">
        <f>Table1[[#This Row],[Dep Date]]-Table1[[#This Row],[Arr Date]]</f>
        <v>10</v>
      </c>
      <c r="N327" s="323" t="s">
        <v>1617</v>
      </c>
      <c r="O327" s="321">
        <v>2</v>
      </c>
      <c r="P327" s="321">
        <v>3</v>
      </c>
      <c r="Q327" s="321"/>
      <c r="R327" s="321"/>
      <c r="S327" s="321" t="s">
        <v>53</v>
      </c>
      <c r="T327" s="326" t="s">
        <v>2584</v>
      </c>
      <c r="U327" s="297">
        <v>0</v>
      </c>
      <c r="V327" s="294"/>
      <c r="W327" s="297">
        <v>0</v>
      </c>
      <c r="X327" s="294"/>
      <c r="Y327" s="329"/>
      <c r="Z327" s="329"/>
      <c r="AA327" s="332">
        <f>Table1[[#This Row],[Selling USD]]-Table1[[#This Row],[Cost USD]]</f>
        <v>0</v>
      </c>
      <c r="AB327" s="335">
        <f>36*1.6*10+36*2*10</f>
        <v>1296</v>
      </c>
      <c r="AC327" s="298">
        <v>1237.5</v>
      </c>
      <c r="AD327" s="299">
        <f>Table1[[#This Row],[Selling EUR]]-Table1[[#This Row],[Cost EUR]]</f>
        <v>-58.5</v>
      </c>
      <c r="AE327" s="321" t="s">
        <v>54</v>
      </c>
      <c r="AF327" s="294">
        <v>46266</v>
      </c>
      <c r="AG327" s="294"/>
      <c r="AH327" s="321"/>
      <c r="AI327" s="323"/>
      <c r="AJ327" s="338"/>
      <c r="AK327" s="323"/>
      <c r="AL327" s="338"/>
      <c r="AM327" s="338"/>
      <c r="AN327" s="323"/>
      <c r="AO327" s="282"/>
      <c r="AP327" s="306"/>
      <c r="AQ327" s="282"/>
      <c r="AR327" s="282"/>
      <c r="AS327" s="282"/>
      <c r="AT327" s="281"/>
      <c r="AU327" s="281"/>
      <c r="AV327" s="281"/>
      <c r="AW327" s="281"/>
      <c r="AX327" s="281"/>
      <c r="AY327" s="281"/>
      <c r="AZ327" s="281"/>
    </row>
    <row r="328" spans="1:52" ht="15" customHeight="1" x14ac:dyDescent="0.3">
      <c r="A328" s="294">
        <v>45992</v>
      </c>
      <c r="B328" s="321" t="s">
        <v>73</v>
      </c>
      <c r="C328" s="321" t="s">
        <v>73</v>
      </c>
      <c r="D328" s="294" t="s">
        <v>79</v>
      </c>
      <c r="E328" s="321" t="s">
        <v>106</v>
      </c>
      <c r="F328" s="295">
        <v>14861356</v>
      </c>
      <c r="G328" s="296">
        <v>20303637</v>
      </c>
      <c r="H328" s="280" t="s">
        <v>84</v>
      </c>
      <c r="I328" s="323" t="s">
        <v>123</v>
      </c>
      <c r="J328" s="323" t="s">
        <v>2473</v>
      </c>
      <c r="K328" s="294">
        <v>46085</v>
      </c>
      <c r="L328" s="294">
        <v>46090</v>
      </c>
      <c r="M328" s="284">
        <f>Table1[[#This Row],[Dep Date]]-Table1[[#This Row],[Arr Date]]</f>
        <v>5</v>
      </c>
      <c r="N328" s="323" t="s">
        <v>52</v>
      </c>
      <c r="O328" s="321">
        <v>1</v>
      </c>
      <c r="P328" s="321">
        <v>2</v>
      </c>
      <c r="Q328" s="321"/>
      <c r="R328" s="321"/>
      <c r="S328" s="321" t="s">
        <v>53</v>
      </c>
      <c r="T328" s="326" t="s">
        <v>1939</v>
      </c>
      <c r="U328" s="297">
        <v>0</v>
      </c>
      <c r="V328" s="294"/>
      <c r="W328" s="297">
        <v>0</v>
      </c>
      <c r="X328" s="294"/>
      <c r="Y328" s="329"/>
      <c r="Z328" s="329"/>
      <c r="AA328" s="332">
        <f>Table1[[#This Row],[Selling USD]]-Table1[[#This Row],[Cost USD]]</f>
        <v>0</v>
      </c>
      <c r="AB328" s="335"/>
      <c r="AC328" s="298"/>
      <c r="AD328" s="299">
        <f>Table1[[#This Row],[Selling EUR]]-Table1[[#This Row],[Cost EUR]]</f>
        <v>0</v>
      </c>
      <c r="AE328" s="321"/>
      <c r="AF328" s="294"/>
      <c r="AG328" s="294"/>
      <c r="AH328" s="321"/>
      <c r="AI328" s="323"/>
      <c r="AJ328" s="338"/>
      <c r="AK328" s="323"/>
      <c r="AL328" s="338"/>
      <c r="AM328" s="338"/>
      <c r="AN328" s="323"/>
      <c r="AO328" s="282"/>
      <c r="AP328" s="306"/>
      <c r="AQ328" s="282"/>
      <c r="AR328" s="282"/>
      <c r="AS328" s="282"/>
      <c r="AT328" s="281"/>
      <c r="AU328" s="281"/>
      <c r="AV328" s="281"/>
      <c r="AW328" s="281"/>
      <c r="AX328" s="281"/>
      <c r="AY328" s="281"/>
      <c r="AZ328" s="281"/>
    </row>
    <row r="329" spans="1:52" ht="15" customHeight="1" x14ac:dyDescent="0.3">
      <c r="A329" s="294">
        <v>45992</v>
      </c>
      <c r="B329" s="321" t="s">
        <v>47</v>
      </c>
      <c r="C329" s="321" t="s">
        <v>47</v>
      </c>
      <c r="D329" s="294" t="s">
        <v>48</v>
      </c>
      <c r="E329" s="321" t="s">
        <v>61</v>
      </c>
      <c r="F329" s="295">
        <v>17129188</v>
      </c>
      <c r="G329" s="296"/>
      <c r="H329" s="280" t="s">
        <v>84</v>
      </c>
      <c r="I329" s="323" t="s">
        <v>122</v>
      </c>
      <c r="J329" s="323" t="s">
        <v>2579</v>
      </c>
      <c r="K329" s="294">
        <v>46104</v>
      </c>
      <c r="L329" s="294">
        <v>46110</v>
      </c>
      <c r="M329" s="284">
        <f>Table1[[#This Row],[Dep Date]]-Table1[[#This Row],[Arr Date]]</f>
        <v>6</v>
      </c>
      <c r="N329" s="323" t="s">
        <v>65</v>
      </c>
      <c r="O329" s="321">
        <v>1</v>
      </c>
      <c r="P329" s="321">
        <v>1</v>
      </c>
      <c r="Q329" s="321"/>
      <c r="R329" s="321"/>
      <c r="S329" s="321" t="s">
        <v>53</v>
      </c>
      <c r="T329" s="326" t="s">
        <v>1940</v>
      </c>
      <c r="U329" s="297">
        <v>0</v>
      </c>
      <c r="V329" s="294"/>
      <c r="W329" s="297">
        <v>0</v>
      </c>
      <c r="X329" s="294"/>
      <c r="Y329" s="329">
        <f>50*1.6*6-18</f>
        <v>462</v>
      </c>
      <c r="Z329" s="329">
        <v>444</v>
      </c>
      <c r="AA329" s="332">
        <f>Table1[[#This Row],[Selling USD]]-Table1[[#This Row],[Cost USD]]</f>
        <v>-18</v>
      </c>
      <c r="AB329" s="335"/>
      <c r="AC329" s="298"/>
      <c r="AD329" s="299">
        <f>Table1[[#This Row],[Selling EUR]]-Table1[[#This Row],[Cost EUR]]</f>
        <v>0</v>
      </c>
      <c r="AE329" s="321" t="s">
        <v>54</v>
      </c>
      <c r="AF329" s="294">
        <v>46091</v>
      </c>
      <c r="AG329" s="294"/>
      <c r="AH329" s="321"/>
      <c r="AI329" s="323"/>
      <c r="AJ329" s="338"/>
      <c r="AK329" s="323"/>
      <c r="AL329" s="338"/>
      <c r="AM329" s="338"/>
      <c r="AN329" s="323"/>
      <c r="AO329" s="282"/>
      <c r="AP329" s="306"/>
      <c r="AQ329" s="282"/>
      <c r="AR329" s="282"/>
      <c r="AS329" s="282"/>
      <c r="AT329" s="281"/>
      <c r="AU329" s="281"/>
      <c r="AV329" s="281"/>
      <c r="AW329" s="281"/>
      <c r="AX329" s="281"/>
      <c r="AY329" s="281"/>
      <c r="AZ329" s="281"/>
    </row>
    <row r="330" spans="1:52" ht="15" customHeight="1" x14ac:dyDescent="0.3">
      <c r="A330" s="294">
        <v>45992</v>
      </c>
      <c r="B330" s="321" t="s">
        <v>47</v>
      </c>
      <c r="C330" s="321" t="s">
        <v>47</v>
      </c>
      <c r="D330" s="294" t="s">
        <v>79</v>
      </c>
      <c r="E330" s="321" t="s">
        <v>49</v>
      </c>
      <c r="F330" s="295">
        <v>14863965</v>
      </c>
      <c r="G330" s="296">
        <v>20303638</v>
      </c>
      <c r="H330" s="280" t="s">
        <v>50</v>
      </c>
      <c r="I330" s="323" t="s">
        <v>66</v>
      </c>
      <c r="J330" s="323" t="s">
        <v>159</v>
      </c>
      <c r="K330" s="294">
        <v>46010</v>
      </c>
      <c r="L330" s="294">
        <v>46017</v>
      </c>
      <c r="M330" s="284">
        <f>Table1[[#This Row],[Dep Date]]-Table1[[#This Row],[Arr Date]]</f>
        <v>7</v>
      </c>
      <c r="N330" s="323" t="s">
        <v>70</v>
      </c>
      <c r="O330" s="321">
        <v>1</v>
      </c>
      <c r="P330" s="321">
        <v>2</v>
      </c>
      <c r="Q330" s="321"/>
      <c r="R330" s="321"/>
      <c r="S330" s="321" t="s">
        <v>53</v>
      </c>
      <c r="T330" s="326" t="s">
        <v>1941</v>
      </c>
      <c r="U330" s="297">
        <v>0</v>
      </c>
      <c r="V330" s="294"/>
      <c r="W330" s="297">
        <v>0</v>
      </c>
      <c r="X330" s="294"/>
      <c r="Y330" s="329"/>
      <c r="Z330" s="329"/>
      <c r="AA330" s="332">
        <f>Table1[[#This Row],[Selling USD]]-Table1[[#This Row],[Cost USD]]</f>
        <v>0</v>
      </c>
      <c r="AB330" s="335">
        <f>53*3*4+63*3*3</f>
        <v>1203</v>
      </c>
      <c r="AC330" s="298">
        <v>1215.01</v>
      </c>
      <c r="AD330" s="299">
        <f>Table1[[#This Row],[Selling EUR]]-Table1[[#This Row],[Cost EUR]]</f>
        <v>12.009999999999991</v>
      </c>
      <c r="AE330" s="321" t="s">
        <v>54</v>
      </c>
      <c r="AF330" s="294" t="s">
        <v>2271</v>
      </c>
      <c r="AG330" s="294"/>
      <c r="AH330" s="321"/>
      <c r="AI330" s="323"/>
      <c r="AJ330" s="338"/>
      <c r="AK330" s="323"/>
      <c r="AL330" s="338"/>
      <c r="AM330" s="338"/>
      <c r="AN330" s="323"/>
      <c r="AO330" s="282"/>
      <c r="AP330" s="306"/>
      <c r="AQ330" s="282"/>
      <c r="AR330" s="282"/>
      <c r="AS330" s="282"/>
      <c r="AT330" s="281"/>
      <c r="AU330" s="281"/>
      <c r="AV330" s="281"/>
      <c r="AW330" s="281"/>
      <c r="AX330" s="281"/>
      <c r="AY330" s="281"/>
      <c r="AZ330" s="281"/>
    </row>
    <row r="331" spans="1:52" ht="15" customHeight="1" x14ac:dyDescent="0.3">
      <c r="A331" s="294">
        <v>45993</v>
      </c>
      <c r="B331" s="321" t="s">
        <v>73</v>
      </c>
      <c r="C331" s="321" t="s">
        <v>73</v>
      </c>
      <c r="D331" s="294" t="s">
        <v>48</v>
      </c>
      <c r="E331" s="321" t="s">
        <v>49</v>
      </c>
      <c r="F331" s="295">
        <v>17130335</v>
      </c>
      <c r="G331" s="296"/>
      <c r="H331" s="280" t="s">
        <v>50</v>
      </c>
      <c r="I331" s="323" t="s">
        <v>160</v>
      </c>
      <c r="J331" s="323" t="s">
        <v>2585</v>
      </c>
      <c r="K331" s="294">
        <v>46110</v>
      </c>
      <c r="L331" s="294">
        <v>46123</v>
      </c>
      <c r="M331" s="284">
        <f>Table1[[#This Row],[Dep Date]]-Table1[[#This Row],[Arr Date]]</f>
        <v>13</v>
      </c>
      <c r="N331" s="323" t="s">
        <v>52</v>
      </c>
      <c r="O331" s="321">
        <v>1</v>
      </c>
      <c r="P331" s="321">
        <v>2</v>
      </c>
      <c r="Q331" s="321">
        <v>1</v>
      </c>
      <c r="R331" s="321"/>
      <c r="S331" s="321" t="s">
        <v>53</v>
      </c>
      <c r="T331" s="326" t="s">
        <v>1942</v>
      </c>
      <c r="U331" s="297">
        <v>15</v>
      </c>
      <c r="V331" s="294"/>
      <c r="W331" s="297">
        <v>0</v>
      </c>
      <c r="X331" s="294"/>
      <c r="Y331" s="329"/>
      <c r="Z331" s="329"/>
      <c r="AA331" s="332">
        <f>Table1[[#This Row],[Selling USD]]-Table1[[#This Row],[Cost USD]]</f>
        <v>0</v>
      </c>
      <c r="AB331" s="335"/>
      <c r="AC331" s="298"/>
      <c r="AD331" s="299">
        <f>Table1[[#This Row],[Selling EUR]]-Table1[[#This Row],[Cost EUR]]</f>
        <v>0</v>
      </c>
      <c r="AE331" s="321" t="s">
        <v>54</v>
      </c>
      <c r="AF331" s="294"/>
      <c r="AG331" s="294"/>
      <c r="AH331" s="321"/>
      <c r="AI331" s="323"/>
      <c r="AJ331" s="338"/>
      <c r="AK331" s="323"/>
      <c r="AL331" s="338"/>
      <c r="AM331" s="338"/>
      <c r="AN331" s="323"/>
      <c r="AO331" s="282"/>
      <c r="AP331" s="306"/>
      <c r="AQ331" s="282"/>
      <c r="AR331" s="282"/>
      <c r="AS331" s="282"/>
      <c r="AT331" s="281"/>
      <c r="AU331" s="281"/>
      <c r="AV331" s="281"/>
      <c r="AW331" s="281"/>
      <c r="AX331" s="281"/>
      <c r="AY331" s="281"/>
      <c r="AZ331" s="281"/>
    </row>
    <row r="332" spans="1:52" ht="15" customHeight="1" x14ac:dyDescent="0.3">
      <c r="A332" s="294">
        <v>45993</v>
      </c>
      <c r="B332" s="321" t="s">
        <v>73</v>
      </c>
      <c r="C332" s="321" t="s">
        <v>73</v>
      </c>
      <c r="D332" s="294" t="s">
        <v>79</v>
      </c>
      <c r="E332" s="321" t="s">
        <v>106</v>
      </c>
      <c r="F332" s="295">
        <v>14871202</v>
      </c>
      <c r="G332" s="296">
        <v>20303639</v>
      </c>
      <c r="H332" s="280" t="s">
        <v>84</v>
      </c>
      <c r="I332" s="323" t="s">
        <v>123</v>
      </c>
      <c r="J332" s="323" t="s">
        <v>2473</v>
      </c>
      <c r="K332" s="294">
        <v>46048</v>
      </c>
      <c r="L332" s="294">
        <v>46052</v>
      </c>
      <c r="M332" s="284">
        <f>Table1[[#This Row],[Dep Date]]-Table1[[#This Row],[Arr Date]]</f>
        <v>4</v>
      </c>
      <c r="N332" s="323" t="s">
        <v>52</v>
      </c>
      <c r="O332" s="321">
        <v>1</v>
      </c>
      <c r="P332" s="321">
        <v>2</v>
      </c>
      <c r="Q332" s="321"/>
      <c r="R332" s="321">
        <v>1</v>
      </c>
      <c r="S332" s="321" t="s">
        <v>53</v>
      </c>
      <c r="T332" s="326" t="s">
        <v>1943</v>
      </c>
      <c r="U332" s="297">
        <v>1</v>
      </c>
      <c r="V332" s="294">
        <v>45334</v>
      </c>
      <c r="W332" s="297">
        <v>0</v>
      </c>
      <c r="X332" s="294"/>
      <c r="Y332" s="329"/>
      <c r="Z332" s="329"/>
      <c r="AA332" s="332">
        <f>Table1[[#This Row],[Selling USD]]-Table1[[#This Row],[Cost USD]]</f>
        <v>0</v>
      </c>
      <c r="AB332" s="335"/>
      <c r="AC332" s="298"/>
      <c r="AD332" s="299">
        <f>Table1[[#This Row],[Selling EUR]]-Table1[[#This Row],[Cost EUR]]</f>
        <v>0</v>
      </c>
      <c r="AE332" s="321"/>
      <c r="AF332" s="294"/>
      <c r="AG332" s="294"/>
      <c r="AH332" s="321"/>
      <c r="AI332" s="323"/>
      <c r="AJ332" s="338"/>
      <c r="AK332" s="323"/>
      <c r="AL332" s="338"/>
      <c r="AM332" s="338"/>
      <c r="AN332" s="323"/>
      <c r="AO332" s="282"/>
      <c r="AP332" s="306"/>
      <c r="AQ332" s="282"/>
      <c r="AR332" s="282"/>
      <c r="AS332" s="282"/>
      <c r="AT332" s="281"/>
      <c r="AU332" s="281"/>
      <c r="AV332" s="281"/>
      <c r="AW332" s="281"/>
      <c r="AX332" s="281"/>
      <c r="AY332" s="281"/>
      <c r="AZ332" s="281"/>
    </row>
    <row r="333" spans="1:52" ht="15" customHeight="1" x14ac:dyDescent="0.3">
      <c r="A333" s="294">
        <v>45993</v>
      </c>
      <c r="B333" s="321" t="s">
        <v>73</v>
      </c>
      <c r="C333" s="321" t="s">
        <v>73</v>
      </c>
      <c r="D333" s="294" t="s">
        <v>79</v>
      </c>
      <c r="E333" s="321" t="s">
        <v>106</v>
      </c>
      <c r="F333" s="295">
        <v>14872270</v>
      </c>
      <c r="G333" s="296">
        <v>20303640</v>
      </c>
      <c r="H333" s="280" t="s">
        <v>84</v>
      </c>
      <c r="I333" s="323" t="s">
        <v>123</v>
      </c>
      <c r="J333" s="323" t="s">
        <v>1470</v>
      </c>
      <c r="K333" s="294">
        <v>46048</v>
      </c>
      <c r="L333" s="294">
        <v>46052</v>
      </c>
      <c r="M333" s="284">
        <f>Table1[[#This Row],[Dep Date]]-Table1[[#This Row],[Arr Date]]</f>
        <v>4</v>
      </c>
      <c r="N333" s="323" t="s">
        <v>52</v>
      </c>
      <c r="O333" s="321">
        <v>1</v>
      </c>
      <c r="P333" s="321">
        <v>2</v>
      </c>
      <c r="Q333" s="321">
        <v>2</v>
      </c>
      <c r="R333" s="321"/>
      <c r="S333" s="321" t="s">
        <v>53</v>
      </c>
      <c r="T333" s="326" t="s">
        <v>1944</v>
      </c>
      <c r="U333" s="297">
        <v>8</v>
      </c>
      <c r="V333" s="294">
        <v>42778</v>
      </c>
      <c r="W333" s="297">
        <v>4</v>
      </c>
      <c r="X333" s="294">
        <v>44239</v>
      </c>
      <c r="Y333" s="329"/>
      <c r="Z333" s="329"/>
      <c r="AA333" s="332">
        <f>Table1[[#This Row],[Selling USD]]-Table1[[#This Row],[Cost USD]]</f>
        <v>0</v>
      </c>
      <c r="AB333" s="335"/>
      <c r="AC333" s="298"/>
      <c r="AD333" s="299">
        <f>Table1[[#This Row],[Selling EUR]]-Table1[[#This Row],[Cost EUR]]</f>
        <v>0</v>
      </c>
      <c r="AE333" s="321"/>
      <c r="AF333" s="294"/>
      <c r="AG333" s="294"/>
      <c r="AH333" s="321"/>
      <c r="AI333" s="323"/>
      <c r="AJ333" s="338"/>
      <c r="AK333" s="323"/>
      <c r="AL333" s="338"/>
      <c r="AM333" s="338"/>
      <c r="AN333" s="323"/>
      <c r="AO333" s="282"/>
      <c r="AP333" s="306"/>
      <c r="AQ333" s="282"/>
      <c r="AR333" s="282"/>
      <c r="AS333" s="282"/>
      <c r="AT333" s="281"/>
      <c r="AU333" s="281"/>
      <c r="AV333" s="281"/>
      <c r="AW333" s="281"/>
      <c r="AX333" s="281"/>
      <c r="AY333" s="281"/>
      <c r="AZ333" s="281"/>
    </row>
    <row r="334" spans="1:52" ht="15" customHeight="1" x14ac:dyDescent="0.3">
      <c r="A334" s="294">
        <v>45993</v>
      </c>
      <c r="B334" s="321" t="s">
        <v>47</v>
      </c>
      <c r="C334" s="321" t="s">
        <v>47</v>
      </c>
      <c r="D334" s="294" t="s">
        <v>48</v>
      </c>
      <c r="E334" s="321" t="s">
        <v>49</v>
      </c>
      <c r="F334" s="295">
        <v>17132042</v>
      </c>
      <c r="G334" s="296"/>
      <c r="H334" s="280" t="s">
        <v>50</v>
      </c>
      <c r="I334" s="323" t="s">
        <v>77</v>
      </c>
      <c r="J334" s="323" t="s">
        <v>1470</v>
      </c>
      <c r="K334" s="294">
        <v>46015</v>
      </c>
      <c r="L334" s="294">
        <v>46022</v>
      </c>
      <c r="M334" s="284">
        <f>Table1[[#This Row],[Dep Date]]-Table1[[#This Row],[Arr Date]]</f>
        <v>7</v>
      </c>
      <c r="N334" s="323" t="s">
        <v>70</v>
      </c>
      <c r="O334" s="321">
        <v>1</v>
      </c>
      <c r="P334" s="321">
        <v>3</v>
      </c>
      <c r="Q334" s="321">
        <v>1</v>
      </c>
      <c r="R334" s="321"/>
      <c r="S334" s="321" t="s">
        <v>53</v>
      </c>
      <c r="T334" s="326" t="s">
        <v>1945</v>
      </c>
      <c r="U334" s="297">
        <v>10</v>
      </c>
      <c r="V334" s="294"/>
      <c r="W334" s="297">
        <v>0</v>
      </c>
      <c r="X334" s="294"/>
      <c r="Y334" s="329"/>
      <c r="Z334" s="329"/>
      <c r="AA334" s="332">
        <f>Table1[[#This Row],[Selling USD]]-Table1[[#This Row],[Cost USD]]</f>
        <v>0</v>
      </c>
      <c r="AB334" s="335">
        <f>31*3*3+39*3*4+60*3+30</f>
        <v>957</v>
      </c>
      <c r="AC334" s="298">
        <v>999</v>
      </c>
      <c r="AD334" s="299">
        <f>Table1[[#This Row],[Selling EUR]]-Table1[[#This Row],[Cost EUR]]</f>
        <v>42</v>
      </c>
      <c r="AE334" s="321" t="s">
        <v>54</v>
      </c>
      <c r="AF334" s="294" t="s">
        <v>2256</v>
      </c>
      <c r="AG334" s="294"/>
      <c r="AH334" s="321"/>
      <c r="AI334" s="323"/>
      <c r="AJ334" s="338"/>
      <c r="AK334" s="323"/>
      <c r="AL334" s="338"/>
      <c r="AM334" s="338"/>
      <c r="AN334" s="323"/>
      <c r="AO334" s="282"/>
      <c r="AP334" s="306"/>
      <c r="AQ334" s="282"/>
      <c r="AR334" s="282"/>
      <c r="AS334" s="282"/>
      <c r="AT334" s="281"/>
      <c r="AU334" s="281"/>
      <c r="AV334" s="281"/>
      <c r="AW334" s="281"/>
      <c r="AX334" s="281"/>
      <c r="AY334" s="281"/>
      <c r="AZ334" s="281"/>
    </row>
    <row r="335" spans="1:52" ht="15" customHeight="1" x14ac:dyDescent="0.3">
      <c r="A335" s="294">
        <v>45994</v>
      </c>
      <c r="B335" s="321" t="s">
        <v>47</v>
      </c>
      <c r="C335" s="321" t="s">
        <v>47</v>
      </c>
      <c r="D335" s="294" t="s">
        <v>79</v>
      </c>
      <c r="E335" s="321" t="s">
        <v>106</v>
      </c>
      <c r="F335" s="295">
        <v>14883128</v>
      </c>
      <c r="G335" s="296">
        <v>20303641</v>
      </c>
      <c r="H335" s="280" t="s">
        <v>84</v>
      </c>
      <c r="I335" s="323" t="s">
        <v>113</v>
      </c>
      <c r="J335" s="323" t="s">
        <v>1470</v>
      </c>
      <c r="K335" s="294">
        <v>46075</v>
      </c>
      <c r="L335" s="294">
        <v>46082</v>
      </c>
      <c r="M335" s="284">
        <f>Table1[[#This Row],[Dep Date]]-Table1[[#This Row],[Arr Date]]</f>
        <v>7</v>
      </c>
      <c r="N335" s="323" t="s">
        <v>52</v>
      </c>
      <c r="O335" s="321">
        <v>1</v>
      </c>
      <c r="P335" s="321">
        <v>2</v>
      </c>
      <c r="Q335" s="321"/>
      <c r="R335" s="321"/>
      <c r="S335" s="321" t="s">
        <v>53</v>
      </c>
      <c r="T335" s="326" t="s">
        <v>1946</v>
      </c>
      <c r="U335" s="297">
        <v>0</v>
      </c>
      <c r="V335" s="294"/>
      <c r="W335" s="297">
        <v>0</v>
      </c>
      <c r="X335" s="294"/>
      <c r="Y335" s="329">
        <f>190*2*0.55*7</f>
        <v>1463.0000000000002</v>
      </c>
      <c r="Z335" s="329">
        <v>1477.63</v>
      </c>
      <c r="AA335" s="332">
        <f>Table1[[#This Row],[Selling USD]]-Table1[[#This Row],[Cost USD]]</f>
        <v>14.629999999999882</v>
      </c>
      <c r="AB335" s="335"/>
      <c r="AC335" s="298"/>
      <c r="AD335" s="299">
        <f>Table1[[#This Row],[Selling EUR]]-Table1[[#This Row],[Cost EUR]]</f>
        <v>0</v>
      </c>
      <c r="AE335" s="321" t="s">
        <v>54</v>
      </c>
      <c r="AF335" s="294" t="s">
        <v>2269</v>
      </c>
      <c r="AG335" s="294"/>
      <c r="AH335" s="321"/>
      <c r="AI335" s="323"/>
      <c r="AJ335" s="338"/>
      <c r="AK335" s="323"/>
      <c r="AL335" s="338"/>
      <c r="AM335" s="338"/>
      <c r="AN335" s="323"/>
      <c r="AO335" s="282"/>
      <c r="AP335" s="306"/>
      <c r="AQ335" s="282"/>
      <c r="AR335" s="282"/>
      <c r="AS335" s="282"/>
      <c r="AT335" s="281"/>
      <c r="AU335" s="281"/>
      <c r="AV335" s="281"/>
      <c r="AW335" s="281"/>
      <c r="AX335" s="281"/>
      <c r="AY335" s="281"/>
      <c r="AZ335" s="281"/>
    </row>
    <row r="336" spans="1:52" ht="15" customHeight="1" x14ac:dyDescent="0.3">
      <c r="A336" s="294">
        <v>46134</v>
      </c>
      <c r="B336" s="321" t="s">
        <v>47</v>
      </c>
      <c r="C336" s="321" t="s">
        <v>47</v>
      </c>
      <c r="D336" s="294" t="s">
        <v>48</v>
      </c>
      <c r="E336" s="321" t="s">
        <v>49</v>
      </c>
      <c r="F336" s="295">
        <v>17540465</v>
      </c>
      <c r="G336" s="296"/>
      <c r="H336" s="280" t="s">
        <v>50</v>
      </c>
      <c r="I336" s="323" t="s">
        <v>82</v>
      </c>
      <c r="J336" s="323" t="s">
        <v>2586</v>
      </c>
      <c r="K336" s="294">
        <v>46158.041666666599</v>
      </c>
      <c r="L336" s="294">
        <v>46165.041666666599</v>
      </c>
      <c r="M336" s="284">
        <f>Table1[[#This Row],[Dep Date]]-Table1[[#This Row],[Arr Date]]</f>
        <v>7</v>
      </c>
      <c r="N336" s="323" t="s">
        <v>65</v>
      </c>
      <c r="O336" s="321">
        <v>1</v>
      </c>
      <c r="P336" s="321">
        <v>1</v>
      </c>
      <c r="Q336" s="321">
        <v>1</v>
      </c>
      <c r="R336" s="321"/>
      <c r="S336" s="321" t="s">
        <v>53</v>
      </c>
      <c r="T336" s="326" t="s">
        <v>1947</v>
      </c>
      <c r="U336" s="297">
        <v>10</v>
      </c>
      <c r="V336" s="294"/>
      <c r="W336" s="297"/>
      <c r="X336" s="294"/>
      <c r="Y336" s="329"/>
      <c r="Z336" s="329"/>
      <c r="AA336" s="332">
        <f>Table1[[#This Row],[Selling USD]]-Table1[[#This Row],[Cost USD]]</f>
        <v>0</v>
      </c>
      <c r="AB336" s="335">
        <f>166*0.67*7</f>
        <v>778.54000000000008</v>
      </c>
      <c r="AC336" s="298">
        <v>796.13</v>
      </c>
      <c r="AD336" s="299">
        <f>Table1[[#This Row],[Selling EUR]]-Table1[[#This Row],[Cost EUR]]</f>
        <v>17.589999999999918</v>
      </c>
      <c r="AE336" s="321" t="s">
        <v>54</v>
      </c>
      <c r="AF336" s="294">
        <v>46145.041666666599</v>
      </c>
      <c r="AG336" s="294" t="s">
        <v>2413</v>
      </c>
      <c r="AH336" s="321"/>
      <c r="AI336" s="323"/>
      <c r="AJ336" s="338"/>
      <c r="AK336" s="323"/>
      <c r="AL336" s="338"/>
      <c r="AM336" s="338"/>
      <c r="AN336" s="323"/>
      <c r="AO336" s="282"/>
      <c r="AP336" s="306"/>
      <c r="AQ336" s="282"/>
      <c r="AR336" s="282"/>
      <c r="AS336" s="282"/>
      <c r="AT336" s="281"/>
      <c r="AU336" s="281"/>
      <c r="AV336" s="281"/>
      <c r="AW336" s="281"/>
      <c r="AX336" s="281"/>
      <c r="AY336" s="281"/>
      <c r="AZ336" s="281"/>
    </row>
    <row r="337" spans="1:52" ht="15" customHeight="1" x14ac:dyDescent="0.3">
      <c r="A337" s="294">
        <v>45996</v>
      </c>
      <c r="B337" s="321" t="s">
        <v>73</v>
      </c>
      <c r="C337" s="321" t="s">
        <v>73</v>
      </c>
      <c r="D337" s="294" t="s">
        <v>79</v>
      </c>
      <c r="E337" s="321" t="s">
        <v>61</v>
      </c>
      <c r="F337" s="295">
        <v>14919028</v>
      </c>
      <c r="G337" s="296">
        <v>20303642</v>
      </c>
      <c r="H337" s="280" t="s">
        <v>84</v>
      </c>
      <c r="I337" s="323" t="s">
        <v>113</v>
      </c>
      <c r="J337" s="323" t="s">
        <v>2561</v>
      </c>
      <c r="K337" s="294">
        <v>46067</v>
      </c>
      <c r="L337" s="294">
        <v>46074</v>
      </c>
      <c r="M337" s="284">
        <f>Table1[[#This Row],[Dep Date]]-Table1[[#This Row],[Arr Date]]</f>
        <v>7</v>
      </c>
      <c r="N337" s="323" t="s">
        <v>70</v>
      </c>
      <c r="O337" s="321">
        <v>1</v>
      </c>
      <c r="P337" s="321">
        <v>3</v>
      </c>
      <c r="Q337" s="321">
        <v>1</v>
      </c>
      <c r="R337" s="321"/>
      <c r="S337" s="321" t="s">
        <v>53</v>
      </c>
      <c r="T337" s="326" t="s">
        <v>1948</v>
      </c>
      <c r="U337" s="297">
        <v>8</v>
      </c>
      <c r="V337" s="294"/>
      <c r="W337" s="297">
        <v>0</v>
      </c>
      <c r="X337" s="294"/>
      <c r="Y337" s="329"/>
      <c r="Z337" s="329"/>
      <c r="AA337" s="332">
        <f>Table1[[#This Row],[Selling USD]]-Table1[[#This Row],[Cost USD]]</f>
        <v>0</v>
      </c>
      <c r="AB337" s="335"/>
      <c r="AC337" s="298"/>
      <c r="AD337" s="299">
        <f>Table1[[#This Row],[Selling EUR]]-Table1[[#This Row],[Cost EUR]]</f>
        <v>0</v>
      </c>
      <c r="AE337" s="321"/>
      <c r="AF337" s="294"/>
      <c r="AG337" s="294"/>
      <c r="AH337" s="321"/>
      <c r="AI337" s="323"/>
      <c r="AJ337" s="338"/>
      <c r="AK337" s="323"/>
      <c r="AL337" s="338"/>
      <c r="AM337" s="338"/>
      <c r="AN337" s="323"/>
      <c r="AO337" s="282"/>
      <c r="AP337" s="306"/>
      <c r="AQ337" s="282"/>
      <c r="AR337" s="282"/>
      <c r="AS337" s="282"/>
      <c r="AT337" s="281"/>
      <c r="AU337" s="281"/>
      <c r="AV337" s="281"/>
      <c r="AW337" s="281"/>
      <c r="AX337" s="281"/>
      <c r="AY337" s="281"/>
      <c r="AZ337" s="281"/>
    </row>
    <row r="338" spans="1:52" ht="15" customHeight="1" x14ac:dyDescent="0.3">
      <c r="A338" s="294">
        <v>45997</v>
      </c>
      <c r="B338" s="321" t="s">
        <v>73</v>
      </c>
      <c r="C338" s="321" t="s">
        <v>73</v>
      </c>
      <c r="D338" s="294" t="s">
        <v>79</v>
      </c>
      <c r="E338" s="321" t="s">
        <v>83</v>
      </c>
      <c r="F338" s="295">
        <v>14930334</v>
      </c>
      <c r="G338" s="296" t="s">
        <v>1610</v>
      </c>
      <c r="H338" s="280" t="s">
        <v>84</v>
      </c>
      <c r="I338" s="323" t="s">
        <v>85</v>
      </c>
      <c r="J338" s="323" t="s">
        <v>2450</v>
      </c>
      <c r="K338" s="294">
        <v>46087</v>
      </c>
      <c r="L338" s="294">
        <v>46096</v>
      </c>
      <c r="M338" s="284">
        <f>Table1[[#This Row],[Dep Date]]-Table1[[#This Row],[Arr Date]]</f>
        <v>9</v>
      </c>
      <c r="N338" s="323" t="s">
        <v>52</v>
      </c>
      <c r="O338" s="321">
        <v>1</v>
      </c>
      <c r="P338" s="321">
        <v>2</v>
      </c>
      <c r="Q338" s="321">
        <v>2</v>
      </c>
      <c r="R338" s="321"/>
      <c r="S338" s="321" t="s">
        <v>53</v>
      </c>
      <c r="T338" s="326" t="s">
        <v>2587</v>
      </c>
      <c r="U338" s="297">
        <v>7</v>
      </c>
      <c r="V338" s="294"/>
      <c r="W338" s="297">
        <v>1</v>
      </c>
      <c r="X338" s="294"/>
      <c r="Y338" s="329"/>
      <c r="Z338" s="329"/>
      <c r="AA338" s="332">
        <f>Table1[[#This Row],[Selling USD]]-Table1[[#This Row],[Cost USD]]</f>
        <v>0</v>
      </c>
      <c r="AB338" s="335"/>
      <c r="AC338" s="298"/>
      <c r="AD338" s="299">
        <f>Table1[[#This Row],[Selling EUR]]-Table1[[#This Row],[Cost EUR]]</f>
        <v>0</v>
      </c>
      <c r="AE338" s="321"/>
      <c r="AF338" s="294"/>
      <c r="AG338" s="294"/>
      <c r="AH338" s="321"/>
      <c r="AI338" s="323"/>
      <c r="AJ338" s="338"/>
      <c r="AK338" s="323"/>
      <c r="AL338" s="338"/>
      <c r="AM338" s="338"/>
      <c r="AN338" s="323"/>
      <c r="AO338" s="282"/>
      <c r="AP338" s="306"/>
      <c r="AQ338" s="282"/>
      <c r="AR338" s="282"/>
      <c r="AS338" s="282"/>
      <c r="AT338" s="281"/>
      <c r="AU338" s="281"/>
      <c r="AV338" s="281"/>
      <c r="AW338" s="281"/>
      <c r="AX338" s="281"/>
      <c r="AY338" s="281"/>
      <c r="AZ338" s="281"/>
    </row>
    <row r="339" spans="1:52" ht="15" customHeight="1" x14ac:dyDescent="0.3">
      <c r="A339" s="294">
        <v>45986</v>
      </c>
      <c r="B339" s="321" t="s">
        <v>73</v>
      </c>
      <c r="C339" s="321" t="s">
        <v>73</v>
      </c>
      <c r="D339" s="294" t="s">
        <v>79</v>
      </c>
      <c r="E339" s="321" t="s">
        <v>83</v>
      </c>
      <c r="F339" s="295">
        <v>14773569</v>
      </c>
      <c r="G339" s="296">
        <v>20303623</v>
      </c>
      <c r="H339" s="280" t="s">
        <v>84</v>
      </c>
      <c r="I339" s="323" t="s">
        <v>85</v>
      </c>
      <c r="J339" s="323" t="s">
        <v>2588</v>
      </c>
      <c r="K339" s="294">
        <v>46118</v>
      </c>
      <c r="L339" s="294">
        <v>46123</v>
      </c>
      <c r="M339" s="284">
        <f>Table1[[#This Row],[Dep Date]]-Table1[[#This Row],[Arr Date]]</f>
        <v>5</v>
      </c>
      <c r="N339" s="323" t="s">
        <v>70</v>
      </c>
      <c r="O339" s="321">
        <v>1</v>
      </c>
      <c r="P339" s="321">
        <v>3</v>
      </c>
      <c r="Q339" s="321"/>
      <c r="R339" s="321"/>
      <c r="S339" s="321" t="s">
        <v>53</v>
      </c>
      <c r="T339" s="326" t="s">
        <v>1949</v>
      </c>
      <c r="U339" s="297">
        <v>0</v>
      </c>
      <c r="V339" s="294"/>
      <c r="W339" s="297">
        <v>0</v>
      </c>
      <c r="X339" s="294"/>
      <c r="Y339" s="329"/>
      <c r="Z339" s="329"/>
      <c r="AA339" s="332">
        <f>Table1[[#This Row],[Selling USD]]-Table1[[#This Row],[Cost USD]]</f>
        <v>0</v>
      </c>
      <c r="AB339" s="335"/>
      <c r="AC339" s="298"/>
      <c r="AD339" s="299">
        <f>Table1[[#This Row],[Selling EUR]]-Table1[[#This Row],[Cost EUR]]</f>
        <v>0</v>
      </c>
      <c r="AE339" s="321"/>
      <c r="AF339" s="294"/>
      <c r="AG339" s="294"/>
      <c r="AH339" s="321"/>
      <c r="AI339" s="323"/>
      <c r="AJ339" s="338"/>
      <c r="AK339" s="323"/>
      <c r="AL339" s="338"/>
      <c r="AM339" s="338"/>
      <c r="AN339" s="323"/>
      <c r="AO339" s="282"/>
      <c r="AP339" s="306"/>
      <c r="AQ339" s="282"/>
      <c r="AR339" s="282"/>
      <c r="AS339" s="282"/>
      <c r="AT339" s="281"/>
      <c r="AU339" s="281"/>
      <c r="AV339" s="281"/>
      <c r="AW339" s="281"/>
      <c r="AX339" s="281"/>
      <c r="AY339" s="281"/>
      <c r="AZ339" s="281"/>
    </row>
    <row r="340" spans="1:52" ht="15" customHeight="1" x14ac:dyDescent="0.3">
      <c r="A340" s="294">
        <v>45998</v>
      </c>
      <c r="B340" s="321" t="s">
        <v>47</v>
      </c>
      <c r="C340" s="321" t="s">
        <v>47</v>
      </c>
      <c r="D340" s="294" t="s">
        <v>79</v>
      </c>
      <c r="E340" s="321" t="s">
        <v>138</v>
      </c>
      <c r="F340" s="295">
        <v>14938227</v>
      </c>
      <c r="G340" s="296">
        <v>20303644</v>
      </c>
      <c r="H340" s="280" t="s">
        <v>58</v>
      </c>
      <c r="I340" s="323" t="s">
        <v>144</v>
      </c>
      <c r="J340" s="323" t="s">
        <v>2582</v>
      </c>
      <c r="K340" s="294">
        <v>46017</v>
      </c>
      <c r="L340" s="294">
        <v>46022</v>
      </c>
      <c r="M340" s="284">
        <f>Table1[[#This Row],[Dep Date]]-Table1[[#This Row],[Arr Date]]</f>
        <v>5</v>
      </c>
      <c r="N340" s="323" t="s">
        <v>52</v>
      </c>
      <c r="O340" s="321">
        <v>1</v>
      </c>
      <c r="P340" s="321">
        <v>2</v>
      </c>
      <c r="Q340" s="321"/>
      <c r="R340" s="321"/>
      <c r="S340" s="321" t="s">
        <v>53</v>
      </c>
      <c r="T340" s="326" t="s">
        <v>1950</v>
      </c>
      <c r="U340" s="297"/>
      <c r="V340" s="294"/>
      <c r="W340" s="297"/>
      <c r="X340" s="294"/>
      <c r="Y340" s="329"/>
      <c r="Z340" s="329"/>
      <c r="AA340" s="332">
        <f>Table1[[#This Row],[Selling USD]]-Table1[[#This Row],[Cost USD]]</f>
        <v>0</v>
      </c>
      <c r="AB340" s="335">
        <f>95*2*5</f>
        <v>950</v>
      </c>
      <c r="AC340" s="298">
        <v>960</v>
      </c>
      <c r="AD340" s="299">
        <f>Table1[[#This Row],[Selling EUR]]-Table1[[#This Row],[Cost EUR]]</f>
        <v>10</v>
      </c>
      <c r="AE340" s="321" t="s">
        <v>54</v>
      </c>
      <c r="AF340" s="294" t="s">
        <v>2256</v>
      </c>
      <c r="AG340" s="294"/>
      <c r="AH340" s="321"/>
      <c r="AI340" s="323"/>
      <c r="AJ340" s="338"/>
      <c r="AK340" s="323"/>
      <c r="AL340" s="338"/>
      <c r="AM340" s="338"/>
      <c r="AN340" s="323"/>
      <c r="AO340" s="282"/>
      <c r="AP340" s="306"/>
      <c r="AQ340" s="282"/>
      <c r="AR340" s="282"/>
      <c r="AS340" s="282"/>
      <c r="AT340" s="281"/>
      <c r="AU340" s="281"/>
      <c r="AV340" s="281"/>
      <c r="AW340" s="281"/>
      <c r="AX340" s="281"/>
      <c r="AY340" s="281"/>
      <c r="AZ340" s="281"/>
    </row>
    <row r="341" spans="1:52" ht="15" customHeight="1" x14ac:dyDescent="0.3">
      <c r="A341" s="294">
        <v>45998</v>
      </c>
      <c r="B341" s="321" t="s">
        <v>47</v>
      </c>
      <c r="C341" s="321" t="s">
        <v>47</v>
      </c>
      <c r="D341" s="294" t="s">
        <v>48</v>
      </c>
      <c r="E341" s="321" t="s">
        <v>49</v>
      </c>
      <c r="F341" s="295">
        <v>17143174</v>
      </c>
      <c r="G341" s="296"/>
      <c r="H341" s="280" t="s">
        <v>50</v>
      </c>
      <c r="I341" s="323" t="s">
        <v>88</v>
      </c>
      <c r="J341" s="323" t="s">
        <v>2433</v>
      </c>
      <c r="K341" s="294">
        <v>46120</v>
      </c>
      <c r="L341" s="294">
        <v>46130</v>
      </c>
      <c r="M341" s="284">
        <f>Table1[[#This Row],[Dep Date]]-Table1[[#This Row],[Arr Date]]</f>
        <v>10</v>
      </c>
      <c r="N341" s="323" t="s">
        <v>52</v>
      </c>
      <c r="O341" s="321">
        <v>1</v>
      </c>
      <c r="P341" s="321">
        <v>2</v>
      </c>
      <c r="Q341" s="321">
        <v>2</v>
      </c>
      <c r="R341" s="321"/>
      <c r="S341" s="321" t="s">
        <v>53</v>
      </c>
      <c r="T341" s="326" t="s">
        <v>1951</v>
      </c>
      <c r="U341" s="297">
        <v>7</v>
      </c>
      <c r="V341" s="294"/>
      <c r="W341" s="297">
        <v>3</v>
      </c>
      <c r="X341" s="294"/>
      <c r="Y341" s="329"/>
      <c r="Z341" s="329"/>
      <c r="AA341" s="332">
        <f>Table1[[#This Row],[Selling USD]]-Table1[[#This Row],[Cost USD]]</f>
        <v>0</v>
      </c>
      <c r="AB341" s="335">
        <f>110*2.5*0.81*1+110*2.5*0.7*9+30*2+15</f>
        <v>2030.25</v>
      </c>
      <c r="AC341" s="298">
        <v>2455</v>
      </c>
      <c r="AD341" s="299">
        <f>Table1[[#This Row],[Selling EUR]]-Table1[[#This Row],[Cost EUR]]</f>
        <v>424.75</v>
      </c>
      <c r="AE341" s="321" t="s">
        <v>54</v>
      </c>
      <c r="AF341" s="294">
        <v>46113</v>
      </c>
      <c r="AG341" s="294"/>
      <c r="AH341" s="321"/>
      <c r="AI341" s="323"/>
      <c r="AJ341" s="338"/>
      <c r="AK341" s="323"/>
      <c r="AL341" s="338"/>
      <c r="AM341" s="338"/>
      <c r="AN341" s="323"/>
      <c r="AO341" s="282"/>
      <c r="AP341" s="306"/>
      <c r="AQ341" s="282"/>
      <c r="AR341" s="282"/>
      <c r="AS341" s="282"/>
      <c r="AT341" s="281"/>
      <c r="AU341" s="281"/>
      <c r="AV341" s="281"/>
      <c r="AW341" s="281"/>
      <c r="AX341" s="281"/>
      <c r="AY341" s="281"/>
      <c r="AZ341" s="281"/>
    </row>
    <row r="342" spans="1:52" ht="15" customHeight="1" x14ac:dyDescent="0.3">
      <c r="A342" s="294">
        <v>45999</v>
      </c>
      <c r="B342" s="321" t="s">
        <v>47</v>
      </c>
      <c r="C342" s="321" t="s">
        <v>47</v>
      </c>
      <c r="D342" s="294" t="s">
        <v>79</v>
      </c>
      <c r="E342" s="321" t="s">
        <v>106</v>
      </c>
      <c r="F342" s="295">
        <v>14948795</v>
      </c>
      <c r="G342" s="296">
        <v>20303645</v>
      </c>
      <c r="H342" s="280" t="s">
        <v>84</v>
      </c>
      <c r="I342" s="323" t="s">
        <v>129</v>
      </c>
      <c r="J342" s="323" t="s">
        <v>2570</v>
      </c>
      <c r="K342" s="294">
        <v>46078</v>
      </c>
      <c r="L342" s="294">
        <v>46085</v>
      </c>
      <c r="M342" s="284">
        <f>Table1[[#This Row],[Dep Date]]-Table1[[#This Row],[Arr Date]]</f>
        <v>7</v>
      </c>
      <c r="N342" s="323" t="s">
        <v>52</v>
      </c>
      <c r="O342" s="321">
        <v>1</v>
      </c>
      <c r="P342" s="321">
        <v>2</v>
      </c>
      <c r="Q342" s="321"/>
      <c r="R342" s="321"/>
      <c r="S342" s="321" t="s">
        <v>53</v>
      </c>
      <c r="T342" s="326" t="s">
        <v>1952</v>
      </c>
      <c r="U342" s="297">
        <v>0</v>
      </c>
      <c r="V342" s="294"/>
      <c r="W342" s="297">
        <v>0</v>
      </c>
      <c r="X342" s="294"/>
      <c r="Y342" s="329">
        <f>40*2*7</f>
        <v>560</v>
      </c>
      <c r="Z342" s="329">
        <v>644</v>
      </c>
      <c r="AA342" s="332">
        <f>Table1[[#This Row],[Selling USD]]-Table1[[#This Row],[Cost USD]]</f>
        <v>84</v>
      </c>
      <c r="AB342" s="335"/>
      <c r="AC342" s="298"/>
      <c r="AD342" s="299">
        <f>Table1[[#This Row],[Selling EUR]]-Table1[[#This Row],[Cost EUR]]</f>
        <v>0</v>
      </c>
      <c r="AE342" s="321" t="s">
        <v>54</v>
      </c>
      <c r="AF342" s="294" t="s">
        <v>2272</v>
      </c>
      <c r="AG342" s="294"/>
      <c r="AH342" s="321"/>
      <c r="AI342" s="323"/>
      <c r="AJ342" s="338"/>
      <c r="AK342" s="323"/>
      <c r="AL342" s="338"/>
      <c r="AM342" s="338"/>
      <c r="AN342" s="323"/>
      <c r="AO342" s="282"/>
      <c r="AP342" s="306"/>
      <c r="AQ342" s="282"/>
      <c r="AR342" s="282"/>
      <c r="AS342" s="282"/>
      <c r="AT342" s="281"/>
      <c r="AU342" s="281"/>
      <c r="AV342" s="281"/>
      <c r="AW342" s="281"/>
      <c r="AX342" s="281"/>
      <c r="AY342" s="281"/>
      <c r="AZ342" s="281"/>
    </row>
    <row r="343" spans="1:52" ht="15" customHeight="1" x14ac:dyDescent="0.3">
      <c r="A343" s="294">
        <v>45999</v>
      </c>
      <c r="B343" s="321" t="s">
        <v>47</v>
      </c>
      <c r="C343" s="321" t="s">
        <v>47</v>
      </c>
      <c r="D343" s="294" t="s">
        <v>79</v>
      </c>
      <c r="E343" s="321" t="s">
        <v>106</v>
      </c>
      <c r="F343" s="295">
        <v>14952999</v>
      </c>
      <c r="G343" s="296">
        <v>20303646</v>
      </c>
      <c r="H343" s="280" t="s">
        <v>84</v>
      </c>
      <c r="I343" s="323" t="s">
        <v>114</v>
      </c>
      <c r="J343" s="323" t="s">
        <v>1402</v>
      </c>
      <c r="K343" s="294">
        <v>46031</v>
      </c>
      <c r="L343" s="294">
        <v>46039</v>
      </c>
      <c r="M343" s="284">
        <f>Table1[[#This Row],[Dep Date]]-Table1[[#This Row],[Arr Date]]</f>
        <v>8</v>
      </c>
      <c r="N343" s="323" t="s">
        <v>65</v>
      </c>
      <c r="O343" s="321">
        <v>1</v>
      </c>
      <c r="P343" s="321">
        <v>1</v>
      </c>
      <c r="Q343" s="321">
        <v>2</v>
      </c>
      <c r="R343" s="321"/>
      <c r="S343" s="321" t="s">
        <v>53</v>
      </c>
      <c r="T343" s="326" t="s">
        <v>1953</v>
      </c>
      <c r="U343" s="297">
        <v>0</v>
      </c>
      <c r="V343" s="294"/>
      <c r="W343" s="297">
        <v>0</v>
      </c>
      <c r="X343" s="294"/>
      <c r="Y343" s="329">
        <f>47*1.6*8</f>
        <v>601.6</v>
      </c>
      <c r="Z343" s="329">
        <v>607.62</v>
      </c>
      <c r="AA343" s="332">
        <f>Table1[[#This Row],[Selling USD]]-Table1[[#This Row],[Cost USD]]</f>
        <v>6.0199999999999818</v>
      </c>
      <c r="AB343" s="335"/>
      <c r="AC343" s="298"/>
      <c r="AD343" s="299">
        <f>Table1[[#This Row],[Selling EUR]]-Table1[[#This Row],[Cost EUR]]</f>
        <v>0</v>
      </c>
      <c r="AE343" s="321" t="s">
        <v>54</v>
      </c>
      <c r="AF343" s="294">
        <v>46022</v>
      </c>
      <c r="AG343" s="294"/>
      <c r="AH343" s="321"/>
      <c r="AI343" s="323"/>
      <c r="AJ343" s="338"/>
      <c r="AK343" s="323"/>
      <c r="AL343" s="338"/>
      <c r="AM343" s="338"/>
      <c r="AN343" s="323"/>
      <c r="AO343" s="282"/>
      <c r="AP343" s="306"/>
      <c r="AQ343" s="282"/>
      <c r="AR343" s="282"/>
      <c r="AS343" s="282"/>
      <c r="AT343" s="281"/>
      <c r="AU343" s="281"/>
      <c r="AV343" s="281"/>
      <c r="AW343" s="281"/>
      <c r="AX343" s="281"/>
      <c r="AY343" s="281"/>
      <c r="AZ343" s="281"/>
    </row>
    <row r="344" spans="1:52" ht="15" customHeight="1" x14ac:dyDescent="0.3">
      <c r="A344" s="294">
        <v>46000</v>
      </c>
      <c r="B344" s="321" t="s">
        <v>73</v>
      </c>
      <c r="C344" s="321" t="s">
        <v>73</v>
      </c>
      <c r="D344" s="294" t="s">
        <v>48</v>
      </c>
      <c r="E344" s="321" t="s">
        <v>49</v>
      </c>
      <c r="F344" s="295">
        <v>17146257</v>
      </c>
      <c r="G344" s="296"/>
      <c r="H344" s="280" t="s">
        <v>50</v>
      </c>
      <c r="I344" s="323" t="s">
        <v>82</v>
      </c>
      <c r="J344" s="323" t="s">
        <v>161</v>
      </c>
      <c r="K344" s="294">
        <v>46266</v>
      </c>
      <c r="L344" s="294">
        <v>46275</v>
      </c>
      <c r="M344" s="284">
        <f>Table1[[#This Row],[Dep Date]]-Table1[[#This Row],[Arr Date]]</f>
        <v>9</v>
      </c>
      <c r="N344" s="323" t="s">
        <v>52</v>
      </c>
      <c r="O344" s="321">
        <v>1</v>
      </c>
      <c r="P344" s="321">
        <v>2</v>
      </c>
      <c r="Q344" s="321"/>
      <c r="R344" s="321"/>
      <c r="S344" s="321" t="s">
        <v>53</v>
      </c>
      <c r="T344" s="326" t="s">
        <v>1954</v>
      </c>
      <c r="U344" s="297">
        <v>0</v>
      </c>
      <c r="V344" s="294"/>
      <c r="W344" s="297">
        <v>0</v>
      </c>
      <c r="X344" s="294"/>
      <c r="Y344" s="329"/>
      <c r="Z344" s="329"/>
      <c r="AA344" s="332">
        <f>Table1[[#This Row],[Selling USD]]-Table1[[#This Row],[Cost USD]]</f>
        <v>0</v>
      </c>
      <c r="AB344" s="335"/>
      <c r="AC344" s="298"/>
      <c r="AD344" s="299">
        <f>Table1[[#This Row],[Selling EUR]]-Table1[[#This Row],[Cost EUR]]</f>
        <v>0</v>
      </c>
      <c r="AE344" s="321"/>
      <c r="AF344" s="294"/>
      <c r="AG344" s="294"/>
      <c r="AH344" s="321"/>
      <c r="AI344" s="323"/>
      <c r="AJ344" s="338"/>
      <c r="AK344" s="323"/>
      <c r="AL344" s="338"/>
      <c r="AM344" s="338"/>
      <c r="AN344" s="323"/>
      <c r="AO344" s="282"/>
      <c r="AP344" s="306"/>
      <c r="AQ344" s="282"/>
      <c r="AR344" s="282"/>
      <c r="AS344" s="282"/>
      <c r="AT344" s="281"/>
      <c r="AU344" s="281"/>
      <c r="AV344" s="281"/>
      <c r="AW344" s="281"/>
      <c r="AX344" s="281"/>
      <c r="AY344" s="281"/>
      <c r="AZ344" s="281"/>
    </row>
    <row r="345" spans="1:52" ht="15" customHeight="1" x14ac:dyDescent="0.3">
      <c r="A345" s="294">
        <v>46000</v>
      </c>
      <c r="B345" s="321" t="s">
        <v>47</v>
      </c>
      <c r="C345" s="321" t="s">
        <v>47</v>
      </c>
      <c r="D345" s="294" t="s">
        <v>48</v>
      </c>
      <c r="E345" s="321" t="s">
        <v>49</v>
      </c>
      <c r="F345" s="295">
        <v>17146442</v>
      </c>
      <c r="G345" s="296"/>
      <c r="H345" s="280" t="s">
        <v>58</v>
      </c>
      <c r="I345" s="323" t="s">
        <v>62</v>
      </c>
      <c r="J345" s="323" t="s">
        <v>72</v>
      </c>
      <c r="K345" s="294">
        <v>46060</v>
      </c>
      <c r="L345" s="294">
        <v>46067</v>
      </c>
      <c r="M345" s="284">
        <f>Table1[[#This Row],[Dep Date]]-Table1[[#This Row],[Arr Date]]</f>
        <v>7</v>
      </c>
      <c r="N345" s="323" t="s">
        <v>52</v>
      </c>
      <c r="O345" s="321">
        <v>1</v>
      </c>
      <c r="P345" s="321">
        <v>2</v>
      </c>
      <c r="Q345" s="321"/>
      <c r="R345" s="321"/>
      <c r="S345" s="321" t="s">
        <v>53</v>
      </c>
      <c r="T345" s="326" t="s">
        <v>1955</v>
      </c>
      <c r="U345" s="297">
        <v>0</v>
      </c>
      <c r="V345" s="294"/>
      <c r="W345" s="297">
        <v>0</v>
      </c>
      <c r="X345" s="294"/>
      <c r="Y345" s="329"/>
      <c r="Z345" s="329"/>
      <c r="AA345" s="332">
        <f>Table1[[#This Row],[Selling USD]]-Table1[[#This Row],[Cost USD]]</f>
        <v>0</v>
      </c>
      <c r="AB345" s="335">
        <f>46*2*7</f>
        <v>644</v>
      </c>
      <c r="AC345" s="298">
        <v>672</v>
      </c>
      <c r="AD345" s="299">
        <f>Table1[[#This Row],[Selling EUR]]-Table1[[#This Row],[Cost EUR]]</f>
        <v>28</v>
      </c>
      <c r="AE345" s="321" t="s">
        <v>54</v>
      </c>
      <c r="AF345" s="294">
        <v>46055</v>
      </c>
      <c r="AG345" s="294"/>
      <c r="AH345" s="321"/>
      <c r="AI345" s="323"/>
      <c r="AJ345" s="338"/>
      <c r="AK345" s="323"/>
      <c r="AL345" s="338"/>
      <c r="AM345" s="338"/>
      <c r="AN345" s="323"/>
      <c r="AO345" s="282"/>
      <c r="AP345" s="306"/>
      <c r="AQ345" s="282"/>
      <c r="AR345" s="282"/>
      <c r="AS345" s="282"/>
      <c r="AT345" s="281"/>
      <c r="AU345" s="281"/>
      <c r="AV345" s="281"/>
      <c r="AW345" s="281"/>
      <c r="AX345" s="281"/>
      <c r="AY345" s="281"/>
      <c r="AZ345" s="281"/>
    </row>
    <row r="346" spans="1:52" ht="15" customHeight="1" x14ac:dyDescent="0.3">
      <c r="A346" s="294">
        <v>46000</v>
      </c>
      <c r="B346" s="321" t="s">
        <v>47</v>
      </c>
      <c r="C346" s="321" t="s">
        <v>47</v>
      </c>
      <c r="D346" s="294" t="s">
        <v>48</v>
      </c>
      <c r="E346" s="321" t="s">
        <v>49</v>
      </c>
      <c r="F346" s="295">
        <v>17146876</v>
      </c>
      <c r="G346" s="296"/>
      <c r="H346" s="280" t="s">
        <v>50</v>
      </c>
      <c r="I346" s="323" t="s">
        <v>57</v>
      </c>
      <c r="J346" s="323" t="s">
        <v>2433</v>
      </c>
      <c r="K346" s="294">
        <v>46008</v>
      </c>
      <c r="L346" s="294">
        <v>46015</v>
      </c>
      <c r="M346" s="284">
        <f>Table1[[#This Row],[Dep Date]]-Table1[[#This Row],[Arr Date]]</f>
        <v>7</v>
      </c>
      <c r="N346" s="323" t="s">
        <v>52</v>
      </c>
      <c r="O346" s="321">
        <v>2</v>
      </c>
      <c r="P346" s="321">
        <v>4</v>
      </c>
      <c r="Q346" s="321"/>
      <c r="R346" s="321"/>
      <c r="S346" s="321" t="s">
        <v>53</v>
      </c>
      <c r="T346" s="326" t="s">
        <v>1956</v>
      </c>
      <c r="U346" s="297">
        <v>0</v>
      </c>
      <c r="V346" s="294"/>
      <c r="W346" s="297">
        <v>0</v>
      </c>
      <c r="X346" s="294"/>
      <c r="Y346" s="329"/>
      <c r="Z346" s="329"/>
      <c r="AA346" s="332">
        <f>Table1[[#This Row],[Selling USD]]-Table1[[#This Row],[Cost USD]]</f>
        <v>0</v>
      </c>
      <c r="AB346" s="335">
        <f>63*2*7*1+63*1.6*7</f>
        <v>1587.6000000000001</v>
      </c>
      <c r="AC346" s="298">
        <v>1876</v>
      </c>
      <c r="AD346" s="299">
        <f>Table1[[#This Row],[Selling EUR]]-Table1[[#This Row],[Cost EUR]]</f>
        <v>288.39999999999986</v>
      </c>
      <c r="AE346" s="321" t="s">
        <v>54</v>
      </c>
      <c r="AF346" s="294">
        <v>46005</v>
      </c>
      <c r="AG346" s="294"/>
      <c r="AH346" s="321"/>
      <c r="AI346" s="323"/>
      <c r="AJ346" s="338"/>
      <c r="AK346" s="323"/>
      <c r="AL346" s="338"/>
      <c r="AM346" s="338"/>
      <c r="AN346" s="323"/>
      <c r="AO346" s="282"/>
      <c r="AP346" s="306"/>
      <c r="AQ346" s="282"/>
      <c r="AR346" s="282"/>
      <c r="AS346" s="282"/>
      <c r="AT346" s="281"/>
      <c r="AU346" s="281"/>
      <c r="AV346" s="281"/>
      <c r="AW346" s="281"/>
      <c r="AX346" s="281"/>
      <c r="AY346" s="281"/>
      <c r="AZ346" s="281"/>
    </row>
    <row r="347" spans="1:52" ht="15" customHeight="1" x14ac:dyDescent="0.3">
      <c r="A347" s="294">
        <v>46002</v>
      </c>
      <c r="B347" s="321" t="s">
        <v>73</v>
      </c>
      <c r="C347" s="321" t="s">
        <v>73</v>
      </c>
      <c r="D347" s="294" t="s">
        <v>137</v>
      </c>
      <c r="E347" s="321" t="s">
        <v>138</v>
      </c>
      <c r="F347" s="295"/>
      <c r="G347" s="296"/>
      <c r="H347" s="280" t="s">
        <v>84</v>
      </c>
      <c r="I347" s="323" t="s">
        <v>2589</v>
      </c>
      <c r="J347" s="323" t="s">
        <v>2590</v>
      </c>
      <c r="K347" s="294">
        <v>46005</v>
      </c>
      <c r="L347" s="294">
        <v>46009</v>
      </c>
      <c r="M347" s="284">
        <f>Table1[[#This Row],[Dep Date]]-Table1[[#This Row],[Arr Date]]</f>
        <v>4</v>
      </c>
      <c r="N347" s="323" t="s">
        <v>70</v>
      </c>
      <c r="O347" s="321">
        <v>1</v>
      </c>
      <c r="P347" s="321">
        <v>3</v>
      </c>
      <c r="Q347" s="321"/>
      <c r="R347" s="321"/>
      <c r="S347" s="321" t="s">
        <v>53</v>
      </c>
      <c r="T347" s="326" t="s">
        <v>1957</v>
      </c>
      <c r="U347" s="297">
        <v>0</v>
      </c>
      <c r="V347" s="294"/>
      <c r="W347" s="297">
        <v>0</v>
      </c>
      <c r="X347" s="294"/>
      <c r="Y347" s="329"/>
      <c r="Z347" s="329"/>
      <c r="AA347" s="332">
        <f>Table1[[#This Row],[Selling USD]]-Table1[[#This Row],[Cost USD]]</f>
        <v>0</v>
      </c>
      <c r="AB347" s="335"/>
      <c r="AC347" s="298"/>
      <c r="AD347" s="299">
        <f>Table1[[#This Row],[Selling EUR]]-Table1[[#This Row],[Cost EUR]]</f>
        <v>0</v>
      </c>
      <c r="AE347" s="321"/>
      <c r="AF347" s="294"/>
      <c r="AG347" s="294" t="s">
        <v>2414</v>
      </c>
      <c r="AH347" s="321"/>
      <c r="AI347" s="323"/>
      <c r="AJ347" s="338"/>
      <c r="AK347" s="323"/>
      <c r="AL347" s="338"/>
      <c r="AM347" s="338"/>
      <c r="AN347" s="323"/>
      <c r="AO347" s="282"/>
      <c r="AP347" s="306"/>
      <c r="AQ347" s="282"/>
      <c r="AR347" s="282"/>
      <c r="AS347" s="282"/>
      <c r="AT347" s="281"/>
      <c r="AU347" s="281"/>
      <c r="AV347" s="281"/>
      <c r="AW347" s="281"/>
      <c r="AX347" s="281"/>
      <c r="AY347" s="281"/>
      <c r="AZ347" s="281"/>
    </row>
    <row r="348" spans="1:52" ht="15" customHeight="1" x14ac:dyDescent="0.3">
      <c r="A348" s="294">
        <v>46003</v>
      </c>
      <c r="B348" s="321" t="s">
        <v>47</v>
      </c>
      <c r="C348" s="321" t="s">
        <v>47</v>
      </c>
      <c r="D348" s="294" t="s">
        <v>48</v>
      </c>
      <c r="E348" s="321" t="s">
        <v>49</v>
      </c>
      <c r="F348" s="295">
        <v>17153023</v>
      </c>
      <c r="G348" s="296"/>
      <c r="H348" s="280" t="s">
        <v>58</v>
      </c>
      <c r="I348" s="323" t="s">
        <v>64</v>
      </c>
      <c r="J348" s="323" t="s">
        <v>2585</v>
      </c>
      <c r="K348" s="294">
        <v>46047</v>
      </c>
      <c r="L348" s="294">
        <v>46057</v>
      </c>
      <c r="M348" s="284">
        <f>Table1[[#This Row],[Dep Date]]-Table1[[#This Row],[Arr Date]]</f>
        <v>10</v>
      </c>
      <c r="N348" s="323" t="s">
        <v>52</v>
      </c>
      <c r="O348" s="321">
        <v>2</v>
      </c>
      <c r="P348" s="321">
        <v>4</v>
      </c>
      <c r="Q348" s="321"/>
      <c r="R348" s="321"/>
      <c r="S348" s="321" t="s">
        <v>53</v>
      </c>
      <c r="T348" s="326" t="s">
        <v>1958</v>
      </c>
      <c r="U348" s="297">
        <v>0</v>
      </c>
      <c r="V348" s="294"/>
      <c r="W348" s="297">
        <v>0</v>
      </c>
      <c r="X348" s="294"/>
      <c r="Y348" s="329"/>
      <c r="Z348" s="329"/>
      <c r="AA348" s="332">
        <f>Table1[[#This Row],[Selling USD]]-Table1[[#This Row],[Cost USD]]</f>
        <v>0</v>
      </c>
      <c r="AB348" s="335">
        <f>32*2*10*2</f>
        <v>1280</v>
      </c>
      <c r="AC348" s="298">
        <v>1480</v>
      </c>
      <c r="AD348" s="299">
        <f>Table1[[#This Row],[Selling EUR]]-Table1[[#This Row],[Cost EUR]]</f>
        <v>200</v>
      </c>
      <c r="AE348" s="321" t="s">
        <v>54</v>
      </c>
      <c r="AF348" s="294">
        <v>46040</v>
      </c>
      <c r="AG348" s="294"/>
      <c r="AH348" s="321"/>
      <c r="AI348" s="323"/>
      <c r="AJ348" s="338"/>
      <c r="AK348" s="323"/>
      <c r="AL348" s="338"/>
      <c r="AM348" s="338"/>
      <c r="AN348" s="323"/>
      <c r="AO348" s="282"/>
      <c r="AP348" s="306"/>
      <c r="AQ348" s="282"/>
      <c r="AR348" s="282"/>
      <c r="AS348" s="282"/>
      <c r="AT348" s="281"/>
      <c r="AU348" s="281"/>
      <c r="AV348" s="281"/>
      <c r="AW348" s="281"/>
      <c r="AX348" s="281"/>
      <c r="AY348" s="281"/>
      <c r="AZ348" s="281"/>
    </row>
    <row r="349" spans="1:52" ht="15" customHeight="1" x14ac:dyDescent="0.3">
      <c r="A349" s="294">
        <v>46004</v>
      </c>
      <c r="B349" s="321" t="s">
        <v>47</v>
      </c>
      <c r="C349" s="321" t="s">
        <v>47</v>
      </c>
      <c r="D349" s="294" t="s">
        <v>79</v>
      </c>
      <c r="E349" s="321" t="s">
        <v>83</v>
      </c>
      <c r="F349" s="295">
        <v>15025331</v>
      </c>
      <c r="G349" s="296" t="s">
        <v>1611</v>
      </c>
      <c r="H349" s="280" t="s">
        <v>50</v>
      </c>
      <c r="I349" s="323" t="s">
        <v>104</v>
      </c>
      <c r="J349" s="323" t="s">
        <v>2591</v>
      </c>
      <c r="K349" s="294">
        <v>46096</v>
      </c>
      <c r="L349" s="294">
        <v>46102</v>
      </c>
      <c r="M349" s="284">
        <f>Table1[[#This Row],[Dep Date]]-Table1[[#This Row],[Arr Date]]</f>
        <v>6</v>
      </c>
      <c r="N349" s="323" t="s">
        <v>52</v>
      </c>
      <c r="O349" s="321">
        <v>2</v>
      </c>
      <c r="P349" s="321">
        <v>1</v>
      </c>
      <c r="Q349" s="321">
        <v>1</v>
      </c>
      <c r="R349" s="321"/>
      <c r="S349" s="321" t="s">
        <v>53</v>
      </c>
      <c r="T349" s="326" t="s">
        <v>2592</v>
      </c>
      <c r="U349" s="297">
        <v>8</v>
      </c>
      <c r="V349" s="294"/>
      <c r="W349" s="297">
        <v>0</v>
      </c>
      <c r="X349" s="294"/>
      <c r="Y349" s="329">
        <f>102*2*6</f>
        <v>1224</v>
      </c>
      <c r="Z349" s="329">
        <v>1464</v>
      </c>
      <c r="AA349" s="332">
        <f>Table1[[#This Row],[Selling USD]]-Table1[[#This Row],[Cost USD]]</f>
        <v>240</v>
      </c>
      <c r="AB349" s="335"/>
      <c r="AC349" s="298"/>
      <c r="AD349" s="299">
        <f>Table1[[#This Row],[Selling EUR]]-Table1[[#This Row],[Cost EUR]]</f>
        <v>0</v>
      </c>
      <c r="AE349" s="321" t="s">
        <v>54</v>
      </c>
      <c r="AF349" s="294">
        <v>46089</v>
      </c>
      <c r="AG349" s="294"/>
      <c r="AH349" s="321"/>
      <c r="AI349" s="323"/>
      <c r="AJ349" s="338"/>
      <c r="AK349" s="323"/>
      <c r="AL349" s="338"/>
      <c r="AM349" s="338"/>
      <c r="AN349" s="323"/>
      <c r="AO349" s="282"/>
      <c r="AP349" s="306"/>
      <c r="AQ349" s="282"/>
      <c r="AR349" s="282"/>
      <c r="AS349" s="282"/>
      <c r="AT349" s="281"/>
      <c r="AU349" s="281"/>
      <c r="AV349" s="281"/>
      <c r="AW349" s="281"/>
      <c r="AX349" s="281"/>
      <c r="AY349" s="281"/>
      <c r="AZ349" s="281"/>
    </row>
    <row r="350" spans="1:52" ht="15" customHeight="1" x14ac:dyDescent="0.3">
      <c r="A350" s="294">
        <v>46005</v>
      </c>
      <c r="B350" s="321" t="s">
        <v>47</v>
      </c>
      <c r="C350" s="321" t="s">
        <v>47</v>
      </c>
      <c r="D350" s="294" t="s">
        <v>79</v>
      </c>
      <c r="E350" s="321" t="s">
        <v>138</v>
      </c>
      <c r="F350" s="295">
        <v>15027013</v>
      </c>
      <c r="G350" s="296">
        <v>20303658</v>
      </c>
      <c r="H350" s="280" t="s">
        <v>84</v>
      </c>
      <c r="I350" s="323" t="s">
        <v>158</v>
      </c>
      <c r="J350" s="323" t="s">
        <v>1481</v>
      </c>
      <c r="K350" s="294">
        <v>46024</v>
      </c>
      <c r="L350" s="294">
        <v>46031</v>
      </c>
      <c r="M350" s="284">
        <f>Table1[[#This Row],[Dep Date]]-Table1[[#This Row],[Arr Date]]</f>
        <v>7</v>
      </c>
      <c r="N350" s="323" t="s">
        <v>52</v>
      </c>
      <c r="O350" s="321">
        <v>1</v>
      </c>
      <c r="P350" s="321">
        <v>2</v>
      </c>
      <c r="Q350" s="321"/>
      <c r="R350" s="321"/>
      <c r="S350" s="321" t="s">
        <v>53</v>
      </c>
      <c r="T350" s="326" t="s">
        <v>1959</v>
      </c>
      <c r="U350" s="297">
        <v>0</v>
      </c>
      <c r="V350" s="294"/>
      <c r="W350" s="297">
        <v>0</v>
      </c>
      <c r="X350" s="294"/>
      <c r="Y350" s="329"/>
      <c r="Z350" s="329"/>
      <c r="AA350" s="332">
        <f>Table1[[#This Row],[Selling USD]]-Table1[[#This Row],[Cost USD]]</f>
        <v>0</v>
      </c>
      <c r="AB350" s="335">
        <f>(87*2*1+68*2*6)*0.75</f>
        <v>742.5</v>
      </c>
      <c r="AC350" s="298">
        <v>756.5</v>
      </c>
      <c r="AD350" s="299">
        <f>Table1[[#This Row],[Selling EUR]]-Table1[[#This Row],[Cost EUR]]</f>
        <v>14</v>
      </c>
      <c r="AE350" s="321" t="s">
        <v>54</v>
      </c>
      <c r="AF350" s="294">
        <v>46014</v>
      </c>
      <c r="AG350" s="294"/>
      <c r="AH350" s="321"/>
      <c r="AI350" s="323"/>
      <c r="AJ350" s="338"/>
      <c r="AK350" s="323"/>
      <c r="AL350" s="338"/>
      <c r="AM350" s="338"/>
      <c r="AN350" s="323"/>
      <c r="AO350" s="282"/>
      <c r="AP350" s="306"/>
      <c r="AQ350" s="282"/>
      <c r="AR350" s="282"/>
      <c r="AS350" s="282"/>
      <c r="AT350" s="281"/>
      <c r="AU350" s="281"/>
      <c r="AV350" s="281"/>
      <c r="AW350" s="281"/>
      <c r="AX350" s="281"/>
      <c r="AY350" s="281"/>
      <c r="AZ350" s="281"/>
    </row>
    <row r="351" spans="1:52" ht="15" customHeight="1" x14ac:dyDescent="0.3">
      <c r="A351" s="294">
        <v>46112</v>
      </c>
      <c r="B351" s="321" t="s">
        <v>47</v>
      </c>
      <c r="C351" s="321" t="s">
        <v>47</v>
      </c>
      <c r="D351" s="294" t="s">
        <v>48</v>
      </c>
      <c r="E351" s="321" t="s">
        <v>49</v>
      </c>
      <c r="F351" s="295">
        <v>17477188</v>
      </c>
      <c r="G351" s="296"/>
      <c r="H351" s="280" t="s">
        <v>58</v>
      </c>
      <c r="I351" s="323" t="s">
        <v>62</v>
      </c>
      <c r="J351" s="323" t="s">
        <v>63</v>
      </c>
      <c r="K351" s="294">
        <v>46144.041666666664</v>
      </c>
      <c r="L351" s="294">
        <v>46151.041666666664</v>
      </c>
      <c r="M351" s="284">
        <f>Table1[[#This Row],[Dep Date]]-Table1[[#This Row],[Arr Date]]</f>
        <v>7</v>
      </c>
      <c r="N351" s="323" t="s">
        <v>52</v>
      </c>
      <c r="O351" s="321">
        <v>1</v>
      </c>
      <c r="P351" s="321">
        <v>2</v>
      </c>
      <c r="Q351" s="321"/>
      <c r="R351" s="321"/>
      <c r="S351" s="321" t="s">
        <v>53</v>
      </c>
      <c r="T351" s="326" t="s">
        <v>1960</v>
      </c>
      <c r="U351" s="297"/>
      <c r="V351" s="294"/>
      <c r="W351" s="297"/>
      <c r="X351" s="294"/>
      <c r="Y351" s="329"/>
      <c r="Z351" s="329"/>
      <c r="AA351" s="332">
        <f>Table1[[#This Row],[Selling USD]]-Table1[[#This Row],[Cost USD]]</f>
        <v>0</v>
      </c>
      <c r="AB351" s="335">
        <f>47*2*7</f>
        <v>658</v>
      </c>
      <c r="AC351" s="298">
        <v>686</v>
      </c>
      <c r="AD351" s="299">
        <f>Table1[[#This Row],[Selling EUR]]-Table1[[#This Row],[Cost EUR]]</f>
        <v>28</v>
      </c>
      <c r="AE351" s="321" t="s">
        <v>54</v>
      </c>
      <c r="AF351" s="294">
        <v>46138.041666666599</v>
      </c>
      <c r="AG351" s="294"/>
      <c r="AH351" s="321"/>
      <c r="AI351" s="323"/>
      <c r="AJ351" s="338"/>
      <c r="AK351" s="323"/>
      <c r="AL351" s="338"/>
      <c r="AM351" s="338"/>
      <c r="AN351" s="323"/>
      <c r="AO351" s="282"/>
      <c r="AP351" s="306"/>
      <c r="AQ351" s="282"/>
      <c r="AR351" s="282"/>
      <c r="AS351" s="282"/>
      <c r="AT351" s="281"/>
      <c r="AU351" s="281"/>
      <c r="AV351" s="281"/>
      <c r="AW351" s="281"/>
      <c r="AX351" s="281"/>
      <c r="AY351" s="281"/>
      <c r="AZ351" s="281"/>
    </row>
    <row r="352" spans="1:52" ht="15" customHeight="1" x14ac:dyDescent="0.3">
      <c r="A352" s="294">
        <v>46006</v>
      </c>
      <c r="B352" s="321" t="s">
        <v>47</v>
      </c>
      <c r="C352" s="321" t="s">
        <v>47</v>
      </c>
      <c r="D352" s="294" t="s">
        <v>48</v>
      </c>
      <c r="E352" s="321" t="s">
        <v>61</v>
      </c>
      <c r="F352" s="295">
        <v>17158046</v>
      </c>
      <c r="G352" s="296"/>
      <c r="H352" s="280" t="s">
        <v>84</v>
      </c>
      <c r="I352" s="323" t="s">
        <v>126</v>
      </c>
      <c r="J352" s="323" t="s">
        <v>155</v>
      </c>
      <c r="K352" s="294">
        <v>46047</v>
      </c>
      <c r="L352" s="294">
        <v>46062</v>
      </c>
      <c r="M352" s="284">
        <f>Table1[[#This Row],[Dep Date]]-Table1[[#This Row],[Arr Date]]</f>
        <v>15</v>
      </c>
      <c r="N352" s="323" t="s">
        <v>52</v>
      </c>
      <c r="O352" s="321">
        <v>1</v>
      </c>
      <c r="P352" s="321">
        <v>2</v>
      </c>
      <c r="Q352" s="321"/>
      <c r="R352" s="321"/>
      <c r="S352" s="321" t="s">
        <v>53</v>
      </c>
      <c r="T352" s="326" t="s">
        <v>1961</v>
      </c>
      <c r="U352" s="297">
        <v>0</v>
      </c>
      <c r="V352" s="294"/>
      <c r="W352" s="297">
        <v>0</v>
      </c>
      <c r="X352" s="294"/>
      <c r="Y352" s="329">
        <f>45*2*15</f>
        <v>1350</v>
      </c>
      <c r="Z352" s="329">
        <v>1410</v>
      </c>
      <c r="AA352" s="332">
        <f>Table1[[#This Row],[Selling USD]]-Table1[[#This Row],[Cost USD]]</f>
        <v>60</v>
      </c>
      <c r="AB352" s="335"/>
      <c r="AC352" s="298"/>
      <c r="AD352" s="299">
        <f>Table1[[#This Row],[Selling EUR]]-Table1[[#This Row],[Cost EUR]]</f>
        <v>0</v>
      </c>
      <c r="AE352" s="321" t="s">
        <v>54</v>
      </c>
      <c r="AF352" s="294">
        <v>46037</v>
      </c>
      <c r="AG352" s="294"/>
      <c r="AH352" s="321"/>
      <c r="AI352" s="323"/>
      <c r="AJ352" s="338"/>
      <c r="AK352" s="323"/>
      <c r="AL352" s="338"/>
      <c r="AM352" s="338"/>
      <c r="AN352" s="323"/>
      <c r="AO352" s="282"/>
      <c r="AP352" s="306"/>
      <c r="AQ352" s="282"/>
      <c r="AR352" s="282"/>
      <c r="AS352" s="282"/>
      <c r="AT352" s="281"/>
      <c r="AU352" s="281"/>
      <c r="AV352" s="281"/>
      <c r="AW352" s="281"/>
      <c r="AX352" s="281"/>
      <c r="AY352" s="281"/>
      <c r="AZ352" s="281"/>
    </row>
    <row r="353" spans="1:52" ht="15" customHeight="1" x14ac:dyDescent="0.3">
      <c r="A353" s="294">
        <v>46007</v>
      </c>
      <c r="B353" s="321" t="s">
        <v>47</v>
      </c>
      <c r="C353" s="321" t="s">
        <v>47</v>
      </c>
      <c r="D353" s="294" t="s">
        <v>79</v>
      </c>
      <c r="E353" s="321" t="s">
        <v>49</v>
      </c>
      <c r="F353" s="295">
        <v>15059212</v>
      </c>
      <c r="G353" s="296">
        <v>20303659</v>
      </c>
      <c r="H353" s="280" t="s">
        <v>58</v>
      </c>
      <c r="I353" s="323" t="s">
        <v>62</v>
      </c>
      <c r="J353" s="323" t="s">
        <v>1562</v>
      </c>
      <c r="K353" s="294">
        <v>46065</v>
      </c>
      <c r="L353" s="294">
        <v>46074</v>
      </c>
      <c r="M353" s="284">
        <f>Table1[[#This Row],[Dep Date]]-Table1[[#This Row],[Arr Date]]</f>
        <v>9</v>
      </c>
      <c r="N353" s="323" t="s">
        <v>52</v>
      </c>
      <c r="O353" s="321">
        <v>1</v>
      </c>
      <c r="P353" s="321">
        <v>2</v>
      </c>
      <c r="Q353" s="321"/>
      <c r="R353" s="321"/>
      <c r="S353" s="321" t="s">
        <v>53</v>
      </c>
      <c r="T353" s="326" t="s">
        <v>1962</v>
      </c>
      <c r="U353" s="297">
        <v>0</v>
      </c>
      <c r="V353" s="294"/>
      <c r="W353" s="297">
        <v>0</v>
      </c>
      <c r="X353" s="294"/>
      <c r="Y353" s="329"/>
      <c r="Z353" s="329"/>
      <c r="AA353" s="332">
        <f>Table1[[#This Row],[Selling USD]]-Table1[[#This Row],[Cost USD]]</f>
        <v>0</v>
      </c>
      <c r="AB353" s="335">
        <f>46*2*9</f>
        <v>828</v>
      </c>
      <c r="AC353" s="298">
        <v>846</v>
      </c>
      <c r="AD353" s="299">
        <f>Table1[[#This Row],[Selling EUR]]-Table1[[#This Row],[Cost EUR]]</f>
        <v>18</v>
      </c>
      <c r="AE353" s="321" t="s">
        <v>54</v>
      </c>
      <c r="AF353" s="294">
        <v>46058</v>
      </c>
      <c r="AG353" s="294"/>
      <c r="AH353" s="321"/>
      <c r="AI353" s="323"/>
      <c r="AJ353" s="338"/>
      <c r="AK353" s="323"/>
      <c r="AL353" s="338"/>
      <c r="AM353" s="338"/>
      <c r="AN353" s="323"/>
      <c r="AO353" s="282"/>
      <c r="AP353" s="306"/>
      <c r="AQ353" s="282"/>
      <c r="AR353" s="282"/>
      <c r="AS353" s="282"/>
      <c r="AT353" s="281"/>
      <c r="AU353" s="281"/>
      <c r="AV353" s="281"/>
      <c r="AW353" s="281"/>
      <c r="AX353" s="281"/>
      <c r="AY353" s="281"/>
      <c r="AZ353" s="281"/>
    </row>
    <row r="354" spans="1:52" ht="15" customHeight="1" x14ac:dyDescent="0.3">
      <c r="A354" s="294">
        <v>46007</v>
      </c>
      <c r="B354" s="321" t="s">
        <v>47</v>
      </c>
      <c r="C354" s="321" t="s">
        <v>47</v>
      </c>
      <c r="D354" s="294" t="s">
        <v>79</v>
      </c>
      <c r="E354" s="321" t="s">
        <v>83</v>
      </c>
      <c r="F354" s="295">
        <v>15060324</v>
      </c>
      <c r="G354" s="296">
        <v>20303660</v>
      </c>
      <c r="H354" s="280" t="s">
        <v>84</v>
      </c>
      <c r="I354" s="323" t="s">
        <v>129</v>
      </c>
      <c r="J354" s="323" t="s">
        <v>1402</v>
      </c>
      <c r="K354" s="294">
        <v>46050</v>
      </c>
      <c r="L354" s="294">
        <v>46056</v>
      </c>
      <c r="M354" s="284">
        <f>Table1[[#This Row],[Dep Date]]-Table1[[#This Row],[Arr Date]]</f>
        <v>6</v>
      </c>
      <c r="N354" s="323" t="s">
        <v>70</v>
      </c>
      <c r="O354" s="321">
        <v>1</v>
      </c>
      <c r="P354" s="321">
        <v>3</v>
      </c>
      <c r="Q354" s="321">
        <v>1</v>
      </c>
      <c r="R354" s="321"/>
      <c r="S354" s="321" t="s">
        <v>53</v>
      </c>
      <c r="T354" s="326" t="s">
        <v>1963</v>
      </c>
      <c r="U354" s="297">
        <v>3</v>
      </c>
      <c r="V354" s="294"/>
      <c r="W354" s="297">
        <v>0</v>
      </c>
      <c r="X354" s="294"/>
      <c r="Y354" s="329">
        <f>38*3*6</f>
        <v>684</v>
      </c>
      <c r="Z354" s="329">
        <v>702</v>
      </c>
      <c r="AA354" s="332">
        <f>Table1[[#This Row],[Selling USD]]-Table1[[#This Row],[Cost USD]]</f>
        <v>18</v>
      </c>
      <c r="AB354" s="335"/>
      <c r="AC354" s="298"/>
      <c r="AD354" s="299">
        <f>Table1[[#This Row],[Selling EUR]]-Table1[[#This Row],[Cost EUR]]</f>
        <v>0</v>
      </c>
      <c r="AE354" s="321" t="s">
        <v>54</v>
      </c>
      <c r="AF354" s="294">
        <v>46040</v>
      </c>
      <c r="AG354" s="294"/>
      <c r="AH354" s="321"/>
      <c r="AI354" s="323"/>
      <c r="AJ354" s="338"/>
      <c r="AK354" s="323"/>
      <c r="AL354" s="338"/>
      <c r="AM354" s="338"/>
      <c r="AN354" s="323"/>
      <c r="AO354" s="282"/>
      <c r="AP354" s="306"/>
      <c r="AQ354" s="282"/>
      <c r="AR354" s="282"/>
      <c r="AS354" s="282"/>
      <c r="AT354" s="281"/>
      <c r="AU354" s="281"/>
      <c r="AV354" s="281"/>
      <c r="AW354" s="281"/>
      <c r="AX354" s="281"/>
      <c r="AY354" s="281"/>
      <c r="AZ354" s="281"/>
    </row>
    <row r="355" spans="1:52" ht="15" customHeight="1" x14ac:dyDescent="0.3">
      <c r="A355" s="294">
        <v>46007</v>
      </c>
      <c r="B355" s="321" t="s">
        <v>47</v>
      </c>
      <c r="C355" s="321" t="s">
        <v>47</v>
      </c>
      <c r="D355" s="294" t="s">
        <v>79</v>
      </c>
      <c r="E355" s="321" t="s">
        <v>83</v>
      </c>
      <c r="F355" s="295">
        <v>15060745</v>
      </c>
      <c r="G355" s="296">
        <v>20303661</v>
      </c>
      <c r="H355" s="280" t="s">
        <v>84</v>
      </c>
      <c r="I355" s="323" t="s">
        <v>129</v>
      </c>
      <c r="J355" s="323" t="s">
        <v>2570</v>
      </c>
      <c r="K355" s="294">
        <v>46050</v>
      </c>
      <c r="L355" s="294">
        <v>46056</v>
      </c>
      <c r="M355" s="284">
        <f>Table1[[#This Row],[Dep Date]]-Table1[[#This Row],[Arr Date]]</f>
        <v>6</v>
      </c>
      <c r="N355" s="323" t="s">
        <v>70</v>
      </c>
      <c r="O355" s="321">
        <v>1</v>
      </c>
      <c r="P355" s="321">
        <v>3</v>
      </c>
      <c r="Q355" s="321">
        <v>1</v>
      </c>
      <c r="R355" s="321"/>
      <c r="S355" s="321" t="s">
        <v>53</v>
      </c>
      <c r="T355" s="326" t="s">
        <v>1964</v>
      </c>
      <c r="U355" s="297">
        <v>11</v>
      </c>
      <c r="V355" s="294"/>
      <c r="W355" s="297">
        <v>0</v>
      </c>
      <c r="X355" s="294"/>
      <c r="Y355" s="329">
        <f>43*3*6</f>
        <v>774</v>
      </c>
      <c r="Z355" s="329">
        <v>792</v>
      </c>
      <c r="AA355" s="332">
        <f>Table1[[#This Row],[Selling USD]]-Table1[[#This Row],[Cost USD]]</f>
        <v>18</v>
      </c>
      <c r="AB355" s="335"/>
      <c r="AC355" s="298"/>
      <c r="AD355" s="299">
        <f>Table1[[#This Row],[Selling EUR]]-Table1[[#This Row],[Cost EUR]]</f>
        <v>0</v>
      </c>
      <c r="AE355" s="321" t="s">
        <v>54</v>
      </c>
      <c r="AF355" s="294">
        <v>46040</v>
      </c>
      <c r="AG355" s="294"/>
      <c r="AH355" s="321"/>
      <c r="AI355" s="323"/>
      <c r="AJ355" s="338"/>
      <c r="AK355" s="323"/>
      <c r="AL355" s="338"/>
      <c r="AM355" s="338"/>
      <c r="AN355" s="323"/>
      <c r="AO355" s="282"/>
      <c r="AP355" s="306"/>
      <c r="AQ355" s="282"/>
      <c r="AR355" s="282"/>
      <c r="AS355" s="282"/>
      <c r="AT355" s="281"/>
      <c r="AU355" s="281"/>
      <c r="AV355" s="281"/>
      <c r="AW355" s="281"/>
      <c r="AX355" s="281"/>
      <c r="AY355" s="281"/>
      <c r="AZ355" s="281"/>
    </row>
    <row r="356" spans="1:52" ht="15" customHeight="1" x14ac:dyDescent="0.3">
      <c r="A356" s="294">
        <v>46008</v>
      </c>
      <c r="B356" s="321" t="s">
        <v>47</v>
      </c>
      <c r="C356" s="321" t="s">
        <v>47</v>
      </c>
      <c r="D356" s="294" t="s">
        <v>48</v>
      </c>
      <c r="E356" s="321" t="s">
        <v>49</v>
      </c>
      <c r="F356" s="295">
        <v>17162796</v>
      </c>
      <c r="G356" s="296" t="s">
        <v>1612</v>
      </c>
      <c r="H356" s="280" t="s">
        <v>50</v>
      </c>
      <c r="I356" s="323" t="s">
        <v>104</v>
      </c>
      <c r="J356" s="323" t="s">
        <v>2593</v>
      </c>
      <c r="K356" s="294">
        <v>46086</v>
      </c>
      <c r="L356" s="294">
        <v>46095</v>
      </c>
      <c r="M356" s="284">
        <f>Table1[[#This Row],[Dep Date]]-Table1[[#This Row],[Arr Date]]</f>
        <v>9</v>
      </c>
      <c r="N356" s="323" t="s">
        <v>65</v>
      </c>
      <c r="O356" s="321">
        <v>1</v>
      </c>
      <c r="P356" s="321">
        <v>1</v>
      </c>
      <c r="Q356" s="321"/>
      <c r="R356" s="321"/>
      <c r="S356" s="321" t="s">
        <v>53</v>
      </c>
      <c r="T356" s="326" t="s">
        <v>2594</v>
      </c>
      <c r="U356" s="297">
        <v>0</v>
      </c>
      <c r="V356" s="294"/>
      <c r="W356" s="297">
        <v>0</v>
      </c>
      <c r="X356" s="294"/>
      <c r="Y356" s="329"/>
      <c r="Z356" s="329"/>
      <c r="AA356" s="332">
        <f>Table1[[#This Row],[Selling USD]]-Table1[[#This Row],[Cost USD]]</f>
        <v>0</v>
      </c>
      <c r="AB356" s="335">
        <f>245*0.59*9</f>
        <v>1300.9499999999998</v>
      </c>
      <c r="AC356" s="298">
        <v>1670.63</v>
      </c>
      <c r="AD356" s="299">
        <f>Table1[[#This Row],[Selling EUR]]-Table1[[#This Row],[Cost EUR]]</f>
        <v>369.68000000000029</v>
      </c>
      <c r="AE356" s="321" t="s">
        <v>54</v>
      </c>
      <c r="AF356" s="294">
        <v>46079</v>
      </c>
      <c r="AG356" s="294"/>
      <c r="AH356" s="321"/>
      <c r="AI356" s="323"/>
      <c r="AJ356" s="338"/>
      <c r="AK356" s="323"/>
      <c r="AL356" s="338"/>
      <c r="AM356" s="338"/>
      <c r="AN356" s="323"/>
      <c r="AO356" s="282"/>
      <c r="AP356" s="306"/>
      <c r="AQ356" s="282"/>
      <c r="AR356" s="282"/>
      <c r="AS356" s="282"/>
      <c r="AT356" s="281"/>
      <c r="AU356" s="281"/>
      <c r="AV356" s="281"/>
      <c r="AW356" s="281"/>
      <c r="AX356" s="281"/>
      <c r="AY356" s="281"/>
      <c r="AZ356" s="281"/>
    </row>
    <row r="357" spans="1:52" ht="15" customHeight="1" x14ac:dyDescent="0.3">
      <c r="A357" s="294">
        <v>46008</v>
      </c>
      <c r="B357" s="321" t="s">
        <v>73</v>
      </c>
      <c r="C357" s="321" t="s">
        <v>73</v>
      </c>
      <c r="D357" s="294" t="s">
        <v>48</v>
      </c>
      <c r="E357" s="321" t="s">
        <v>49</v>
      </c>
      <c r="F357" s="295" t="s">
        <v>1604</v>
      </c>
      <c r="G357" s="296"/>
      <c r="H357" s="280" t="s">
        <v>50</v>
      </c>
      <c r="I357" s="323" t="s">
        <v>104</v>
      </c>
      <c r="J357" s="323" t="s">
        <v>2593</v>
      </c>
      <c r="K357" s="294">
        <v>46098</v>
      </c>
      <c r="L357" s="294">
        <v>46108</v>
      </c>
      <c r="M357" s="284">
        <f>Table1[[#This Row],[Dep Date]]-Table1[[#This Row],[Arr Date]]</f>
        <v>10</v>
      </c>
      <c r="N357" s="323" t="s">
        <v>52</v>
      </c>
      <c r="O357" s="321">
        <v>1</v>
      </c>
      <c r="P357" s="321">
        <v>2</v>
      </c>
      <c r="Q357" s="321"/>
      <c r="R357" s="321"/>
      <c r="S357" s="321" t="s">
        <v>53</v>
      </c>
      <c r="T357" s="326" t="s">
        <v>2595</v>
      </c>
      <c r="U357" s="297">
        <v>0</v>
      </c>
      <c r="V357" s="294"/>
      <c r="W357" s="297">
        <v>0</v>
      </c>
      <c r="X357" s="294"/>
      <c r="Y357" s="329"/>
      <c r="Z357" s="329"/>
      <c r="AA357" s="332">
        <f>Table1[[#This Row],[Selling USD]]-Table1[[#This Row],[Cost USD]]</f>
        <v>0</v>
      </c>
      <c r="AB357" s="335"/>
      <c r="AC357" s="298"/>
      <c r="AD357" s="299">
        <f>Table1[[#This Row],[Selling EUR]]-Table1[[#This Row],[Cost EUR]]</f>
        <v>0</v>
      </c>
      <c r="AE357" s="321"/>
      <c r="AF357" s="294"/>
      <c r="AG357" s="294"/>
      <c r="AH357" s="321"/>
      <c r="AI357" s="323"/>
      <c r="AJ357" s="338"/>
      <c r="AK357" s="323"/>
      <c r="AL357" s="338"/>
      <c r="AM357" s="338"/>
      <c r="AN357" s="323"/>
      <c r="AO357" s="282"/>
      <c r="AP357" s="306"/>
      <c r="AQ357" s="282"/>
      <c r="AR357" s="282"/>
      <c r="AS357" s="282"/>
      <c r="AT357" s="281"/>
      <c r="AU357" s="281"/>
      <c r="AV357" s="281"/>
      <c r="AW357" s="281"/>
      <c r="AX357" s="281"/>
      <c r="AY357" s="281"/>
      <c r="AZ357" s="281"/>
    </row>
    <row r="358" spans="1:52" ht="15" customHeight="1" x14ac:dyDescent="0.3">
      <c r="A358" s="294">
        <v>46008</v>
      </c>
      <c r="B358" s="321" t="s">
        <v>47</v>
      </c>
      <c r="C358" s="321" t="s">
        <v>47</v>
      </c>
      <c r="D358" s="294" t="s">
        <v>79</v>
      </c>
      <c r="E358" s="321" t="s">
        <v>106</v>
      </c>
      <c r="F358" s="295">
        <v>15083340</v>
      </c>
      <c r="G358" s="296">
        <v>20303662</v>
      </c>
      <c r="H358" s="280" t="s">
        <v>50</v>
      </c>
      <c r="I358" s="323" t="s">
        <v>162</v>
      </c>
      <c r="J358" s="323" t="s">
        <v>1470</v>
      </c>
      <c r="K358" s="294">
        <v>46014</v>
      </c>
      <c r="L358" s="294">
        <v>46017</v>
      </c>
      <c r="M358" s="284">
        <f>Table1[[#This Row],[Dep Date]]-Table1[[#This Row],[Arr Date]]</f>
        <v>3</v>
      </c>
      <c r="N358" s="323" t="s">
        <v>52</v>
      </c>
      <c r="O358" s="321">
        <v>2</v>
      </c>
      <c r="P358" s="321">
        <v>4</v>
      </c>
      <c r="Q358" s="321"/>
      <c r="R358" s="321"/>
      <c r="S358" s="321" t="s">
        <v>53</v>
      </c>
      <c r="T358" s="326" t="s">
        <v>1965</v>
      </c>
      <c r="U358" s="297">
        <v>0</v>
      </c>
      <c r="V358" s="294"/>
      <c r="W358" s="297">
        <v>0</v>
      </c>
      <c r="X358" s="294"/>
      <c r="Y358" s="329">
        <f>52*2*2*2+60*4</f>
        <v>656</v>
      </c>
      <c r="Z358" s="329">
        <v>884</v>
      </c>
      <c r="AA358" s="332">
        <f>Table1[[#This Row],[Selling USD]]-Table1[[#This Row],[Cost USD]]</f>
        <v>228</v>
      </c>
      <c r="AB358" s="335"/>
      <c r="AC358" s="298"/>
      <c r="AD358" s="299">
        <f>Table1[[#This Row],[Selling EUR]]-Table1[[#This Row],[Cost EUR]]</f>
        <v>0</v>
      </c>
      <c r="AE358" s="321" t="s">
        <v>54</v>
      </c>
      <c r="AF358" s="294">
        <v>46013</v>
      </c>
      <c r="AG358" s="294"/>
      <c r="AH358" s="321"/>
      <c r="AI358" s="323"/>
      <c r="AJ358" s="338"/>
      <c r="AK358" s="323"/>
      <c r="AL358" s="338"/>
      <c r="AM358" s="338"/>
      <c r="AN358" s="323"/>
      <c r="AO358" s="282"/>
      <c r="AP358" s="306"/>
      <c r="AQ358" s="282"/>
      <c r="AR358" s="282"/>
      <c r="AS358" s="282"/>
      <c r="AT358" s="281"/>
      <c r="AU358" s="281"/>
      <c r="AV358" s="281"/>
      <c r="AW358" s="281"/>
      <c r="AX358" s="281"/>
      <c r="AY358" s="281"/>
      <c r="AZ358" s="281"/>
    </row>
    <row r="359" spans="1:52" ht="15" customHeight="1" x14ac:dyDescent="0.3">
      <c r="A359" s="294">
        <v>46009</v>
      </c>
      <c r="B359" s="321" t="s">
        <v>73</v>
      </c>
      <c r="C359" s="321" t="s">
        <v>73</v>
      </c>
      <c r="D359" s="294" t="s">
        <v>48</v>
      </c>
      <c r="E359" s="321" t="s">
        <v>49</v>
      </c>
      <c r="F359" s="295">
        <v>17165509</v>
      </c>
      <c r="G359" s="296"/>
      <c r="H359" s="280" t="s">
        <v>50</v>
      </c>
      <c r="I359" s="323" t="s">
        <v>67</v>
      </c>
      <c r="J359" s="323" t="s">
        <v>72</v>
      </c>
      <c r="K359" s="294">
        <v>46114</v>
      </c>
      <c r="L359" s="294">
        <v>46121</v>
      </c>
      <c r="M359" s="284">
        <f>Table1[[#This Row],[Dep Date]]-Table1[[#This Row],[Arr Date]]</f>
        <v>7</v>
      </c>
      <c r="N359" s="323" t="s">
        <v>52</v>
      </c>
      <c r="O359" s="321">
        <v>2</v>
      </c>
      <c r="P359" s="321">
        <v>2</v>
      </c>
      <c r="Q359" s="321"/>
      <c r="R359" s="321"/>
      <c r="S359" s="321" t="s">
        <v>53</v>
      </c>
      <c r="T359" s="326" t="s">
        <v>1966</v>
      </c>
      <c r="U359" s="297">
        <v>0</v>
      </c>
      <c r="V359" s="294"/>
      <c r="W359" s="297">
        <v>0</v>
      </c>
      <c r="X359" s="294"/>
      <c r="Y359" s="329"/>
      <c r="Z359" s="329"/>
      <c r="AA359" s="332">
        <f>Table1[[#This Row],[Selling USD]]-Table1[[#This Row],[Cost USD]]</f>
        <v>0</v>
      </c>
      <c r="AB359" s="335"/>
      <c r="AC359" s="298"/>
      <c r="AD359" s="299">
        <f>Table1[[#This Row],[Selling EUR]]-Table1[[#This Row],[Cost EUR]]</f>
        <v>0</v>
      </c>
      <c r="AE359" s="321"/>
      <c r="AF359" s="294"/>
      <c r="AG359" s="294"/>
      <c r="AH359" s="321"/>
      <c r="AI359" s="323"/>
      <c r="AJ359" s="338"/>
      <c r="AK359" s="323"/>
      <c r="AL359" s="338"/>
      <c r="AM359" s="338"/>
      <c r="AN359" s="323"/>
      <c r="AO359" s="282"/>
      <c r="AP359" s="306"/>
      <c r="AQ359" s="282"/>
      <c r="AR359" s="282"/>
      <c r="AS359" s="282"/>
      <c r="AT359" s="281"/>
      <c r="AU359" s="281"/>
      <c r="AV359" s="281"/>
      <c r="AW359" s="281"/>
      <c r="AX359" s="281"/>
      <c r="AY359" s="281"/>
      <c r="AZ359" s="281"/>
    </row>
    <row r="360" spans="1:52" ht="15" customHeight="1" x14ac:dyDescent="0.3">
      <c r="A360" s="294">
        <v>46010</v>
      </c>
      <c r="B360" s="321" t="s">
        <v>47</v>
      </c>
      <c r="C360" s="321" t="s">
        <v>47</v>
      </c>
      <c r="D360" s="294" t="s">
        <v>137</v>
      </c>
      <c r="E360" s="321" t="s">
        <v>138</v>
      </c>
      <c r="F360" s="295">
        <v>2025037</v>
      </c>
      <c r="G360" s="296">
        <v>2025037</v>
      </c>
      <c r="H360" s="280" t="s">
        <v>84</v>
      </c>
      <c r="I360" s="323" t="s">
        <v>163</v>
      </c>
      <c r="J360" s="323" t="s">
        <v>2596</v>
      </c>
      <c r="K360" s="294">
        <v>46015</v>
      </c>
      <c r="L360" s="294">
        <v>46022</v>
      </c>
      <c r="M360" s="284">
        <f>Table1[[#This Row],[Dep Date]]-Table1[[#This Row],[Arr Date]]</f>
        <v>7</v>
      </c>
      <c r="N360" s="323" t="s">
        <v>52</v>
      </c>
      <c r="O360" s="321">
        <v>1</v>
      </c>
      <c r="P360" s="321">
        <v>2</v>
      </c>
      <c r="Q360" s="321"/>
      <c r="R360" s="321"/>
      <c r="S360" s="321" t="s">
        <v>53</v>
      </c>
      <c r="T360" s="326" t="s">
        <v>1967</v>
      </c>
      <c r="U360" s="297">
        <v>0</v>
      </c>
      <c r="V360" s="294"/>
      <c r="W360" s="297">
        <v>0</v>
      </c>
      <c r="X360" s="294"/>
      <c r="Y360" s="329"/>
      <c r="Z360" s="329"/>
      <c r="AA360" s="332">
        <f>Table1[[#This Row],[Selling USD]]-Table1[[#This Row],[Cost USD]]</f>
        <v>0</v>
      </c>
      <c r="AB360" s="335">
        <f>255*7</f>
        <v>1785</v>
      </c>
      <c r="AC360" s="298">
        <v>1741.32</v>
      </c>
      <c r="AD360" s="299">
        <f>Table1[[#This Row],[Selling EUR]]-Table1[[#This Row],[Cost EUR]]</f>
        <v>-43.680000000000064</v>
      </c>
      <c r="AE360" s="321" t="s">
        <v>54</v>
      </c>
      <c r="AF360" s="294">
        <v>46013</v>
      </c>
      <c r="AG360" s="294"/>
      <c r="AH360" s="321">
        <v>100</v>
      </c>
      <c r="AI360" s="323" t="s">
        <v>2415</v>
      </c>
      <c r="AJ360" s="338">
        <v>0.53472222222222221</v>
      </c>
      <c r="AK360" s="323" t="s">
        <v>2416</v>
      </c>
      <c r="AL360" s="338">
        <v>0.56944444444444442</v>
      </c>
      <c r="AM360" s="338"/>
      <c r="AN360" s="323"/>
      <c r="AO360" s="282"/>
      <c r="AP360" s="306"/>
      <c r="AQ360" s="282"/>
      <c r="AR360" s="282"/>
      <c r="AS360" s="282"/>
      <c r="AT360" s="281"/>
      <c r="AU360" s="281"/>
      <c r="AV360" s="281"/>
      <c r="AW360" s="281"/>
      <c r="AX360" s="281"/>
      <c r="AY360" s="281"/>
      <c r="AZ360" s="281"/>
    </row>
    <row r="361" spans="1:52" ht="15" customHeight="1" x14ac:dyDescent="0.3">
      <c r="A361" s="294">
        <v>46010</v>
      </c>
      <c r="B361" s="321" t="s">
        <v>47</v>
      </c>
      <c r="C361" s="321" t="s">
        <v>47</v>
      </c>
      <c r="D361" s="294" t="s">
        <v>79</v>
      </c>
      <c r="E361" s="321" t="s">
        <v>106</v>
      </c>
      <c r="F361" s="295">
        <v>15117576</v>
      </c>
      <c r="G361" s="296">
        <v>20303663</v>
      </c>
      <c r="H361" s="280" t="s">
        <v>50</v>
      </c>
      <c r="I361" s="323" t="s">
        <v>88</v>
      </c>
      <c r="J361" s="323" t="s">
        <v>98</v>
      </c>
      <c r="K361" s="294">
        <v>46079</v>
      </c>
      <c r="L361" s="294">
        <v>46086</v>
      </c>
      <c r="M361" s="284">
        <f>Table1[[#This Row],[Dep Date]]-Table1[[#This Row],[Arr Date]]</f>
        <v>7</v>
      </c>
      <c r="N361" s="323" t="s">
        <v>52</v>
      </c>
      <c r="O361" s="321">
        <v>1</v>
      </c>
      <c r="P361" s="321">
        <v>2</v>
      </c>
      <c r="Q361" s="321">
        <v>2</v>
      </c>
      <c r="R361" s="321"/>
      <c r="S361" s="321" t="s">
        <v>53</v>
      </c>
      <c r="T361" s="326" t="s">
        <v>1968</v>
      </c>
      <c r="U361" s="297">
        <v>10</v>
      </c>
      <c r="V361" s="294"/>
      <c r="W361" s="297">
        <v>7</v>
      </c>
      <c r="X361" s="294"/>
      <c r="Y361" s="329">
        <f>60*2.5*7+30*2+15*2</f>
        <v>1140</v>
      </c>
      <c r="Z361" s="329">
        <v>1154</v>
      </c>
      <c r="AA361" s="332">
        <f>Table1[[#This Row],[Selling USD]]-Table1[[#This Row],[Cost USD]]</f>
        <v>14</v>
      </c>
      <c r="AB361" s="335"/>
      <c r="AC361" s="298"/>
      <c r="AD361" s="299">
        <f>Table1[[#This Row],[Selling EUR]]-Table1[[#This Row],[Cost EUR]]</f>
        <v>0</v>
      </c>
      <c r="AE361" s="321" t="s">
        <v>54</v>
      </c>
      <c r="AF361" s="294" t="s">
        <v>2273</v>
      </c>
      <c r="AG361" s="294"/>
      <c r="AH361" s="321"/>
      <c r="AI361" s="323"/>
      <c r="AJ361" s="338"/>
      <c r="AK361" s="323"/>
      <c r="AL361" s="338"/>
      <c r="AM361" s="338"/>
      <c r="AN361" s="323"/>
      <c r="AO361" s="282"/>
      <c r="AP361" s="306"/>
      <c r="AQ361" s="282"/>
      <c r="AR361" s="282"/>
      <c r="AS361" s="282"/>
      <c r="AT361" s="281"/>
      <c r="AU361" s="281"/>
      <c r="AV361" s="281"/>
      <c r="AW361" s="281"/>
      <c r="AX361" s="281"/>
      <c r="AY361" s="281"/>
      <c r="AZ361" s="281"/>
    </row>
    <row r="362" spans="1:52" ht="15" customHeight="1" x14ac:dyDescent="0.3">
      <c r="A362" s="294">
        <v>46011</v>
      </c>
      <c r="B362" s="321" t="s">
        <v>47</v>
      </c>
      <c r="C362" s="321" t="s">
        <v>47</v>
      </c>
      <c r="D362" s="294" t="s">
        <v>79</v>
      </c>
      <c r="E362" s="321" t="s">
        <v>49</v>
      </c>
      <c r="F362" s="295">
        <v>15125845</v>
      </c>
      <c r="G362" s="296">
        <v>20303664</v>
      </c>
      <c r="H362" s="280" t="s">
        <v>58</v>
      </c>
      <c r="I362" s="323" t="s">
        <v>62</v>
      </c>
      <c r="J362" s="323" t="s">
        <v>1562</v>
      </c>
      <c r="K362" s="294">
        <v>46062</v>
      </c>
      <c r="L362" s="294">
        <v>46076</v>
      </c>
      <c r="M362" s="284">
        <f>Table1[[#This Row],[Dep Date]]-Table1[[#This Row],[Arr Date]]</f>
        <v>14</v>
      </c>
      <c r="N362" s="323" t="s">
        <v>52</v>
      </c>
      <c r="O362" s="321">
        <v>1</v>
      </c>
      <c r="P362" s="321">
        <v>2</v>
      </c>
      <c r="Q362" s="321"/>
      <c r="R362" s="321"/>
      <c r="S362" s="321" t="s">
        <v>53</v>
      </c>
      <c r="T362" s="326" t="s">
        <v>1969</v>
      </c>
      <c r="U362" s="297">
        <v>0</v>
      </c>
      <c r="V362" s="294"/>
      <c r="W362" s="297">
        <v>0</v>
      </c>
      <c r="X362" s="294"/>
      <c r="Y362" s="329"/>
      <c r="Z362" s="329"/>
      <c r="AA362" s="332">
        <f>Table1[[#This Row],[Selling USD]]-Table1[[#This Row],[Cost USD]]</f>
        <v>0</v>
      </c>
      <c r="AB362" s="335">
        <f>46*2*14</f>
        <v>1288</v>
      </c>
      <c r="AC362" s="298">
        <v>1316</v>
      </c>
      <c r="AD362" s="299">
        <f>Table1[[#This Row],[Selling EUR]]-Table1[[#This Row],[Cost EUR]]</f>
        <v>28</v>
      </c>
      <c r="AE362" s="321" t="s">
        <v>54</v>
      </c>
      <c r="AF362" s="294">
        <v>46058</v>
      </c>
      <c r="AG362" s="294"/>
      <c r="AH362" s="321"/>
      <c r="AI362" s="323"/>
      <c r="AJ362" s="338"/>
      <c r="AK362" s="323"/>
      <c r="AL362" s="338"/>
      <c r="AM362" s="338"/>
      <c r="AN362" s="323"/>
      <c r="AO362" s="282"/>
      <c r="AP362" s="306"/>
      <c r="AQ362" s="282"/>
      <c r="AR362" s="282"/>
      <c r="AS362" s="282"/>
      <c r="AT362" s="281"/>
      <c r="AU362" s="281"/>
      <c r="AV362" s="281"/>
      <c r="AW362" s="281"/>
      <c r="AX362" s="281"/>
      <c r="AY362" s="281"/>
      <c r="AZ362" s="281"/>
    </row>
    <row r="363" spans="1:52" ht="15" customHeight="1" x14ac:dyDescent="0.3">
      <c r="A363" s="294">
        <v>46011</v>
      </c>
      <c r="B363" s="321" t="s">
        <v>47</v>
      </c>
      <c r="C363" s="321" t="s">
        <v>47</v>
      </c>
      <c r="D363" s="294" t="s">
        <v>48</v>
      </c>
      <c r="E363" s="321" t="s">
        <v>49</v>
      </c>
      <c r="F363" s="295">
        <v>17169827</v>
      </c>
      <c r="G363" s="296"/>
      <c r="H363" s="280" t="s">
        <v>50</v>
      </c>
      <c r="I363" s="323" t="s">
        <v>68</v>
      </c>
      <c r="J363" s="323" t="s">
        <v>2585</v>
      </c>
      <c r="K363" s="294">
        <v>46047</v>
      </c>
      <c r="L363" s="294">
        <v>46061</v>
      </c>
      <c r="M363" s="284">
        <f>Table1[[#This Row],[Dep Date]]-Table1[[#This Row],[Arr Date]]</f>
        <v>14</v>
      </c>
      <c r="N363" s="323" t="s">
        <v>52</v>
      </c>
      <c r="O363" s="321">
        <v>1</v>
      </c>
      <c r="P363" s="321">
        <v>2</v>
      </c>
      <c r="Q363" s="321"/>
      <c r="R363" s="321"/>
      <c r="S363" s="321" t="s">
        <v>53</v>
      </c>
      <c r="T363" s="326" t="s">
        <v>1970</v>
      </c>
      <c r="U363" s="297">
        <v>0</v>
      </c>
      <c r="V363" s="294"/>
      <c r="W363" s="297">
        <v>0</v>
      </c>
      <c r="X363" s="294"/>
      <c r="Y363" s="329"/>
      <c r="Z363" s="329"/>
      <c r="AA363" s="332">
        <f>Table1[[#This Row],[Selling USD]]-Table1[[#This Row],[Cost USD]]</f>
        <v>0</v>
      </c>
      <c r="AB363" s="335">
        <f>36*2*14</f>
        <v>1008</v>
      </c>
      <c r="AC363" s="298">
        <v>1064</v>
      </c>
      <c r="AD363" s="299">
        <f>Table1[[#This Row],[Selling EUR]]-Table1[[#This Row],[Cost EUR]]</f>
        <v>56</v>
      </c>
      <c r="AE363" s="321" t="s">
        <v>54</v>
      </c>
      <c r="AF363" s="294">
        <v>46040</v>
      </c>
      <c r="AG363" s="294"/>
      <c r="AH363" s="321"/>
      <c r="AI363" s="323"/>
      <c r="AJ363" s="338"/>
      <c r="AK363" s="323"/>
      <c r="AL363" s="338"/>
      <c r="AM363" s="338"/>
      <c r="AN363" s="323"/>
      <c r="AO363" s="282"/>
      <c r="AP363" s="306"/>
      <c r="AQ363" s="282"/>
      <c r="AR363" s="282"/>
      <c r="AS363" s="282"/>
      <c r="AT363" s="281"/>
      <c r="AU363" s="281"/>
      <c r="AV363" s="281"/>
      <c r="AW363" s="281"/>
      <c r="AX363" s="281"/>
      <c r="AY363" s="281"/>
      <c r="AZ363" s="281"/>
    </row>
    <row r="364" spans="1:52" ht="15" customHeight="1" x14ac:dyDescent="0.3">
      <c r="A364" s="294">
        <v>46013</v>
      </c>
      <c r="B364" s="321" t="s">
        <v>47</v>
      </c>
      <c r="C364" s="321" t="s">
        <v>47</v>
      </c>
      <c r="D364" s="294" t="s">
        <v>79</v>
      </c>
      <c r="E364" s="321" t="s">
        <v>49</v>
      </c>
      <c r="F364" s="295">
        <v>15147730</v>
      </c>
      <c r="G364" s="296">
        <v>20303665</v>
      </c>
      <c r="H364" s="280" t="s">
        <v>50</v>
      </c>
      <c r="I364" s="323" t="s">
        <v>67</v>
      </c>
      <c r="J364" s="323" t="s">
        <v>164</v>
      </c>
      <c r="K364" s="294">
        <v>46233</v>
      </c>
      <c r="L364" s="294">
        <v>46240</v>
      </c>
      <c r="M364" s="284">
        <f>Table1[[#This Row],[Dep Date]]-Table1[[#This Row],[Arr Date]]</f>
        <v>7</v>
      </c>
      <c r="N364" s="323" t="s">
        <v>52</v>
      </c>
      <c r="O364" s="321">
        <v>1</v>
      </c>
      <c r="P364" s="321">
        <v>2</v>
      </c>
      <c r="Q364" s="321"/>
      <c r="R364" s="321"/>
      <c r="S364" s="321" t="s">
        <v>53</v>
      </c>
      <c r="T364" s="326" t="s">
        <v>1971</v>
      </c>
      <c r="U364" s="297">
        <v>0</v>
      </c>
      <c r="V364" s="294"/>
      <c r="W364" s="297">
        <v>0</v>
      </c>
      <c r="X364" s="294"/>
      <c r="Y364" s="329"/>
      <c r="Z364" s="329"/>
      <c r="AA364" s="332">
        <f>Table1[[#This Row],[Selling USD]]-Table1[[#This Row],[Cost USD]]</f>
        <v>0</v>
      </c>
      <c r="AB364" s="335">
        <f>58*2*7</f>
        <v>812</v>
      </c>
      <c r="AC364" s="298">
        <v>959</v>
      </c>
      <c r="AD364" s="299">
        <f>Table1[[#This Row],[Selling EUR]]-Table1[[#This Row],[Cost EUR]]</f>
        <v>147</v>
      </c>
      <c r="AE364" s="321" t="s">
        <v>54</v>
      </c>
      <c r="AF364" s="294">
        <v>46223</v>
      </c>
      <c r="AG364" s="294"/>
      <c r="AH364" s="321"/>
      <c r="AI364" s="323"/>
      <c r="AJ364" s="338"/>
      <c r="AK364" s="323"/>
      <c r="AL364" s="338"/>
      <c r="AM364" s="338"/>
      <c r="AN364" s="323"/>
      <c r="AO364" s="282"/>
      <c r="AP364" s="306"/>
      <c r="AQ364" s="282"/>
      <c r="AR364" s="282"/>
      <c r="AS364" s="282"/>
      <c r="AT364" s="281"/>
      <c r="AU364" s="281"/>
      <c r="AV364" s="281"/>
      <c r="AW364" s="281"/>
      <c r="AX364" s="281"/>
      <c r="AY364" s="281"/>
      <c r="AZ364" s="281"/>
    </row>
    <row r="365" spans="1:52" ht="15" customHeight="1" x14ac:dyDescent="0.3">
      <c r="A365" s="294">
        <v>45959</v>
      </c>
      <c r="B365" s="321" t="s">
        <v>73</v>
      </c>
      <c r="C365" s="321" t="s">
        <v>73</v>
      </c>
      <c r="D365" s="294" t="s">
        <v>48</v>
      </c>
      <c r="E365" s="321" t="s">
        <v>49</v>
      </c>
      <c r="F365" s="295">
        <v>17047455</v>
      </c>
      <c r="G365" s="296">
        <v>2576558</v>
      </c>
      <c r="H365" s="280" t="s">
        <v>50</v>
      </c>
      <c r="I365" s="323" t="s">
        <v>103</v>
      </c>
      <c r="J365" s="323" t="s">
        <v>2536</v>
      </c>
      <c r="K365" s="294">
        <v>46122</v>
      </c>
      <c r="L365" s="294">
        <v>46131</v>
      </c>
      <c r="M365" s="284">
        <f>Table1[[#This Row],[Dep Date]]-Table1[[#This Row],[Arr Date]]</f>
        <v>9</v>
      </c>
      <c r="N365" s="323" t="s">
        <v>65</v>
      </c>
      <c r="O365" s="321">
        <v>1</v>
      </c>
      <c r="P365" s="321">
        <v>1</v>
      </c>
      <c r="Q365" s="321">
        <v>1</v>
      </c>
      <c r="R365" s="321"/>
      <c r="S365" s="321" t="s">
        <v>53</v>
      </c>
      <c r="T365" s="326" t="s">
        <v>1972</v>
      </c>
      <c r="U365" s="297" t="s">
        <v>2241</v>
      </c>
      <c r="V365" s="294"/>
      <c r="W365" s="297">
        <v>0</v>
      </c>
      <c r="X365" s="294"/>
      <c r="Y365" s="329"/>
      <c r="Z365" s="329"/>
      <c r="AA365" s="332">
        <f>Table1[[#This Row],[Selling USD]]-Table1[[#This Row],[Cost USD]]</f>
        <v>0</v>
      </c>
      <c r="AB365" s="335"/>
      <c r="AC365" s="298"/>
      <c r="AD365" s="299">
        <f>Table1[[#This Row],[Selling EUR]]-Table1[[#This Row],[Cost EUR]]</f>
        <v>0</v>
      </c>
      <c r="AE365" s="321"/>
      <c r="AF365" s="294"/>
      <c r="AG365" s="294"/>
      <c r="AH365" s="321"/>
      <c r="AI365" s="323"/>
      <c r="AJ365" s="338"/>
      <c r="AK365" s="323"/>
      <c r="AL365" s="338"/>
      <c r="AM365" s="338"/>
      <c r="AN365" s="323" t="s">
        <v>2417</v>
      </c>
      <c r="AO365" s="282"/>
      <c r="AP365" s="306"/>
      <c r="AQ365" s="282"/>
      <c r="AR365" s="282"/>
      <c r="AS365" s="282"/>
      <c r="AT365" s="281"/>
      <c r="AU365" s="281"/>
      <c r="AV365" s="281"/>
      <c r="AW365" s="281"/>
      <c r="AX365" s="281"/>
      <c r="AY365" s="281"/>
      <c r="AZ365" s="281"/>
    </row>
    <row r="366" spans="1:52" ht="15" customHeight="1" x14ac:dyDescent="0.3">
      <c r="A366" s="294">
        <v>46013</v>
      </c>
      <c r="B366" s="321" t="s">
        <v>73</v>
      </c>
      <c r="C366" s="321" t="s">
        <v>73</v>
      </c>
      <c r="D366" s="294" t="s">
        <v>79</v>
      </c>
      <c r="E366" s="321" t="s">
        <v>83</v>
      </c>
      <c r="F366" s="295">
        <v>15156090</v>
      </c>
      <c r="G366" s="296">
        <v>20303666</v>
      </c>
      <c r="H366" s="280" t="s">
        <v>84</v>
      </c>
      <c r="I366" s="323" t="s">
        <v>165</v>
      </c>
      <c r="J366" s="323" t="s">
        <v>2597</v>
      </c>
      <c r="K366" s="294">
        <v>46042</v>
      </c>
      <c r="L366" s="294">
        <v>46049</v>
      </c>
      <c r="M366" s="284">
        <f>Table1[[#This Row],[Dep Date]]-Table1[[#This Row],[Arr Date]]</f>
        <v>7</v>
      </c>
      <c r="N366" s="323" t="s">
        <v>52</v>
      </c>
      <c r="O366" s="321">
        <v>1</v>
      </c>
      <c r="P366" s="321">
        <v>2</v>
      </c>
      <c r="Q366" s="321"/>
      <c r="R366" s="321"/>
      <c r="S366" s="321" t="s">
        <v>53</v>
      </c>
      <c r="T366" s="326" t="s">
        <v>1973</v>
      </c>
      <c r="U366" s="297">
        <v>11</v>
      </c>
      <c r="V366" s="294"/>
      <c r="W366" s="297">
        <v>0</v>
      </c>
      <c r="X366" s="294"/>
      <c r="Y366" s="329"/>
      <c r="Z366" s="329"/>
      <c r="AA366" s="332">
        <f>Table1[[#This Row],[Selling USD]]-Table1[[#This Row],[Cost USD]]</f>
        <v>0</v>
      </c>
      <c r="AB366" s="335"/>
      <c r="AC366" s="298"/>
      <c r="AD366" s="299">
        <f>Table1[[#This Row],[Selling EUR]]-Table1[[#This Row],[Cost EUR]]</f>
        <v>0</v>
      </c>
      <c r="AE366" s="321"/>
      <c r="AF366" s="294"/>
      <c r="AG366" s="294"/>
      <c r="AH366" s="321"/>
      <c r="AI366" s="323"/>
      <c r="AJ366" s="338"/>
      <c r="AK366" s="323"/>
      <c r="AL366" s="338"/>
      <c r="AM366" s="338"/>
      <c r="AN366" s="323"/>
      <c r="AO366" s="282"/>
      <c r="AP366" s="306"/>
      <c r="AQ366" s="282"/>
      <c r="AR366" s="282"/>
      <c r="AS366" s="282"/>
      <c r="AT366" s="281"/>
      <c r="AU366" s="281"/>
      <c r="AV366" s="281"/>
      <c r="AW366" s="281"/>
      <c r="AX366" s="281"/>
      <c r="AY366" s="281"/>
      <c r="AZ366" s="281"/>
    </row>
    <row r="367" spans="1:52" ht="15" customHeight="1" x14ac:dyDescent="0.3">
      <c r="A367" s="294">
        <v>46017</v>
      </c>
      <c r="B367" s="321" t="s">
        <v>47</v>
      </c>
      <c r="C367" s="321" t="s">
        <v>47</v>
      </c>
      <c r="D367" s="294" t="s">
        <v>48</v>
      </c>
      <c r="E367" s="321" t="s">
        <v>61</v>
      </c>
      <c r="F367" s="295">
        <v>17178878</v>
      </c>
      <c r="G367" s="296"/>
      <c r="H367" s="280" t="s">
        <v>50</v>
      </c>
      <c r="I367" s="323" t="s">
        <v>133</v>
      </c>
      <c r="J367" s="323" t="s">
        <v>155</v>
      </c>
      <c r="K367" s="294">
        <v>46096</v>
      </c>
      <c r="L367" s="294">
        <v>46103</v>
      </c>
      <c r="M367" s="284">
        <f>Table1[[#This Row],[Dep Date]]-Table1[[#This Row],[Arr Date]]</f>
        <v>7</v>
      </c>
      <c r="N367" s="323" t="s">
        <v>65</v>
      </c>
      <c r="O367" s="321">
        <v>1</v>
      </c>
      <c r="P367" s="321">
        <v>1</v>
      </c>
      <c r="Q367" s="321">
        <v>1</v>
      </c>
      <c r="R367" s="321"/>
      <c r="S367" s="321" t="s">
        <v>53</v>
      </c>
      <c r="T367" s="326" t="s">
        <v>1974</v>
      </c>
      <c r="U367" s="297">
        <v>6</v>
      </c>
      <c r="V367" s="294"/>
      <c r="W367" s="297">
        <v>0</v>
      </c>
      <c r="X367" s="294"/>
      <c r="Y367" s="329">
        <f>42*1.5*5+57*1.5*2</f>
        <v>486</v>
      </c>
      <c r="Z367" s="329">
        <v>419</v>
      </c>
      <c r="AA367" s="332">
        <f>Table1[[#This Row],[Selling USD]]-Table1[[#This Row],[Cost USD]]</f>
        <v>-67</v>
      </c>
      <c r="AB367" s="335"/>
      <c r="AC367" s="298"/>
      <c r="AD367" s="299">
        <f>Table1[[#This Row],[Selling EUR]]-Table1[[#This Row],[Cost EUR]]</f>
        <v>0</v>
      </c>
      <c r="AE367" s="321" t="s">
        <v>54</v>
      </c>
      <c r="AF367" s="294">
        <v>46089</v>
      </c>
      <c r="AG367" s="294"/>
      <c r="AH367" s="321"/>
      <c r="AI367" s="323"/>
      <c r="AJ367" s="338"/>
      <c r="AK367" s="323"/>
      <c r="AL367" s="338"/>
      <c r="AM367" s="338"/>
      <c r="AN367" s="323"/>
      <c r="AO367" s="282"/>
      <c r="AP367" s="306"/>
      <c r="AQ367" s="282"/>
      <c r="AR367" s="282"/>
      <c r="AS367" s="282"/>
      <c r="AT367" s="281"/>
      <c r="AU367" s="281"/>
      <c r="AV367" s="281"/>
      <c r="AW367" s="281"/>
      <c r="AX367" s="281"/>
      <c r="AY367" s="281"/>
      <c r="AZ367" s="281"/>
    </row>
    <row r="368" spans="1:52" ht="15" customHeight="1" x14ac:dyDescent="0.3">
      <c r="A368" s="294">
        <v>46014</v>
      </c>
      <c r="B368" s="321" t="s">
        <v>47</v>
      </c>
      <c r="C368" s="321" t="s">
        <v>47</v>
      </c>
      <c r="D368" s="294" t="s">
        <v>48</v>
      </c>
      <c r="E368" s="321" t="s">
        <v>49</v>
      </c>
      <c r="F368" s="295">
        <v>17174719</v>
      </c>
      <c r="G368" s="296"/>
      <c r="H368" s="280" t="s">
        <v>50</v>
      </c>
      <c r="I368" s="323" t="s">
        <v>166</v>
      </c>
      <c r="J368" s="323" t="s">
        <v>2598</v>
      </c>
      <c r="K368" s="294">
        <v>46067</v>
      </c>
      <c r="L368" s="294">
        <v>46073</v>
      </c>
      <c r="M368" s="284">
        <f>Table1[[#This Row],[Dep Date]]-Table1[[#This Row],[Arr Date]]</f>
        <v>6</v>
      </c>
      <c r="N368" s="323" t="s">
        <v>65</v>
      </c>
      <c r="O368" s="321">
        <v>1</v>
      </c>
      <c r="P368" s="321">
        <v>1</v>
      </c>
      <c r="Q368" s="321">
        <v>1</v>
      </c>
      <c r="R368" s="321"/>
      <c r="S368" s="321" t="s">
        <v>53</v>
      </c>
      <c r="T368" s="326" t="s">
        <v>1975</v>
      </c>
      <c r="U368" s="297">
        <v>7</v>
      </c>
      <c r="V368" s="294"/>
      <c r="W368" s="297">
        <v>0</v>
      </c>
      <c r="X368" s="294"/>
      <c r="Y368" s="329"/>
      <c r="Z368" s="329"/>
      <c r="AA368" s="332">
        <f>Table1[[#This Row],[Selling USD]]-Table1[[#This Row],[Cost USD]]</f>
        <v>0</v>
      </c>
      <c r="AB368" s="335">
        <f>264*0.8*6</f>
        <v>1267.2</v>
      </c>
      <c r="AC368" s="298">
        <v>1292.4000000000001</v>
      </c>
      <c r="AD368" s="299">
        <f>Table1[[#This Row],[Selling EUR]]-Table1[[#This Row],[Cost EUR]]</f>
        <v>25.200000000000045</v>
      </c>
      <c r="AE368" s="321" t="s">
        <v>54</v>
      </c>
      <c r="AF368" s="294">
        <v>46058</v>
      </c>
      <c r="AG368" s="294"/>
      <c r="AH368" s="321"/>
      <c r="AI368" s="323"/>
      <c r="AJ368" s="338"/>
      <c r="AK368" s="323"/>
      <c r="AL368" s="338"/>
      <c r="AM368" s="338"/>
      <c r="AN368" s="323"/>
      <c r="AO368" s="282"/>
      <c r="AP368" s="306"/>
      <c r="AQ368" s="282"/>
      <c r="AR368" s="282"/>
      <c r="AS368" s="282"/>
      <c r="AT368" s="281"/>
      <c r="AU368" s="281"/>
      <c r="AV368" s="281"/>
      <c r="AW368" s="281"/>
      <c r="AX368" s="281"/>
      <c r="AY368" s="281"/>
      <c r="AZ368" s="281"/>
    </row>
    <row r="369" spans="1:52" ht="15" customHeight="1" x14ac:dyDescent="0.3">
      <c r="A369" s="294">
        <v>46014</v>
      </c>
      <c r="B369" s="321" t="s">
        <v>47</v>
      </c>
      <c r="C369" s="321" t="s">
        <v>47</v>
      </c>
      <c r="D369" s="294" t="s">
        <v>48</v>
      </c>
      <c r="E369" s="321" t="s">
        <v>49</v>
      </c>
      <c r="F369" s="295">
        <v>17174720</v>
      </c>
      <c r="G369" s="296"/>
      <c r="H369" s="280" t="s">
        <v>50</v>
      </c>
      <c r="I369" s="323" t="s">
        <v>166</v>
      </c>
      <c r="J369" s="323" t="s">
        <v>2598</v>
      </c>
      <c r="K369" s="294">
        <v>46067</v>
      </c>
      <c r="L369" s="294">
        <v>46073</v>
      </c>
      <c r="M369" s="284">
        <f>Table1[[#This Row],[Dep Date]]-Table1[[#This Row],[Arr Date]]</f>
        <v>6</v>
      </c>
      <c r="N369" s="323" t="s">
        <v>65</v>
      </c>
      <c r="O369" s="321">
        <v>1</v>
      </c>
      <c r="P369" s="321">
        <v>1</v>
      </c>
      <c r="Q369" s="321">
        <v>1</v>
      </c>
      <c r="R369" s="321"/>
      <c r="S369" s="321" t="s">
        <v>53</v>
      </c>
      <c r="T369" s="326" t="s">
        <v>1976</v>
      </c>
      <c r="U369" s="297">
        <v>10</v>
      </c>
      <c r="V369" s="294"/>
      <c r="W369" s="297">
        <v>0</v>
      </c>
      <c r="X369" s="294"/>
      <c r="Y369" s="329"/>
      <c r="Z369" s="329"/>
      <c r="AA369" s="332">
        <f>Table1[[#This Row],[Selling USD]]-Table1[[#This Row],[Cost USD]]</f>
        <v>0</v>
      </c>
      <c r="AB369" s="335">
        <f>264*0.8*6</f>
        <v>1267.2</v>
      </c>
      <c r="AC369" s="298">
        <v>1292.4000000000001</v>
      </c>
      <c r="AD369" s="299">
        <f>Table1[[#This Row],[Selling EUR]]-Table1[[#This Row],[Cost EUR]]</f>
        <v>25.200000000000045</v>
      </c>
      <c r="AE369" s="321" t="s">
        <v>54</v>
      </c>
      <c r="AF369" s="294">
        <v>46058</v>
      </c>
      <c r="AG369" s="294"/>
      <c r="AH369" s="321"/>
      <c r="AI369" s="323"/>
      <c r="AJ369" s="338"/>
      <c r="AK369" s="323"/>
      <c r="AL369" s="338"/>
      <c r="AM369" s="338"/>
      <c r="AN369" s="323"/>
      <c r="AO369" s="282"/>
      <c r="AP369" s="306"/>
      <c r="AQ369" s="282"/>
      <c r="AR369" s="282"/>
      <c r="AS369" s="282"/>
      <c r="AT369" s="281"/>
      <c r="AU369" s="281"/>
      <c r="AV369" s="281"/>
      <c r="AW369" s="281"/>
      <c r="AX369" s="281"/>
      <c r="AY369" s="281"/>
      <c r="AZ369" s="281"/>
    </row>
    <row r="370" spans="1:52" ht="15" customHeight="1" x14ac:dyDescent="0.3">
      <c r="A370" s="294">
        <v>46014</v>
      </c>
      <c r="B370" s="321" t="s">
        <v>47</v>
      </c>
      <c r="C370" s="321" t="s">
        <v>47</v>
      </c>
      <c r="D370" s="294" t="s">
        <v>79</v>
      </c>
      <c r="E370" s="321" t="s">
        <v>61</v>
      </c>
      <c r="F370" s="295">
        <v>15174991</v>
      </c>
      <c r="G370" s="296">
        <v>20303667</v>
      </c>
      <c r="H370" s="280" t="s">
        <v>84</v>
      </c>
      <c r="I370" s="323" t="s">
        <v>157</v>
      </c>
      <c r="J370" s="323" t="s">
        <v>2599</v>
      </c>
      <c r="K370" s="294">
        <v>46023</v>
      </c>
      <c r="L370" s="294">
        <v>46027</v>
      </c>
      <c r="M370" s="284">
        <f>Table1[[#This Row],[Dep Date]]-Table1[[#This Row],[Arr Date]]</f>
        <v>4</v>
      </c>
      <c r="N370" s="323" t="s">
        <v>52</v>
      </c>
      <c r="O370" s="321">
        <v>1</v>
      </c>
      <c r="P370" s="321">
        <v>2</v>
      </c>
      <c r="Q370" s="321"/>
      <c r="R370" s="321"/>
      <c r="S370" s="321" t="s">
        <v>53</v>
      </c>
      <c r="T370" s="326" t="s">
        <v>1977</v>
      </c>
      <c r="U370" s="297">
        <v>0</v>
      </c>
      <c r="V370" s="294"/>
      <c r="W370" s="297">
        <v>0</v>
      </c>
      <c r="X370" s="294"/>
      <c r="Y370" s="329">
        <f>225*3+185*1</f>
        <v>860</v>
      </c>
      <c r="Z370" s="329">
        <v>868</v>
      </c>
      <c r="AA370" s="332">
        <f>Table1[[#This Row],[Selling USD]]-Table1[[#This Row],[Cost USD]]</f>
        <v>8</v>
      </c>
      <c r="AB370" s="335"/>
      <c r="AC370" s="298"/>
      <c r="AD370" s="299">
        <f>Table1[[#This Row],[Selling EUR]]-Table1[[#This Row],[Cost EUR]]</f>
        <v>0</v>
      </c>
      <c r="AE370" s="321" t="s">
        <v>54</v>
      </c>
      <c r="AF370" s="294" t="s">
        <v>2274</v>
      </c>
      <c r="AG370" s="294"/>
      <c r="AH370" s="321"/>
      <c r="AI370" s="323"/>
      <c r="AJ370" s="338"/>
      <c r="AK370" s="323"/>
      <c r="AL370" s="338"/>
      <c r="AM370" s="338"/>
      <c r="AN370" s="323"/>
      <c r="AO370" s="282"/>
      <c r="AP370" s="306"/>
      <c r="AQ370" s="282"/>
      <c r="AR370" s="282"/>
      <c r="AS370" s="282"/>
      <c r="AT370" s="281"/>
      <c r="AU370" s="281"/>
      <c r="AV370" s="281"/>
      <c r="AW370" s="281"/>
      <c r="AX370" s="281"/>
      <c r="AY370" s="281"/>
      <c r="AZ370" s="281"/>
    </row>
    <row r="371" spans="1:52" ht="15" customHeight="1" x14ac:dyDescent="0.3">
      <c r="A371" s="294">
        <v>46015</v>
      </c>
      <c r="B371" s="321" t="s">
        <v>47</v>
      </c>
      <c r="C371" s="321" t="s">
        <v>47</v>
      </c>
      <c r="D371" s="294" t="s">
        <v>137</v>
      </c>
      <c r="E371" s="321" t="s">
        <v>138</v>
      </c>
      <c r="F371" s="295"/>
      <c r="G371" s="296"/>
      <c r="H371" s="280" t="s">
        <v>84</v>
      </c>
      <c r="I371" s="323" t="s">
        <v>2600</v>
      </c>
      <c r="J371" s="323" t="s">
        <v>2564</v>
      </c>
      <c r="K371" s="294">
        <v>46018</v>
      </c>
      <c r="L371" s="294">
        <v>46018</v>
      </c>
      <c r="M371" s="284">
        <f>Table1[[#This Row],[Dep Date]]-Table1[[#This Row],[Arr Date]]</f>
        <v>0</v>
      </c>
      <c r="N371" s="323"/>
      <c r="O371" s="321"/>
      <c r="P371" s="321">
        <v>2</v>
      </c>
      <c r="Q371" s="321"/>
      <c r="R371" s="321"/>
      <c r="S371" s="321"/>
      <c r="T371" s="326" t="s">
        <v>1978</v>
      </c>
      <c r="U371" s="297">
        <v>0</v>
      </c>
      <c r="V371" s="294"/>
      <c r="W371" s="297">
        <v>0</v>
      </c>
      <c r="X371" s="294"/>
      <c r="Y371" s="329"/>
      <c r="Z371" s="329"/>
      <c r="AA371" s="332">
        <f>Table1[[#This Row],[Selling USD]]-Table1[[#This Row],[Cost USD]]</f>
        <v>0</v>
      </c>
      <c r="AB371" s="335"/>
      <c r="AC371" s="298"/>
      <c r="AD371" s="299">
        <f>Table1[[#This Row],[Selling EUR]]-Table1[[#This Row],[Cost EUR]]</f>
        <v>0</v>
      </c>
      <c r="AE371" s="321" t="s">
        <v>54</v>
      </c>
      <c r="AF371" s="294"/>
      <c r="AG371" s="294"/>
      <c r="AH371" s="321">
        <v>100</v>
      </c>
      <c r="AI371" s="323"/>
      <c r="AJ371" s="338"/>
      <c r="AK371" s="323" t="s">
        <v>2418</v>
      </c>
      <c r="AL371" s="338">
        <v>0.84027777777777779</v>
      </c>
      <c r="AM371" s="338"/>
      <c r="AN371" s="323"/>
      <c r="AO371" s="282"/>
      <c r="AP371" s="306"/>
      <c r="AQ371" s="282"/>
      <c r="AR371" s="282"/>
      <c r="AS371" s="282"/>
      <c r="AT371" s="281"/>
      <c r="AU371" s="281"/>
      <c r="AV371" s="281"/>
      <c r="AW371" s="281"/>
      <c r="AX371" s="281"/>
      <c r="AY371" s="281"/>
      <c r="AZ371" s="281"/>
    </row>
    <row r="372" spans="1:52" ht="15" customHeight="1" x14ac:dyDescent="0.3">
      <c r="A372" s="294">
        <v>46015</v>
      </c>
      <c r="B372" s="321" t="s">
        <v>73</v>
      </c>
      <c r="C372" s="321" t="s">
        <v>73</v>
      </c>
      <c r="D372" s="294" t="s">
        <v>137</v>
      </c>
      <c r="E372" s="321" t="s">
        <v>138</v>
      </c>
      <c r="F372" s="295">
        <v>2025019</v>
      </c>
      <c r="G372" s="296">
        <v>20303648</v>
      </c>
      <c r="H372" s="280" t="s">
        <v>84</v>
      </c>
      <c r="I372" s="323" t="s">
        <v>163</v>
      </c>
      <c r="J372" s="323" t="s">
        <v>2523</v>
      </c>
      <c r="K372" s="294">
        <v>46026</v>
      </c>
      <c r="L372" s="294">
        <v>46033</v>
      </c>
      <c r="M372" s="284">
        <f>Table1[[#This Row],[Dep Date]]-Table1[[#This Row],[Arr Date]]</f>
        <v>7</v>
      </c>
      <c r="N372" s="323" t="s">
        <v>52</v>
      </c>
      <c r="O372" s="321"/>
      <c r="P372" s="321">
        <v>2</v>
      </c>
      <c r="Q372" s="321"/>
      <c r="R372" s="321"/>
      <c r="S372" s="321" t="s">
        <v>53</v>
      </c>
      <c r="T372" s="326" t="s">
        <v>1979</v>
      </c>
      <c r="U372" s="297">
        <v>0</v>
      </c>
      <c r="V372" s="294"/>
      <c r="W372" s="297">
        <v>0</v>
      </c>
      <c r="X372" s="294"/>
      <c r="Y372" s="329"/>
      <c r="Z372" s="329"/>
      <c r="AA372" s="332">
        <f>Table1[[#This Row],[Selling USD]]-Table1[[#This Row],[Cost USD]]</f>
        <v>0</v>
      </c>
      <c r="AB372" s="335"/>
      <c r="AC372" s="298">
        <v>1190</v>
      </c>
      <c r="AD372" s="299">
        <f>Table1[[#This Row],[Selling EUR]]-Table1[[#This Row],[Cost EUR]]</f>
        <v>1190</v>
      </c>
      <c r="AE372" s="321"/>
      <c r="AF372" s="294"/>
      <c r="AG372" s="294"/>
      <c r="AH372" s="321"/>
      <c r="AI372" s="323"/>
      <c r="AJ372" s="338"/>
      <c r="AK372" s="323"/>
      <c r="AL372" s="338"/>
      <c r="AM372" s="338"/>
      <c r="AN372" s="323"/>
      <c r="AO372" s="282"/>
      <c r="AP372" s="306"/>
      <c r="AQ372" s="282"/>
      <c r="AR372" s="282"/>
      <c r="AS372" s="282"/>
      <c r="AT372" s="281"/>
      <c r="AU372" s="281"/>
      <c r="AV372" s="281"/>
      <c r="AW372" s="281"/>
      <c r="AX372" s="281"/>
      <c r="AY372" s="281"/>
      <c r="AZ372" s="281"/>
    </row>
    <row r="373" spans="1:52" ht="15" customHeight="1" x14ac:dyDescent="0.3">
      <c r="A373" s="294">
        <v>46016</v>
      </c>
      <c r="B373" s="321" t="s">
        <v>73</v>
      </c>
      <c r="C373" s="321" t="s">
        <v>73</v>
      </c>
      <c r="D373" s="294" t="s">
        <v>79</v>
      </c>
      <c r="E373" s="321" t="s">
        <v>106</v>
      </c>
      <c r="F373" s="295">
        <v>15191842</v>
      </c>
      <c r="G373" s="296">
        <v>20303668</v>
      </c>
      <c r="H373" s="280" t="s">
        <v>50</v>
      </c>
      <c r="I373" s="323" t="s">
        <v>82</v>
      </c>
      <c r="J373" s="323" t="s">
        <v>2520</v>
      </c>
      <c r="K373" s="294">
        <v>46100</v>
      </c>
      <c r="L373" s="294">
        <v>46107</v>
      </c>
      <c r="M373" s="284">
        <f>Table1[[#This Row],[Dep Date]]-Table1[[#This Row],[Arr Date]]</f>
        <v>7</v>
      </c>
      <c r="N373" s="323" t="s">
        <v>52</v>
      </c>
      <c r="O373" s="321">
        <v>1</v>
      </c>
      <c r="P373" s="321">
        <v>2</v>
      </c>
      <c r="Q373" s="321">
        <v>2</v>
      </c>
      <c r="R373" s="321"/>
      <c r="S373" s="321" t="s">
        <v>53</v>
      </c>
      <c r="T373" s="326" t="s">
        <v>1980</v>
      </c>
      <c r="U373" s="297">
        <v>6</v>
      </c>
      <c r="V373" s="294"/>
      <c r="W373" s="297">
        <v>5</v>
      </c>
      <c r="X373" s="294"/>
      <c r="Y373" s="329"/>
      <c r="Z373" s="329"/>
      <c r="AA373" s="332">
        <f>Table1[[#This Row],[Selling USD]]-Table1[[#This Row],[Cost USD]]</f>
        <v>0</v>
      </c>
      <c r="AB373" s="335"/>
      <c r="AC373" s="298"/>
      <c r="AD373" s="299">
        <f>Table1[[#This Row],[Selling EUR]]-Table1[[#This Row],[Cost EUR]]</f>
        <v>0</v>
      </c>
      <c r="AE373" s="321"/>
      <c r="AF373" s="294"/>
      <c r="AG373" s="294"/>
      <c r="AH373" s="321"/>
      <c r="AI373" s="323"/>
      <c r="AJ373" s="338"/>
      <c r="AK373" s="323"/>
      <c r="AL373" s="338"/>
      <c r="AM373" s="338"/>
      <c r="AN373" s="323"/>
      <c r="AO373" s="282"/>
      <c r="AP373" s="306"/>
      <c r="AQ373" s="282"/>
      <c r="AR373" s="282"/>
      <c r="AS373" s="282"/>
      <c r="AT373" s="281"/>
      <c r="AU373" s="281"/>
      <c r="AV373" s="281"/>
      <c r="AW373" s="281"/>
      <c r="AX373" s="281"/>
      <c r="AY373" s="281"/>
      <c r="AZ373" s="281"/>
    </row>
    <row r="374" spans="1:52" ht="15" customHeight="1" x14ac:dyDescent="0.3">
      <c r="A374" s="294">
        <v>46017</v>
      </c>
      <c r="B374" s="321" t="s">
        <v>73</v>
      </c>
      <c r="C374" s="321" t="s">
        <v>73</v>
      </c>
      <c r="D374" s="294" t="s">
        <v>48</v>
      </c>
      <c r="E374" s="321" t="s">
        <v>49</v>
      </c>
      <c r="F374" s="295">
        <v>17179694</v>
      </c>
      <c r="G374" s="296"/>
      <c r="H374" s="280" t="s">
        <v>58</v>
      </c>
      <c r="I374" s="323" t="s">
        <v>62</v>
      </c>
      <c r="J374" s="323" t="s">
        <v>146</v>
      </c>
      <c r="K374" s="294">
        <v>46219</v>
      </c>
      <c r="L374" s="294">
        <v>46229</v>
      </c>
      <c r="M374" s="284">
        <f>Table1[[#This Row],[Dep Date]]-Table1[[#This Row],[Arr Date]]</f>
        <v>10</v>
      </c>
      <c r="N374" s="323" t="s">
        <v>52</v>
      </c>
      <c r="O374" s="321">
        <v>1</v>
      </c>
      <c r="P374" s="321">
        <v>2</v>
      </c>
      <c r="Q374" s="321">
        <v>1</v>
      </c>
      <c r="R374" s="321"/>
      <c r="S374" s="321" t="s">
        <v>53</v>
      </c>
      <c r="T374" s="326" t="s">
        <v>167</v>
      </c>
      <c r="U374" s="297">
        <v>13</v>
      </c>
      <c r="V374" s="294"/>
      <c r="W374" s="297">
        <v>0</v>
      </c>
      <c r="X374" s="294"/>
      <c r="Y374" s="329"/>
      <c r="Z374" s="329"/>
      <c r="AA374" s="332">
        <f>Table1[[#This Row],[Selling USD]]-Table1[[#This Row],[Cost USD]]</f>
        <v>0</v>
      </c>
      <c r="AB374" s="335"/>
      <c r="AC374" s="298"/>
      <c r="AD374" s="299">
        <f>Table1[[#This Row],[Selling EUR]]-Table1[[#This Row],[Cost EUR]]</f>
        <v>0</v>
      </c>
      <c r="AE374" s="321"/>
      <c r="AF374" s="294"/>
      <c r="AG374" s="294"/>
      <c r="AH374" s="321"/>
      <c r="AI374" s="323"/>
      <c r="AJ374" s="338"/>
      <c r="AK374" s="323"/>
      <c r="AL374" s="338"/>
      <c r="AM374" s="338"/>
      <c r="AN374" s="323"/>
      <c r="AO374" s="282"/>
      <c r="AP374" s="306"/>
      <c r="AQ374" s="282"/>
      <c r="AR374" s="282"/>
      <c r="AS374" s="282"/>
      <c r="AT374" s="281"/>
      <c r="AU374" s="281"/>
      <c r="AV374" s="281"/>
      <c r="AW374" s="281"/>
      <c r="AX374" s="281"/>
      <c r="AY374" s="281"/>
      <c r="AZ374" s="281"/>
    </row>
    <row r="375" spans="1:52" ht="15" customHeight="1" x14ac:dyDescent="0.3">
      <c r="A375" s="294">
        <v>46018</v>
      </c>
      <c r="B375" s="321" t="s">
        <v>73</v>
      </c>
      <c r="C375" s="321" t="s">
        <v>73</v>
      </c>
      <c r="D375" s="294" t="s">
        <v>79</v>
      </c>
      <c r="E375" s="321" t="s">
        <v>61</v>
      </c>
      <c r="F375" s="295">
        <v>15221491</v>
      </c>
      <c r="G375" s="296">
        <v>20303669</v>
      </c>
      <c r="H375" s="280" t="s">
        <v>50</v>
      </c>
      <c r="I375" s="323" t="s">
        <v>55</v>
      </c>
      <c r="J375" s="323" t="s">
        <v>99</v>
      </c>
      <c r="K375" s="294">
        <v>46056</v>
      </c>
      <c r="L375" s="294">
        <v>46063</v>
      </c>
      <c r="M375" s="284">
        <f>Table1[[#This Row],[Dep Date]]-Table1[[#This Row],[Arr Date]]</f>
        <v>7</v>
      </c>
      <c r="N375" s="323" t="s">
        <v>52</v>
      </c>
      <c r="O375" s="321">
        <v>1</v>
      </c>
      <c r="P375" s="321">
        <v>2</v>
      </c>
      <c r="Q375" s="321"/>
      <c r="R375" s="321"/>
      <c r="S375" s="321" t="s">
        <v>53</v>
      </c>
      <c r="T375" s="326" t="s">
        <v>1981</v>
      </c>
      <c r="U375" s="297">
        <v>0</v>
      </c>
      <c r="V375" s="294"/>
      <c r="W375" s="297">
        <v>0</v>
      </c>
      <c r="X375" s="294"/>
      <c r="Y375" s="329"/>
      <c r="Z375" s="329"/>
      <c r="AA375" s="332">
        <f>Table1[[#This Row],[Selling USD]]-Table1[[#This Row],[Cost USD]]</f>
        <v>0</v>
      </c>
      <c r="AB375" s="335"/>
      <c r="AC375" s="298"/>
      <c r="AD375" s="299">
        <f>Table1[[#This Row],[Selling EUR]]-Table1[[#This Row],[Cost EUR]]</f>
        <v>0</v>
      </c>
      <c r="AE375" s="321"/>
      <c r="AF375" s="294"/>
      <c r="AG375" s="294"/>
      <c r="AH375" s="321"/>
      <c r="AI375" s="323"/>
      <c r="AJ375" s="338"/>
      <c r="AK375" s="323"/>
      <c r="AL375" s="338"/>
      <c r="AM375" s="338"/>
      <c r="AN375" s="323"/>
      <c r="AO375" s="282"/>
      <c r="AP375" s="306"/>
      <c r="AQ375" s="282"/>
      <c r="AR375" s="282"/>
      <c r="AS375" s="282"/>
      <c r="AT375" s="281"/>
      <c r="AU375" s="281"/>
      <c r="AV375" s="281"/>
      <c r="AW375" s="281"/>
      <c r="AX375" s="281"/>
      <c r="AY375" s="281"/>
      <c r="AZ375" s="281"/>
    </row>
    <row r="376" spans="1:52" ht="15" customHeight="1" x14ac:dyDescent="0.3">
      <c r="A376" s="294">
        <v>46018</v>
      </c>
      <c r="B376" s="321" t="s">
        <v>47</v>
      </c>
      <c r="C376" s="321" t="s">
        <v>47</v>
      </c>
      <c r="D376" s="294" t="s">
        <v>48</v>
      </c>
      <c r="E376" s="321" t="s">
        <v>49</v>
      </c>
      <c r="F376" s="295">
        <v>17181046</v>
      </c>
      <c r="G376" s="296"/>
      <c r="H376" s="280" t="s">
        <v>58</v>
      </c>
      <c r="I376" s="323" t="s">
        <v>62</v>
      </c>
      <c r="J376" s="323" t="s">
        <v>72</v>
      </c>
      <c r="K376" s="294">
        <v>46046</v>
      </c>
      <c r="L376" s="294">
        <v>46077</v>
      </c>
      <c r="M376" s="284">
        <f>Table1[[#This Row],[Dep Date]]-Table1[[#This Row],[Arr Date]]</f>
        <v>31</v>
      </c>
      <c r="N376" s="323" t="s">
        <v>52</v>
      </c>
      <c r="O376" s="321">
        <v>1</v>
      </c>
      <c r="P376" s="321">
        <v>2</v>
      </c>
      <c r="Q376" s="321"/>
      <c r="R376" s="321"/>
      <c r="S376" s="321" t="s">
        <v>53</v>
      </c>
      <c r="T376" s="326" t="s">
        <v>1982</v>
      </c>
      <c r="U376" s="297">
        <v>0</v>
      </c>
      <c r="V376" s="294"/>
      <c r="W376" s="297">
        <v>0</v>
      </c>
      <c r="X376" s="294"/>
      <c r="Y376" s="329"/>
      <c r="Z376" s="329"/>
      <c r="AA376" s="332">
        <f>Table1[[#This Row],[Selling USD]]-Table1[[#This Row],[Cost USD]]</f>
        <v>0</v>
      </c>
      <c r="AB376" s="335">
        <f>46*2*31</f>
        <v>2852</v>
      </c>
      <c r="AC376" s="298">
        <v>2976</v>
      </c>
      <c r="AD376" s="299">
        <f>Table1[[#This Row],[Selling EUR]]-Table1[[#This Row],[Cost EUR]]</f>
        <v>124</v>
      </c>
      <c r="AE376" s="321" t="s">
        <v>54</v>
      </c>
      <c r="AF376" s="294">
        <v>46040</v>
      </c>
      <c r="AG376" s="294"/>
      <c r="AH376" s="321"/>
      <c r="AI376" s="323"/>
      <c r="AJ376" s="338"/>
      <c r="AK376" s="323"/>
      <c r="AL376" s="338"/>
      <c r="AM376" s="338"/>
      <c r="AN376" s="323"/>
      <c r="AO376" s="282"/>
      <c r="AP376" s="306"/>
      <c r="AQ376" s="282"/>
      <c r="AR376" s="282"/>
      <c r="AS376" s="282"/>
      <c r="AT376" s="281"/>
      <c r="AU376" s="281"/>
      <c r="AV376" s="281"/>
      <c r="AW376" s="281"/>
      <c r="AX376" s="281"/>
      <c r="AY376" s="281"/>
      <c r="AZ376" s="281"/>
    </row>
    <row r="377" spans="1:52" ht="15" customHeight="1" x14ac:dyDescent="0.3">
      <c r="A377" s="294">
        <v>46141.041666666599</v>
      </c>
      <c r="B377" s="321" t="s">
        <v>47</v>
      </c>
      <c r="C377" s="321" t="s">
        <v>47</v>
      </c>
      <c r="D377" s="294" t="s">
        <v>48</v>
      </c>
      <c r="E377" s="321" t="s">
        <v>49</v>
      </c>
      <c r="F377" s="295">
        <v>17560494</v>
      </c>
      <c r="G377" s="296"/>
      <c r="H377" s="280" t="s">
        <v>50</v>
      </c>
      <c r="I377" s="323" t="s">
        <v>104</v>
      </c>
      <c r="J377" s="323" t="s">
        <v>2601</v>
      </c>
      <c r="K377" s="294">
        <v>46162.041666666599</v>
      </c>
      <c r="L377" s="294">
        <v>46168.041666666664</v>
      </c>
      <c r="M377" s="284">
        <f>Table1[[#This Row],[Dep Date]]-Table1[[#This Row],[Arr Date]]</f>
        <v>6.0000000000654836</v>
      </c>
      <c r="N377" s="323" t="s">
        <v>52</v>
      </c>
      <c r="O377" s="321">
        <v>1</v>
      </c>
      <c r="P377" s="321">
        <v>2</v>
      </c>
      <c r="Q377" s="321"/>
      <c r="R377" s="321"/>
      <c r="S377" s="321" t="s">
        <v>53</v>
      </c>
      <c r="T377" s="326" t="s">
        <v>1983</v>
      </c>
      <c r="U377" s="297"/>
      <c r="V377" s="294"/>
      <c r="W377" s="297"/>
      <c r="X377" s="294"/>
      <c r="Y377" s="329"/>
      <c r="Z377" s="329"/>
      <c r="AA377" s="332">
        <f>Table1[[#This Row],[Selling USD]]-Table1[[#This Row],[Cost USD]]</f>
        <v>0</v>
      </c>
      <c r="AB377" s="335">
        <f>168*2*0.59*6</f>
        <v>1189.4399999999998</v>
      </c>
      <c r="AC377" s="298">
        <v>1213.44</v>
      </c>
      <c r="AD377" s="299">
        <f>Table1[[#This Row],[Selling EUR]]-Table1[[#This Row],[Cost EUR]]</f>
        <v>24.000000000000227</v>
      </c>
      <c r="AE377" s="321" t="s">
        <v>54</v>
      </c>
      <c r="AF377" s="294">
        <v>46152.041666666599</v>
      </c>
      <c r="AG377" s="294" t="s">
        <v>2413</v>
      </c>
      <c r="AH377" s="321"/>
      <c r="AI377" s="323"/>
      <c r="AJ377" s="338"/>
      <c r="AK377" s="323"/>
      <c r="AL377" s="338"/>
      <c r="AM377" s="338"/>
      <c r="AN377" s="323"/>
      <c r="AO377" s="282"/>
      <c r="AP377" s="306"/>
      <c r="AQ377" s="282"/>
      <c r="AR377" s="282"/>
      <c r="AS377" s="282"/>
      <c r="AT377" s="281"/>
      <c r="AU377" s="281"/>
      <c r="AV377" s="281"/>
      <c r="AW377" s="281"/>
      <c r="AX377" s="281"/>
      <c r="AY377" s="281"/>
      <c r="AZ377" s="281"/>
    </row>
    <row r="378" spans="1:52" ht="15" customHeight="1" x14ac:dyDescent="0.3">
      <c r="A378" s="294">
        <v>46019</v>
      </c>
      <c r="B378" s="321" t="s">
        <v>47</v>
      </c>
      <c r="C378" s="321" t="s">
        <v>47</v>
      </c>
      <c r="D378" s="294" t="s">
        <v>48</v>
      </c>
      <c r="E378" s="321" t="s">
        <v>49</v>
      </c>
      <c r="F378" s="295">
        <v>17182152</v>
      </c>
      <c r="G378" s="296"/>
      <c r="H378" s="280" t="s">
        <v>58</v>
      </c>
      <c r="I378" s="323" t="s">
        <v>62</v>
      </c>
      <c r="J378" s="323" t="s">
        <v>146</v>
      </c>
      <c r="K378" s="294">
        <v>46075</v>
      </c>
      <c r="L378" s="294">
        <v>46084</v>
      </c>
      <c r="M378" s="284">
        <f>Table1[[#This Row],[Dep Date]]-Table1[[#This Row],[Arr Date]]</f>
        <v>9</v>
      </c>
      <c r="N378" s="323" t="s">
        <v>52</v>
      </c>
      <c r="O378" s="321">
        <v>1</v>
      </c>
      <c r="P378" s="321">
        <v>2</v>
      </c>
      <c r="Q378" s="321"/>
      <c r="R378" s="321"/>
      <c r="S378" s="321" t="s">
        <v>53</v>
      </c>
      <c r="T378" s="326" t="s">
        <v>1984</v>
      </c>
      <c r="U378" s="297"/>
      <c r="V378" s="294"/>
      <c r="W378" s="297"/>
      <c r="X378" s="294"/>
      <c r="Y378" s="329"/>
      <c r="Z378" s="329"/>
      <c r="AA378" s="332">
        <f>Table1[[#This Row],[Selling USD]]-Table1[[#This Row],[Cost USD]]</f>
        <v>0</v>
      </c>
      <c r="AB378" s="335">
        <f>46*2*7+70*2*2</f>
        <v>924</v>
      </c>
      <c r="AC378" s="298">
        <v>960</v>
      </c>
      <c r="AD378" s="299">
        <f>Table1[[#This Row],[Selling EUR]]-Table1[[#This Row],[Cost EUR]]</f>
        <v>36</v>
      </c>
      <c r="AE378" s="321" t="s">
        <v>54</v>
      </c>
      <c r="AF378" s="294" t="s">
        <v>2269</v>
      </c>
      <c r="AG378" s="294"/>
      <c r="AH378" s="321"/>
      <c r="AI378" s="323"/>
      <c r="AJ378" s="338"/>
      <c r="AK378" s="323"/>
      <c r="AL378" s="338"/>
      <c r="AM378" s="338"/>
      <c r="AN378" s="323"/>
      <c r="AO378" s="282"/>
      <c r="AP378" s="306"/>
      <c r="AQ378" s="282"/>
      <c r="AR378" s="282"/>
      <c r="AS378" s="282"/>
      <c r="AT378" s="281"/>
      <c r="AU378" s="281"/>
      <c r="AV378" s="281"/>
      <c r="AW378" s="281"/>
      <c r="AX378" s="281"/>
      <c r="AY378" s="281"/>
      <c r="AZ378" s="281"/>
    </row>
    <row r="379" spans="1:52" ht="15" customHeight="1" x14ac:dyDescent="0.3">
      <c r="A379" s="294">
        <v>46020</v>
      </c>
      <c r="B379" s="321" t="s">
        <v>47</v>
      </c>
      <c r="C379" s="321" t="s">
        <v>47</v>
      </c>
      <c r="D379" s="294" t="s">
        <v>79</v>
      </c>
      <c r="E379" s="321" t="s">
        <v>106</v>
      </c>
      <c r="F379" s="295">
        <v>15250461</v>
      </c>
      <c r="G379" s="296">
        <v>20303672</v>
      </c>
      <c r="H379" s="280" t="s">
        <v>50</v>
      </c>
      <c r="I379" s="323" t="s">
        <v>81</v>
      </c>
      <c r="J379" s="323" t="s">
        <v>1540</v>
      </c>
      <c r="K379" s="294">
        <v>46056</v>
      </c>
      <c r="L379" s="294">
        <v>46065</v>
      </c>
      <c r="M379" s="284">
        <f>Table1[[#This Row],[Dep Date]]-Table1[[#This Row],[Arr Date]]</f>
        <v>9</v>
      </c>
      <c r="N379" s="323" t="s">
        <v>52</v>
      </c>
      <c r="O379" s="321">
        <v>1</v>
      </c>
      <c r="P379" s="321">
        <v>2</v>
      </c>
      <c r="Q379" s="321"/>
      <c r="R379" s="321"/>
      <c r="S379" s="321" t="s">
        <v>53</v>
      </c>
      <c r="T379" s="326" t="s">
        <v>1985</v>
      </c>
      <c r="U379" s="297"/>
      <c r="V379" s="294"/>
      <c r="W379" s="297"/>
      <c r="X379" s="294"/>
      <c r="Y379" s="329">
        <f>55*2*9+30*2</f>
        <v>1050</v>
      </c>
      <c r="Z379" s="329">
        <v>1068</v>
      </c>
      <c r="AA379" s="332">
        <f>Table1[[#This Row],[Selling USD]]-Table1[[#This Row],[Cost USD]]</f>
        <v>18</v>
      </c>
      <c r="AB379" s="335"/>
      <c r="AC379" s="298"/>
      <c r="AD379" s="299">
        <f>Table1[[#This Row],[Selling EUR]]-Table1[[#This Row],[Cost EUR]]</f>
        <v>0</v>
      </c>
      <c r="AE379" s="321" t="s">
        <v>54</v>
      </c>
      <c r="AF379" s="294">
        <v>46049</v>
      </c>
      <c r="AG379" s="294"/>
      <c r="AH379" s="321"/>
      <c r="AI379" s="323"/>
      <c r="AJ379" s="338"/>
      <c r="AK379" s="323"/>
      <c r="AL379" s="338"/>
      <c r="AM379" s="338"/>
      <c r="AN379" s="323"/>
      <c r="AO379" s="282"/>
      <c r="AP379" s="306"/>
      <c r="AQ379" s="282"/>
      <c r="AR379" s="282"/>
      <c r="AS379" s="282"/>
      <c r="AT379" s="281"/>
      <c r="AU379" s="281"/>
      <c r="AV379" s="281"/>
      <c r="AW379" s="281"/>
      <c r="AX379" s="281"/>
      <c r="AY379" s="281"/>
      <c r="AZ379" s="281"/>
    </row>
    <row r="380" spans="1:52" ht="15" customHeight="1" x14ac:dyDescent="0.3">
      <c r="A380" s="294">
        <v>46020</v>
      </c>
      <c r="B380" s="321" t="s">
        <v>47</v>
      </c>
      <c r="C380" s="321" t="s">
        <v>47</v>
      </c>
      <c r="D380" s="294" t="s">
        <v>79</v>
      </c>
      <c r="E380" s="321" t="s">
        <v>106</v>
      </c>
      <c r="F380" s="295">
        <v>15250546</v>
      </c>
      <c r="G380" s="296">
        <v>20303673</v>
      </c>
      <c r="H380" s="280" t="s">
        <v>50</v>
      </c>
      <c r="I380" s="323" t="s">
        <v>81</v>
      </c>
      <c r="J380" s="323" t="s">
        <v>1540</v>
      </c>
      <c r="K380" s="294">
        <v>46056</v>
      </c>
      <c r="L380" s="294">
        <v>46065</v>
      </c>
      <c r="M380" s="284">
        <f>Table1[[#This Row],[Dep Date]]-Table1[[#This Row],[Arr Date]]</f>
        <v>9</v>
      </c>
      <c r="N380" s="323" t="s">
        <v>70</v>
      </c>
      <c r="O380" s="321">
        <v>1</v>
      </c>
      <c r="P380" s="321">
        <v>3</v>
      </c>
      <c r="Q380" s="321"/>
      <c r="R380" s="321"/>
      <c r="S380" s="321" t="s">
        <v>53</v>
      </c>
      <c r="T380" s="326" t="s">
        <v>1986</v>
      </c>
      <c r="U380" s="297"/>
      <c r="V380" s="294"/>
      <c r="W380" s="297"/>
      <c r="X380" s="294"/>
      <c r="Y380" s="329">
        <f>53*3*9+30*3</f>
        <v>1521</v>
      </c>
      <c r="Z380" s="329">
        <v>1548</v>
      </c>
      <c r="AA380" s="332">
        <f>Table1[[#This Row],[Selling USD]]-Table1[[#This Row],[Cost USD]]</f>
        <v>27</v>
      </c>
      <c r="AB380" s="335"/>
      <c r="AC380" s="298"/>
      <c r="AD380" s="299">
        <f>Table1[[#This Row],[Selling EUR]]-Table1[[#This Row],[Cost EUR]]</f>
        <v>0</v>
      </c>
      <c r="AE380" s="321" t="s">
        <v>54</v>
      </c>
      <c r="AF380" s="294">
        <v>46049</v>
      </c>
      <c r="AG380" s="294"/>
      <c r="AH380" s="321"/>
      <c r="AI380" s="323"/>
      <c r="AJ380" s="338"/>
      <c r="AK380" s="323"/>
      <c r="AL380" s="338"/>
      <c r="AM380" s="338"/>
      <c r="AN380" s="323"/>
      <c r="AO380" s="282"/>
      <c r="AP380" s="306"/>
      <c r="AQ380" s="282"/>
      <c r="AR380" s="282"/>
      <c r="AS380" s="282"/>
      <c r="AT380" s="281"/>
      <c r="AU380" s="281"/>
      <c r="AV380" s="281"/>
      <c r="AW380" s="281"/>
      <c r="AX380" s="281"/>
      <c r="AY380" s="281"/>
      <c r="AZ380" s="281"/>
    </row>
    <row r="381" spans="1:52" ht="15" customHeight="1" x14ac:dyDescent="0.3">
      <c r="A381" s="294">
        <v>46020</v>
      </c>
      <c r="B381" s="321" t="s">
        <v>47</v>
      </c>
      <c r="C381" s="321" t="s">
        <v>47</v>
      </c>
      <c r="D381" s="294" t="s">
        <v>48</v>
      </c>
      <c r="E381" s="321" t="s">
        <v>61</v>
      </c>
      <c r="F381" s="295">
        <v>17184489</v>
      </c>
      <c r="G381" s="296"/>
      <c r="H381" s="280" t="s">
        <v>50</v>
      </c>
      <c r="I381" s="323" t="s">
        <v>55</v>
      </c>
      <c r="J381" s="323" t="s">
        <v>99</v>
      </c>
      <c r="K381" s="294">
        <v>46061</v>
      </c>
      <c r="L381" s="294">
        <v>46068</v>
      </c>
      <c r="M381" s="284">
        <f>Table1[[#This Row],[Dep Date]]-Table1[[#This Row],[Arr Date]]</f>
        <v>7</v>
      </c>
      <c r="N381" s="323" t="s">
        <v>1618</v>
      </c>
      <c r="O381" s="321">
        <v>2</v>
      </c>
      <c r="P381" s="321">
        <v>3</v>
      </c>
      <c r="Q381" s="321">
        <v>4</v>
      </c>
      <c r="R381" s="321">
        <v>1</v>
      </c>
      <c r="S381" s="321" t="s">
        <v>53</v>
      </c>
      <c r="T381" s="327" t="s">
        <v>1987</v>
      </c>
      <c r="U381" s="297" t="s">
        <v>2275</v>
      </c>
      <c r="V381" s="294"/>
      <c r="W381" s="297">
        <v>1</v>
      </c>
      <c r="X381" s="294"/>
      <c r="Y381" s="329">
        <f>53*2*7+73*7</f>
        <v>1253</v>
      </c>
      <c r="Z381" s="329">
        <v>1421</v>
      </c>
      <c r="AA381" s="332">
        <f>Table1[[#This Row],[Selling USD]]-Table1[[#This Row],[Cost USD]]</f>
        <v>168</v>
      </c>
      <c r="AB381" s="335"/>
      <c r="AC381" s="298"/>
      <c r="AD381" s="299">
        <f>Table1[[#This Row],[Selling EUR]]-Table1[[#This Row],[Cost EUR]]</f>
        <v>0</v>
      </c>
      <c r="AE381" s="321" t="s">
        <v>54</v>
      </c>
      <c r="AF381" s="294">
        <v>46054</v>
      </c>
      <c r="AG381" s="294"/>
      <c r="AH381" s="321"/>
      <c r="AI381" s="323"/>
      <c r="AJ381" s="338"/>
      <c r="AK381" s="323"/>
      <c r="AL381" s="338"/>
      <c r="AM381" s="338"/>
      <c r="AN381" s="323"/>
      <c r="AO381" s="282"/>
      <c r="AP381" s="306"/>
      <c r="AQ381" s="282"/>
      <c r="AR381" s="282"/>
      <c r="AS381" s="282"/>
      <c r="AT381" s="281"/>
      <c r="AU381" s="281"/>
      <c r="AV381" s="281"/>
      <c r="AW381" s="281"/>
      <c r="AX381" s="281"/>
      <c r="AY381" s="281"/>
      <c r="AZ381" s="281"/>
    </row>
    <row r="382" spans="1:52" ht="15" customHeight="1" x14ac:dyDescent="0.3">
      <c r="A382" s="294">
        <v>46020</v>
      </c>
      <c r="B382" s="321" t="s">
        <v>47</v>
      </c>
      <c r="C382" s="321" t="s">
        <v>47</v>
      </c>
      <c r="D382" s="294" t="s">
        <v>48</v>
      </c>
      <c r="E382" s="321" t="s">
        <v>49</v>
      </c>
      <c r="F382" s="295">
        <v>17184656</v>
      </c>
      <c r="G382" s="296"/>
      <c r="H382" s="280" t="s">
        <v>50</v>
      </c>
      <c r="I382" s="323" t="s">
        <v>96</v>
      </c>
      <c r="J382" s="323" t="s">
        <v>2602</v>
      </c>
      <c r="K382" s="294">
        <v>46033</v>
      </c>
      <c r="L382" s="294">
        <v>46040</v>
      </c>
      <c r="M382" s="284">
        <f>Table1[[#This Row],[Dep Date]]-Table1[[#This Row],[Arr Date]]</f>
        <v>7</v>
      </c>
      <c r="N382" s="323" t="s">
        <v>52</v>
      </c>
      <c r="O382" s="321">
        <v>1</v>
      </c>
      <c r="P382" s="321">
        <v>2</v>
      </c>
      <c r="Q382" s="321"/>
      <c r="R382" s="321"/>
      <c r="S382" s="321" t="s">
        <v>53</v>
      </c>
      <c r="T382" s="326" t="s">
        <v>1988</v>
      </c>
      <c r="U382" s="297"/>
      <c r="V382" s="294"/>
      <c r="W382" s="297"/>
      <c r="X382" s="294"/>
      <c r="Y382" s="329"/>
      <c r="Z382" s="329"/>
      <c r="AA382" s="332">
        <f>Table1[[#This Row],[Selling USD]]-Table1[[#This Row],[Cost USD]]</f>
        <v>0</v>
      </c>
      <c r="AB382" s="335">
        <f>72*2*0.85*7</f>
        <v>856.8</v>
      </c>
      <c r="AC382" s="298">
        <v>880.6</v>
      </c>
      <c r="AD382" s="299">
        <f>Table1[[#This Row],[Selling EUR]]-Table1[[#This Row],[Cost EUR]]</f>
        <v>23.800000000000068</v>
      </c>
      <c r="AE382" s="321" t="s">
        <v>54</v>
      </c>
      <c r="AF382" s="294">
        <v>46113</v>
      </c>
      <c r="AG382" s="294"/>
      <c r="AH382" s="321"/>
      <c r="AI382" s="323"/>
      <c r="AJ382" s="338"/>
      <c r="AK382" s="323"/>
      <c r="AL382" s="338"/>
      <c r="AM382" s="338"/>
      <c r="AN382" s="323"/>
      <c r="AO382" s="282"/>
      <c r="AP382" s="306"/>
      <c r="AQ382" s="282"/>
      <c r="AR382" s="282"/>
      <c r="AS382" s="282"/>
      <c r="AT382" s="281"/>
      <c r="AU382" s="281"/>
      <c r="AV382" s="281"/>
      <c r="AW382" s="281"/>
      <c r="AX382" s="281"/>
      <c r="AY382" s="281"/>
      <c r="AZ382" s="281"/>
    </row>
    <row r="383" spans="1:52" ht="15" customHeight="1" x14ac:dyDescent="0.3">
      <c r="A383" s="294">
        <v>46021</v>
      </c>
      <c r="B383" s="321" t="s">
        <v>47</v>
      </c>
      <c r="C383" s="321" t="s">
        <v>47</v>
      </c>
      <c r="D383" s="294" t="s">
        <v>48</v>
      </c>
      <c r="E383" s="321" t="s">
        <v>49</v>
      </c>
      <c r="F383" s="295">
        <v>17187089</v>
      </c>
      <c r="G383" s="296"/>
      <c r="H383" s="280" t="s">
        <v>50</v>
      </c>
      <c r="I383" s="323" t="s">
        <v>68</v>
      </c>
      <c r="J383" s="323" t="s">
        <v>2585</v>
      </c>
      <c r="K383" s="294">
        <v>46106</v>
      </c>
      <c r="L383" s="294">
        <v>46113</v>
      </c>
      <c r="M383" s="284">
        <f>Table1[[#This Row],[Dep Date]]-Table1[[#This Row],[Arr Date]]</f>
        <v>7</v>
      </c>
      <c r="N383" s="323" t="s">
        <v>52</v>
      </c>
      <c r="O383" s="321">
        <v>1</v>
      </c>
      <c r="P383" s="321">
        <v>2</v>
      </c>
      <c r="Q383" s="321"/>
      <c r="R383" s="321"/>
      <c r="S383" s="321" t="s">
        <v>53</v>
      </c>
      <c r="T383" s="326" t="s">
        <v>1989</v>
      </c>
      <c r="U383" s="297"/>
      <c r="V383" s="294"/>
      <c r="W383" s="297"/>
      <c r="X383" s="294"/>
      <c r="Y383" s="329"/>
      <c r="Z383" s="329"/>
      <c r="AA383" s="332">
        <f>Table1[[#This Row],[Selling USD]]-Table1[[#This Row],[Cost USD]]</f>
        <v>0</v>
      </c>
      <c r="AB383" s="335">
        <f>50*2*7</f>
        <v>700</v>
      </c>
      <c r="AC383" s="298">
        <v>728</v>
      </c>
      <c r="AD383" s="299">
        <f>Table1[[#This Row],[Selling EUR]]-Table1[[#This Row],[Cost EUR]]</f>
        <v>28</v>
      </c>
      <c r="AE383" s="321" t="s">
        <v>54</v>
      </c>
      <c r="AF383" s="294" t="s">
        <v>2276</v>
      </c>
      <c r="AG383" s="294"/>
      <c r="AH383" s="321"/>
      <c r="AI383" s="323"/>
      <c r="AJ383" s="338"/>
      <c r="AK383" s="323"/>
      <c r="AL383" s="338"/>
      <c r="AM383" s="338"/>
      <c r="AN383" s="323"/>
      <c r="AO383" s="282"/>
      <c r="AP383" s="306"/>
      <c r="AQ383" s="282"/>
      <c r="AR383" s="282"/>
      <c r="AS383" s="282"/>
      <c r="AT383" s="281"/>
      <c r="AU383" s="281"/>
      <c r="AV383" s="281"/>
      <c r="AW383" s="281"/>
      <c r="AX383" s="281"/>
      <c r="AY383" s="281"/>
      <c r="AZ383" s="281"/>
    </row>
    <row r="384" spans="1:52" ht="15" customHeight="1" x14ac:dyDescent="0.3">
      <c r="A384" s="294">
        <v>46021</v>
      </c>
      <c r="B384" s="321" t="s">
        <v>73</v>
      </c>
      <c r="C384" s="321" t="s">
        <v>73</v>
      </c>
      <c r="D384" s="294" t="s">
        <v>137</v>
      </c>
      <c r="E384" s="321" t="s">
        <v>138</v>
      </c>
      <c r="F384" s="295">
        <v>20303649</v>
      </c>
      <c r="G384" s="296">
        <v>20303652</v>
      </c>
      <c r="H384" s="280" t="s">
        <v>84</v>
      </c>
      <c r="I384" s="323" t="s">
        <v>168</v>
      </c>
      <c r="J384" s="323" t="s">
        <v>2603</v>
      </c>
      <c r="K384" s="294">
        <v>46027</v>
      </c>
      <c r="L384" s="294">
        <v>46034</v>
      </c>
      <c r="M384" s="284">
        <f>Table1[[#This Row],[Dep Date]]-Table1[[#This Row],[Arr Date]]</f>
        <v>7</v>
      </c>
      <c r="N384" s="323" t="s">
        <v>52</v>
      </c>
      <c r="O384" s="321">
        <v>1</v>
      </c>
      <c r="P384" s="321">
        <v>2</v>
      </c>
      <c r="Q384" s="321"/>
      <c r="R384" s="321"/>
      <c r="S384" s="321" t="s">
        <v>53</v>
      </c>
      <c r="T384" s="326" t="s">
        <v>1990</v>
      </c>
      <c r="U384" s="297"/>
      <c r="V384" s="294"/>
      <c r="W384" s="297"/>
      <c r="X384" s="294"/>
      <c r="Y384" s="329"/>
      <c r="Z384" s="329"/>
      <c r="AA384" s="332">
        <f>Table1[[#This Row],[Selling USD]]-Table1[[#This Row],[Cost USD]]</f>
        <v>0</v>
      </c>
      <c r="AB384" s="335"/>
      <c r="AC384" s="298">
        <v>280</v>
      </c>
      <c r="AD384" s="299">
        <f>Table1[[#This Row],[Selling EUR]]-Table1[[#This Row],[Cost EUR]]</f>
        <v>280</v>
      </c>
      <c r="AE384" s="321"/>
      <c r="AF384" s="294"/>
      <c r="AG384" s="294"/>
      <c r="AH384" s="321"/>
      <c r="AI384" s="323"/>
      <c r="AJ384" s="338"/>
      <c r="AK384" s="323"/>
      <c r="AL384" s="338"/>
      <c r="AM384" s="338"/>
      <c r="AN384" s="323"/>
      <c r="AO384" s="282"/>
      <c r="AP384" s="306"/>
      <c r="AQ384" s="282"/>
      <c r="AR384" s="282"/>
      <c r="AS384" s="282"/>
      <c r="AT384" s="281"/>
      <c r="AU384" s="281"/>
      <c r="AV384" s="281"/>
      <c r="AW384" s="281"/>
      <c r="AX384" s="281"/>
      <c r="AY384" s="281"/>
      <c r="AZ384" s="281"/>
    </row>
    <row r="385" spans="1:52" ht="15" customHeight="1" x14ac:dyDescent="0.3">
      <c r="A385" s="294">
        <v>46022</v>
      </c>
      <c r="B385" s="321" t="s">
        <v>73</v>
      </c>
      <c r="C385" s="321" t="s">
        <v>73</v>
      </c>
      <c r="D385" s="294" t="s">
        <v>79</v>
      </c>
      <c r="E385" s="321" t="s">
        <v>83</v>
      </c>
      <c r="F385" s="295">
        <v>15280792</v>
      </c>
      <c r="G385" s="296" t="s">
        <v>1613</v>
      </c>
      <c r="H385" s="280" t="s">
        <v>50</v>
      </c>
      <c r="I385" s="323" t="s">
        <v>104</v>
      </c>
      <c r="J385" s="323" t="s">
        <v>1470</v>
      </c>
      <c r="K385" s="294">
        <v>46096</v>
      </c>
      <c r="L385" s="294">
        <v>46103</v>
      </c>
      <c r="M385" s="284">
        <f>Table1[[#This Row],[Dep Date]]-Table1[[#This Row],[Arr Date]]</f>
        <v>7</v>
      </c>
      <c r="N385" s="323" t="s">
        <v>52</v>
      </c>
      <c r="O385" s="321">
        <v>1</v>
      </c>
      <c r="P385" s="321">
        <v>2</v>
      </c>
      <c r="Q385" s="321"/>
      <c r="R385" s="321"/>
      <c r="S385" s="321" t="s">
        <v>53</v>
      </c>
      <c r="T385" s="326" t="s">
        <v>1991</v>
      </c>
      <c r="U385" s="297"/>
      <c r="V385" s="294"/>
      <c r="W385" s="297"/>
      <c r="X385" s="294"/>
      <c r="Y385" s="329"/>
      <c r="Z385" s="329"/>
      <c r="AA385" s="332">
        <f>Table1[[#This Row],[Selling USD]]-Table1[[#This Row],[Cost USD]]</f>
        <v>0</v>
      </c>
      <c r="AB385" s="335"/>
      <c r="AC385" s="298"/>
      <c r="AD385" s="299">
        <f>Table1[[#This Row],[Selling EUR]]-Table1[[#This Row],[Cost EUR]]</f>
        <v>0</v>
      </c>
      <c r="AE385" s="321"/>
      <c r="AF385" s="294"/>
      <c r="AG385" s="294"/>
      <c r="AH385" s="321"/>
      <c r="AI385" s="323"/>
      <c r="AJ385" s="338"/>
      <c r="AK385" s="323"/>
      <c r="AL385" s="338"/>
      <c r="AM385" s="338"/>
      <c r="AN385" s="323"/>
      <c r="AO385" s="282"/>
      <c r="AP385" s="306"/>
      <c r="AQ385" s="282"/>
      <c r="AR385" s="282"/>
      <c r="AS385" s="282"/>
      <c r="AT385" s="281"/>
      <c r="AU385" s="281"/>
      <c r="AV385" s="281"/>
      <c r="AW385" s="281"/>
      <c r="AX385" s="281"/>
      <c r="AY385" s="281"/>
      <c r="AZ385" s="281"/>
    </row>
    <row r="386" spans="1:52" ht="15" customHeight="1" x14ac:dyDescent="0.3">
      <c r="A386" s="294">
        <v>46022</v>
      </c>
      <c r="B386" s="321" t="s">
        <v>47</v>
      </c>
      <c r="C386" s="321" t="s">
        <v>47</v>
      </c>
      <c r="D386" s="294" t="s">
        <v>79</v>
      </c>
      <c r="E386" s="321" t="s">
        <v>106</v>
      </c>
      <c r="F386" s="295">
        <v>15284595</v>
      </c>
      <c r="G386" s="296">
        <v>20303675</v>
      </c>
      <c r="H386" s="280" t="s">
        <v>84</v>
      </c>
      <c r="I386" s="323" t="s">
        <v>157</v>
      </c>
      <c r="J386" s="323" t="s">
        <v>2473</v>
      </c>
      <c r="K386" s="294">
        <v>46036</v>
      </c>
      <c r="L386" s="294">
        <v>46043</v>
      </c>
      <c r="M386" s="284">
        <f>Table1[[#This Row],[Dep Date]]-Table1[[#This Row],[Arr Date]]</f>
        <v>7</v>
      </c>
      <c r="N386" s="323" t="s">
        <v>52</v>
      </c>
      <c r="O386" s="321">
        <v>1</v>
      </c>
      <c r="P386" s="321">
        <v>2</v>
      </c>
      <c r="Q386" s="321">
        <v>1</v>
      </c>
      <c r="R386" s="321"/>
      <c r="S386" s="321" t="s">
        <v>53</v>
      </c>
      <c r="T386" s="326" t="s">
        <v>1992</v>
      </c>
      <c r="U386" s="297">
        <v>3</v>
      </c>
      <c r="V386" s="294"/>
      <c r="W386" s="297"/>
      <c r="X386" s="294"/>
      <c r="Y386" s="329">
        <f>138*7</f>
        <v>966</v>
      </c>
      <c r="Z386" s="329">
        <v>980</v>
      </c>
      <c r="AA386" s="332">
        <f>Table1[[#This Row],[Selling USD]]-Table1[[#This Row],[Cost USD]]</f>
        <v>14</v>
      </c>
      <c r="AB386" s="335"/>
      <c r="AC386" s="298"/>
      <c r="AD386" s="299">
        <f>Table1[[#This Row],[Selling EUR]]-Table1[[#This Row],[Cost EUR]]</f>
        <v>0</v>
      </c>
      <c r="AE386" s="321" t="s">
        <v>54</v>
      </c>
      <c r="AF386" s="294">
        <v>46113</v>
      </c>
      <c r="AG386" s="294"/>
      <c r="AH386" s="321"/>
      <c r="AI386" s="323"/>
      <c r="AJ386" s="338"/>
      <c r="AK386" s="323"/>
      <c r="AL386" s="338"/>
      <c r="AM386" s="338"/>
      <c r="AN386" s="323"/>
      <c r="AO386" s="282"/>
      <c r="AP386" s="306"/>
      <c r="AQ386" s="282"/>
      <c r="AR386" s="282"/>
      <c r="AS386" s="282"/>
      <c r="AT386" s="281"/>
      <c r="AU386" s="281"/>
      <c r="AV386" s="281"/>
      <c r="AW386" s="281"/>
      <c r="AX386" s="281"/>
      <c r="AY386" s="281"/>
      <c r="AZ386" s="281"/>
    </row>
    <row r="387" spans="1:52" ht="15" customHeight="1" x14ac:dyDescent="0.3">
      <c r="A387" s="294">
        <v>46024</v>
      </c>
      <c r="B387" s="321" t="s">
        <v>73</v>
      </c>
      <c r="C387" s="321" t="s">
        <v>73</v>
      </c>
      <c r="D387" s="294" t="s">
        <v>48</v>
      </c>
      <c r="E387" s="321" t="s">
        <v>49</v>
      </c>
      <c r="F387" s="295">
        <v>17191889</v>
      </c>
      <c r="G387" s="296"/>
      <c r="H387" s="280" t="s">
        <v>58</v>
      </c>
      <c r="I387" s="323" t="s">
        <v>64</v>
      </c>
      <c r="J387" s="323" t="s">
        <v>169</v>
      </c>
      <c r="K387" s="294">
        <v>46259</v>
      </c>
      <c r="L387" s="294">
        <v>46267</v>
      </c>
      <c r="M387" s="284">
        <f>Table1[[#This Row],[Dep Date]]-Table1[[#This Row],[Arr Date]]</f>
        <v>8</v>
      </c>
      <c r="N387" s="323" t="s">
        <v>52</v>
      </c>
      <c r="O387" s="321">
        <v>1</v>
      </c>
      <c r="P387" s="321">
        <v>2</v>
      </c>
      <c r="Q387" s="321">
        <v>2</v>
      </c>
      <c r="R387" s="321"/>
      <c r="S387" s="321" t="s">
        <v>53</v>
      </c>
      <c r="T387" s="326" t="s">
        <v>1993</v>
      </c>
      <c r="U387" s="297" t="s">
        <v>2277</v>
      </c>
      <c r="V387" s="294"/>
      <c r="W387" s="297"/>
      <c r="X387" s="294"/>
      <c r="Y387" s="329"/>
      <c r="Z387" s="329"/>
      <c r="AA387" s="332">
        <f>Table1[[#This Row],[Selling USD]]-Table1[[#This Row],[Cost USD]]</f>
        <v>0</v>
      </c>
      <c r="AB387" s="335"/>
      <c r="AC387" s="298"/>
      <c r="AD387" s="299">
        <f>Table1[[#This Row],[Selling EUR]]-Table1[[#This Row],[Cost EUR]]</f>
        <v>0</v>
      </c>
      <c r="AE387" s="321"/>
      <c r="AF387" s="294"/>
      <c r="AG387" s="294"/>
      <c r="AH387" s="321"/>
      <c r="AI387" s="323"/>
      <c r="AJ387" s="338"/>
      <c r="AK387" s="323"/>
      <c r="AL387" s="338"/>
      <c r="AM387" s="338"/>
      <c r="AN387" s="323"/>
      <c r="AO387" s="282"/>
      <c r="AP387" s="306"/>
      <c r="AQ387" s="282"/>
      <c r="AR387" s="282"/>
      <c r="AS387" s="282"/>
      <c r="AT387" s="281"/>
      <c r="AU387" s="281"/>
      <c r="AV387" s="281"/>
      <c r="AW387" s="281"/>
      <c r="AX387" s="281"/>
      <c r="AY387" s="281"/>
      <c r="AZ387" s="281"/>
    </row>
    <row r="388" spans="1:52" ht="15" customHeight="1" x14ac:dyDescent="0.3">
      <c r="A388" s="294">
        <v>46024</v>
      </c>
      <c r="B388" s="321" t="s">
        <v>47</v>
      </c>
      <c r="C388" s="321" t="s">
        <v>47</v>
      </c>
      <c r="D388" s="294" t="s">
        <v>48</v>
      </c>
      <c r="E388" s="321" t="s">
        <v>49</v>
      </c>
      <c r="F388" s="295">
        <v>17192811</v>
      </c>
      <c r="G388" s="296"/>
      <c r="H388" s="280" t="s">
        <v>58</v>
      </c>
      <c r="I388" s="323" t="s">
        <v>62</v>
      </c>
      <c r="J388" s="323" t="s">
        <v>146</v>
      </c>
      <c r="K388" s="294">
        <v>46035</v>
      </c>
      <c r="L388" s="294">
        <v>46045</v>
      </c>
      <c r="M388" s="284">
        <f>Table1[[#This Row],[Dep Date]]-Table1[[#This Row],[Arr Date]]</f>
        <v>10</v>
      </c>
      <c r="N388" s="323" t="s">
        <v>52</v>
      </c>
      <c r="O388" s="321">
        <v>1</v>
      </c>
      <c r="P388" s="321">
        <v>2</v>
      </c>
      <c r="Q388" s="321"/>
      <c r="R388" s="321"/>
      <c r="S388" s="321" t="s">
        <v>53</v>
      </c>
      <c r="T388" s="326" t="s">
        <v>1994</v>
      </c>
      <c r="U388" s="297"/>
      <c r="V388" s="294"/>
      <c r="W388" s="297"/>
      <c r="X388" s="294"/>
      <c r="Y388" s="329"/>
      <c r="Z388" s="329"/>
      <c r="AA388" s="332">
        <f>Table1[[#This Row],[Selling USD]]-Table1[[#This Row],[Cost USD]]</f>
        <v>0</v>
      </c>
      <c r="AB388" s="335">
        <f>46*2*10</f>
        <v>920</v>
      </c>
      <c r="AC388" s="298">
        <v>960</v>
      </c>
      <c r="AD388" s="299">
        <f>Table1[[#This Row],[Selling EUR]]-Table1[[#This Row],[Cost EUR]]</f>
        <v>40</v>
      </c>
      <c r="AE388" s="321" t="s">
        <v>54</v>
      </c>
      <c r="AF388" s="294">
        <v>46030</v>
      </c>
      <c r="AG388" s="294"/>
      <c r="AH388" s="321"/>
      <c r="AI388" s="323"/>
      <c r="AJ388" s="338"/>
      <c r="AK388" s="323"/>
      <c r="AL388" s="338"/>
      <c r="AM388" s="338"/>
      <c r="AN388" s="323"/>
      <c r="AO388" s="282"/>
      <c r="AP388" s="306"/>
      <c r="AQ388" s="282"/>
      <c r="AR388" s="282"/>
      <c r="AS388" s="282"/>
      <c r="AT388" s="281"/>
      <c r="AU388" s="281"/>
      <c r="AV388" s="281"/>
      <c r="AW388" s="281"/>
      <c r="AX388" s="281"/>
      <c r="AY388" s="281"/>
      <c r="AZ388" s="281"/>
    </row>
    <row r="389" spans="1:52" ht="15" customHeight="1" x14ac:dyDescent="0.3">
      <c r="A389" s="294">
        <v>46024</v>
      </c>
      <c r="B389" s="321" t="s">
        <v>47</v>
      </c>
      <c r="C389" s="321" t="s">
        <v>47</v>
      </c>
      <c r="D389" s="294" t="s">
        <v>137</v>
      </c>
      <c r="E389" s="321" t="s">
        <v>138</v>
      </c>
      <c r="F389" s="295">
        <v>2025044</v>
      </c>
      <c r="G389" s="296">
        <v>2025044</v>
      </c>
      <c r="H389" s="280" t="s">
        <v>84</v>
      </c>
      <c r="I389" s="323" t="s">
        <v>2604</v>
      </c>
      <c r="J389" s="323" t="s">
        <v>2564</v>
      </c>
      <c r="K389" s="294">
        <v>46025</v>
      </c>
      <c r="L389" s="294">
        <v>46032</v>
      </c>
      <c r="M389" s="284">
        <f>Table1[[#This Row],[Dep Date]]-Table1[[#This Row],[Arr Date]]</f>
        <v>7</v>
      </c>
      <c r="N389" s="323"/>
      <c r="O389" s="321"/>
      <c r="P389" s="321">
        <v>2</v>
      </c>
      <c r="Q389" s="321"/>
      <c r="R389" s="321"/>
      <c r="S389" s="321"/>
      <c r="T389" s="326" t="s">
        <v>1995</v>
      </c>
      <c r="U389" s="297">
        <v>0</v>
      </c>
      <c r="V389" s="294"/>
      <c r="W389" s="297">
        <v>0</v>
      </c>
      <c r="X389" s="294"/>
      <c r="Y389" s="329"/>
      <c r="Z389" s="329"/>
      <c r="AA389" s="332">
        <f>Table1[[#This Row],[Selling USD]]-Table1[[#This Row],[Cost USD]]</f>
        <v>0</v>
      </c>
      <c r="AB389" s="335"/>
      <c r="AC389" s="298"/>
      <c r="AD389" s="299">
        <f>Table1[[#This Row],[Selling EUR]]-Table1[[#This Row],[Cost EUR]]</f>
        <v>0</v>
      </c>
      <c r="AE389" s="321" t="s">
        <v>54</v>
      </c>
      <c r="AF389" s="294"/>
      <c r="AG389" s="294"/>
      <c r="AH389" s="321">
        <v>100</v>
      </c>
      <c r="AI389" s="323" t="s">
        <v>2419</v>
      </c>
      <c r="AJ389" s="338">
        <v>0.47222222222222221</v>
      </c>
      <c r="AK389" s="323" t="s">
        <v>2420</v>
      </c>
      <c r="AL389" s="338">
        <v>0.95138888888888884</v>
      </c>
      <c r="AM389" s="338"/>
      <c r="AN389" s="323"/>
      <c r="AO389" s="282"/>
      <c r="AP389" s="306"/>
      <c r="AQ389" s="282"/>
      <c r="AR389" s="282"/>
      <c r="AS389" s="282"/>
      <c r="AT389" s="281"/>
      <c r="AU389" s="281"/>
      <c r="AV389" s="281"/>
      <c r="AW389" s="281"/>
      <c r="AX389" s="281"/>
      <c r="AY389" s="281"/>
      <c r="AZ389" s="281"/>
    </row>
    <row r="390" spans="1:52" ht="15" customHeight="1" x14ac:dyDescent="0.3">
      <c r="A390" s="294">
        <v>46025</v>
      </c>
      <c r="B390" s="321" t="s">
        <v>47</v>
      </c>
      <c r="C390" s="321" t="s">
        <v>47</v>
      </c>
      <c r="D390" s="294" t="s">
        <v>79</v>
      </c>
      <c r="E390" s="321" t="s">
        <v>106</v>
      </c>
      <c r="F390" s="295">
        <v>15319504</v>
      </c>
      <c r="G390" s="296">
        <v>20303676</v>
      </c>
      <c r="H390" s="280" t="s">
        <v>50</v>
      </c>
      <c r="I390" s="323" t="s">
        <v>68</v>
      </c>
      <c r="J390" s="323" t="s">
        <v>164</v>
      </c>
      <c r="K390" s="294">
        <v>46274</v>
      </c>
      <c r="L390" s="294">
        <v>46287</v>
      </c>
      <c r="M390" s="284">
        <f>Table1[[#This Row],[Dep Date]]-Table1[[#This Row],[Arr Date]]</f>
        <v>13</v>
      </c>
      <c r="N390" s="323" t="s">
        <v>52</v>
      </c>
      <c r="O390" s="321">
        <v>1</v>
      </c>
      <c r="P390" s="321">
        <v>2</v>
      </c>
      <c r="Q390" s="321"/>
      <c r="R390" s="321"/>
      <c r="S390" s="321" t="s">
        <v>53</v>
      </c>
      <c r="T390" s="326" t="s">
        <v>1996</v>
      </c>
      <c r="U390" s="297"/>
      <c r="V390" s="294"/>
      <c r="W390" s="297"/>
      <c r="X390" s="294"/>
      <c r="Y390" s="329">
        <f>46*2*13</f>
        <v>1196</v>
      </c>
      <c r="Z390" s="329">
        <v>1430</v>
      </c>
      <c r="AA390" s="332">
        <f>Table1[[#This Row],[Selling USD]]-Table1[[#This Row],[Cost USD]]</f>
        <v>234</v>
      </c>
      <c r="AB390" s="335"/>
      <c r="AC390" s="298"/>
      <c r="AD390" s="299">
        <f>Table1[[#This Row],[Selling EUR]]-Table1[[#This Row],[Cost EUR]]</f>
        <v>0</v>
      </c>
      <c r="AE390" s="321" t="s">
        <v>54</v>
      </c>
      <c r="AF390" s="294">
        <v>46266</v>
      </c>
      <c r="AG390" s="294"/>
      <c r="AH390" s="321"/>
      <c r="AI390" s="323"/>
      <c r="AJ390" s="338"/>
      <c r="AK390" s="323"/>
      <c r="AL390" s="338"/>
      <c r="AM390" s="338"/>
      <c r="AN390" s="323"/>
      <c r="AO390" s="282"/>
      <c r="AP390" s="306"/>
      <c r="AQ390" s="282"/>
      <c r="AR390" s="282"/>
      <c r="AS390" s="282"/>
      <c r="AT390" s="281"/>
      <c r="AU390" s="281"/>
      <c r="AV390" s="281"/>
      <c r="AW390" s="281"/>
      <c r="AX390" s="281"/>
      <c r="AY390" s="281"/>
      <c r="AZ390" s="281"/>
    </row>
    <row r="391" spans="1:52" ht="15" customHeight="1" x14ac:dyDescent="0.3">
      <c r="A391" s="294">
        <v>46035</v>
      </c>
      <c r="B391" s="321" t="s">
        <v>47</v>
      </c>
      <c r="C391" s="321" t="s">
        <v>47</v>
      </c>
      <c r="D391" s="294" t="s">
        <v>48</v>
      </c>
      <c r="E391" s="321" t="s">
        <v>49</v>
      </c>
      <c r="F391" s="295">
        <v>17223660</v>
      </c>
      <c r="G391" s="296"/>
      <c r="H391" s="280" t="s">
        <v>50</v>
      </c>
      <c r="I391" s="323" t="s">
        <v>82</v>
      </c>
      <c r="J391" s="323" t="s">
        <v>161</v>
      </c>
      <c r="K391" s="294">
        <v>46175</v>
      </c>
      <c r="L391" s="294">
        <v>46182</v>
      </c>
      <c r="M391" s="284">
        <f>Table1[[#This Row],[Dep Date]]-Table1[[#This Row],[Arr Date]]</f>
        <v>7</v>
      </c>
      <c r="N391" s="323" t="s">
        <v>52</v>
      </c>
      <c r="O391" s="321">
        <v>1</v>
      </c>
      <c r="P391" s="321">
        <v>2</v>
      </c>
      <c r="Q391" s="321"/>
      <c r="R391" s="321"/>
      <c r="S391" s="321" t="s">
        <v>53</v>
      </c>
      <c r="T391" s="326" t="s">
        <v>2605</v>
      </c>
      <c r="U391" s="297"/>
      <c r="V391" s="294"/>
      <c r="W391" s="297"/>
      <c r="X391" s="294"/>
      <c r="Y391" s="329"/>
      <c r="Z391" s="329"/>
      <c r="AA391" s="332">
        <f>Table1[[#This Row],[Selling USD]]-Table1[[#This Row],[Cost USD]]</f>
        <v>0</v>
      </c>
      <c r="AB391" s="335">
        <f>103*2*0.7*2+103*2*0.6*5</f>
        <v>906.4</v>
      </c>
      <c r="AC391" s="298">
        <v>659.29</v>
      </c>
      <c r="AD391" s="299">
        <f>Table1[[#This Row],[Selling EUR]]-Table1[[#This Row],[Cost EUR]]</f>
        <v>-247.11</v>
      </c>
      <c r="AE391" s="321" t="s">
        <v>54</v>
      </c>
      <c r="AF391" s="294">
        <v>46086</v>
      </c>
      <c r="AG391" s="294" t="s">
        <v>2421</v>
      </c>
      <c r="AH391" s="321"/>
      <c r="AI391" s="323"/>
      <c r="AJ391" s="338"/>
      <c r="AK391" s="323"/>
      <c r="AL391" s="338"/>
      <c r="AM391" s="338"/>
      <c r="AN391" s="323"/>
      <c r="AO391" s="282"/>
      <c r="AP391" s="306"/>
      <c r="AQ391" s="282"/>
      <c r="AR391" s="282"/>
      <c r="AS391" s="282"/>
      <c r="AT391" s="281"/>
      <c r="AU391" s="281"/>
      <c r="AV391" s="281"/>
      <c r="AW391" s="281"/>
      <c r="AX391" s="281"/>
      <c r="AY391" s="281"/>
      <c r="AZ391" s="281"/>
    </row>
    <row r="392" spans="1:52" ht="15" customHeight="1" x14ac:dyDescent="0.3">
      <c r="A392" s="294">
        <v>46025</v>
      </c>
      <c r="B392" s="321" t="s">
        <v>47</v>
      </c>
      <c r="C392" s="321" t="s">
        <v>47</v>
      </c>
      <c r="D392" s="294" t="s">
        <v>79</v>
      </c>
      <c r="E392" s="321" t="s">
        <v>106</v>
      </c>
      <c r="F392" s="295">
        <v>15321652</v>
      </c>
      <c r="G392" s="296">
        <v>20303678</v>
      </c>
      <c r="H392" s="280" t="s">
        <v>84</v>
      </c>
      <c r="I392" s="323" t="s">
        <v>123</v>
      </c>
      <c r="J392" s="323" t="s">
        <v>2501</v>
      </c>
      <c r="K392" s="294">
        <v>46037</v>
      </c>
      <c r="L392" s="294">
        <v>46047</v>
      </c>
      <c r="M392" s="284">
        <f>Table1[[#This Row],[Dep Date]]-Table1[[#This Row],[Arr Date]]</f>
        <v>10</v>
      </c>
      <c r="N392" s="323" t="s">
        <v>52</v>
      </c>
      <c r="O392" s="321">
        <v>1</v>
      </c>
      <c r="P392" s="321">
        <v>2</v>
      </c>
      <c r="Q392" s="321"/>
      <c r="R392" s="321"/>
      <c r="S392" s="321" t="s">
        <v>53</v>
      </c>
      <c r="T392" s="326" t="s">
        <v>1997</v>
      </c>
      <c r="U392" s="297"/>
      <c r="V392" s="294"/>
      <c r="W392" s="297"/>
      <c r="X392" s="294"/>
      <c r="Y392" s="329">
        <f>80*2*2+73*2*8</f>
        <v>1488</v>
      </c>
      <c r="Z392" s="329">
        <v>1508</v>
      </c>
      <c r="AA392" s="332">
        <f>Table1[[#This Row],[Selling USD]]-Table1[[#This Row],[Cost USD]]</f>
        <v>20</v>
      </c>
      <c r="AB392" s="335"/>
      <c r="AC392" s="298"/>
      <c r="AD392" s="299">
        <f>Table1[[#This Row],[Selling EUR]]-Table1[[#This Row],[Cost EUR]]</f>
        <v>0</v>
      </c>
      <c r="AE392" s="321" t="s">
        <v>54</v>
      </c>
      <c r="AF392" s="294">
        <v>46033</v>
      </c>
      <c r="AG392" s="294"/>
      <c r="AH392" s="321"/>
      <c r="AI392" s="323"/>
      <c r="AJ392" s="338"/>
      <c r="AK392" s="323"/>
      <c r="AL392" s="338"/>
      <c r="AM392" s="338"/>
      <c r="AN392" s="323"/>
      <c r="AO392" s="282"/>
      <c r="AP392" s="306"/>
      <c r="AQ392" s="282"/>
      <c r="AR392" s="282"/>
      <c r="AS392" s="282"/>
      <c r="AT392" s="281"/>
      <c r="AU392" s="281"/>
      <c r="AV392" s="281"/>
      <c r="AW392" s="281"/>
      <c r="AX392" s="281"/>
      <c r="AY392" s="281"/>
      <c r="AZ392" s="281"/>
    </row>
    <row r="393" spans="1:52" ht="15" customHeight="1" x14ac:dyDescent="0.3">
      <c r="A393" s="294">
        <v>46005</v>
      </c>
      <c r="B393" s="321" t="s">
        <v>47</v>
      </c>
      <c r="C393" s="321" t="s">
        <v>47</v>
      </c>
      <c r="D393" s="294" t="s">
        <v>48</v>
      </c>
      <c r="E393" s="321" t="s">
        <v>49</v>
      </c>
      <c r="F393" s="295">
        <v>17156235</v>
      </c>
      <c r="G393" s="296"/>
      <c r="H393" s="280" t="s">
        <v>58</v>
      </c>
      <c r="I393" s="323" t="s">
        <v>62</v>
      </c>
      <c r="J393" s="323" t="s">
        <v>72</v>
      </c>
      <c r="K393" s="294">
        <v>46146.041666666599</v>
      </c>
      <c r="L393" s="294">
        <v>46156.041666666599</v>
      </c>
      <c r="M393" s="284">
        <f>Table1[[#This Row],[Dep Date]]-Table1[[#This Row],[Arr Date]]</f>
        <v>10</v>
      </c>
      <c r="N393" s="323" t="s">
        <v>52</v>
      </c>
      <c r="O393" s="321">
        <v>1</v>
      </c>
      <c r="P393" s="321">
        <v>2</v>
      </c>
      <c r="Q393" s="321"/>
      <c r="R393" s="321"/>
      <c r="S393" s="321" t="s">
        <v>53</v>
      </c>
      <c r="T393" s="326" t="s">
        <v>1998</v>
      </c>
      <c r="U393" s="297">
        <v>0</v>
      </c>
      <c r="V393" s="294"/>
      <c r="W393" s="297">
        <v>0</v>
      </c>
      <c r="X393" s="294"/>
      <c r="Y393" s="329"/>
      <c r="Z393" s="329"/>
      <c r="AA393" s="332">
        <f>Table1[[#This Row],[Selling USD]]-Table1[[#This Row],[Cost USD]]</f>
        <v>0</v>
      </c>
      <c r="AB393" s="335">
        <f>47*2*10</f>
        <v>940</v>
      </c>
      <c r="AC393" s="298">
        <v>1116</v>
      </c>
      <c r="AD393" s="299">
        <f>Table1[[#This Row],[Selling EUR]]-Table1[[#This Row],[Cost EUR]]</f>
        <v>176</v>
      </c>
      <c r="AE393" s="321" t="s">
        <v>54</v>
      </c>
      <c r="AF393" s="294" t="s">
        <v>2278</v>
      </c>
      <c r="AG393" s="294"/>
      <c r="AH393" s="321"/>
      <c r="AI393" s="323"/>
      <c r="AJ393" s="338"/>
      <c r="AK393" s="323"/>
      <c r="AL393" s="338"/>
      <c r="AM393" s="338"/>
      <c r="AN393" s="323"/>
      <c r="AO393" s="282"/>
      <c r="AP393" s="306"/>
      <c r="AQ393" s="282"/>
      <c r="AR393" s="282"/>
      <c r="AS393" s="282"/>
      <c r="AT393" s="281"/>
      <c r="AU393" s="281"/>
      <c r="AV393" s="281"/>
      <c r="AW393" s="281"/>
      <c r="AX393" s="281"/>
      <c r="AY393" s="281"/>
      <c r="AZ393" s="281"/>
    </row>
    <row r="394" spans="1:52" ht="15" customHeight="1" x14ac:dyDescent="0.3">
      <c r="A394" s="294">
        <v>46025</v>
      </c>
      <c r="B394" s="321" t="s">
        <v>73</v>
      </c>
      <c r="C394" s="321" t="s">
        <v>73</v>
      </c>
      <c r="D394" s="294" t="s">
        <v>79</v>
      </c>
      <c r="E394" s="321" t="s">
        <v>106</v>
      </c>
      <c r="F394" s="295">
        <v>15327479</v>
      </c>
      <c r="G394" s="296">
        <v>20303679</v>
      </c>
      <c r="H394" s="280" t="s">
        <v>50</v>
      </c>
      <c r="I394" s="323" t="s">
        <v>160</v>
      </c>
      <c r="J394" s="323" t="s">
        <v>164</v>
      </c>
      <c r="K394" s="294">
        <v>46052</v>
      </c>
      <c r="L394" s="294">
        <v>46059</v>
      </c>
      <c r="M394" s="284">
        <f>Table1[[#This Row],[Dep Date]]-Table1[[#This Row],[Arr Date]]</f>
        <v>7</v>
      </c>
      <c r="N394" s="323" t="s">
        <v>70</v>
      </c>
      <c r="O394" s="321">
        <v>1</v>
      </c>
      <c r="P394" s="321">
        <v>3</v>
      </c>
      <c r="Q394" s="321"/>
      <c r="R394" s="321"/>
      <c r="S394" s="321" t="s">
        <v>53</v>
      </c>
      <c r="T394" s="326" t="s">
        <v>1999</v>
      </c>
      <c r="U394" s="297"/>
      <c r="V394" s="294"/>
      <c r="W394" s="297"/>
      <c r="X394" s="294"/>
      <c r="Y394" s="329"/>
      <c r="Z394" s="329"/>
      <c r="AA394" s="332">
        <f>Table1[[#This Row],[Selling USD]]-Table1[[#This Row],[Cost USD]]</f>
        <v>0</v>
      </c>
      <c r="AB394" s="335"/>
      <c r="AC394" s="298"/>
      <c r="AD394" s="299">
        <f>Table1[[#This Row],[Selling EUR]]-Table1[[#This Row],[Cost EUR]]</f>
        <v>0</v>
      </c>
      <c r="AE394" s="321"/>
      <c r="AF394" s="294"/>
      <c r="AG394" s="294"/>
      <c r="AH394" s="321"/>
      <c r="AI394" s="323"/>
      <c r="AJ394" s="338"/>
      <c r="AK394" s="323"/>
      <c r="AL394" s="338"/>
      <c r="AM394" s="338"/>
      <c r="AN394" s="323"/>
      <c r="AO394" s="282"/>
      <c r="AP394" s="306"/>
      <c r="AQ394" s="282"/>
      <c r="AR394" s="282"/>
      <c r="AS394" s="282"/>
      <c r="AT394" s="281"/>
      <c r="AU394" s="281"/>
      <c r="AV394" s="281"/>
      <c r="AW394" s="281"/>
      <c r="AX394" s="281"/>
      <c r="AY394" s="281"/>
      <c r="AZ394" s="281"/>
    </row>
    <row r="395" spans="1:52" ht="15" customHeight="1" x14ac:dyDescent="0.3">
      <c r="A395" s="294">
        <v>46025</v>
      </c>
      <c r="B395" s="321" t="s">
        <v>73</v>
      </c>
      <c r="C395" s="321" t="s">
        <v>73</v>
      </c>
      <c r="D395" s="294" t="s">
        <v>79</v>
      </c>
      <c r="E395" s="321" t="s">
        <v>106</v>
      </c>
      <c r="F395" s="295">
        <v>15327529</v>
      </c>
      <c r="G395" s="296">
        <v>20303680</v>
      </c>
      <c r="H395" s="280" t="s">
        <v>50</v>
      </c>
      <c r="I395" s="323">
        <v>20303769</v>
      </c>
      <c r="J395" s="323" t="s">
        <v>164</v>
      </c>
      <c r="K395" s="294">
        <v>46052</v>
      </c>
      <c r="L395" s="294">
        <v>46059</v>
      </c>
      <c r="M395" s="284">
        <f>Table1[[#This Row],[Dep Date]]-Table1[[#This Row],[Arr Date]]</f>
        <v>7</v>
      </c>
      <c r="N395" s="323" t="s">
        <v>70</v>
      </c>
      <c r="O395" s="321">
        <v>1</v>
      </c>
      <c r="P395" s="321">
        <v>3</v>
      </c>
      <c r="Q395" s="321"/>
      <c r="R395" s="321"/>
      <c r="S395" s="321" t="s">
        <v>53</v>
      </c>
      <c r="T395" s="326" t="s">
        <v>2000</v>
      </c>
      <c r="U395" s="297"/>
      <c r="V395" s="294"/>
      <c r="W395" s="297"/>
      <c r="X395" s="294"/>
      <c r="Y395" s="329"/>
      <c r="Z395" s="329"/>
      <c r="AA395" s="332">
        <f>Table1[[#This Row],[Selling USD]]-Table1[[#This Row],[Cost USD]]</f>
        <v>0</v>
      </c>
      <c r="AB395" s="335"/>
      <c r="AC395" s="298"/>
      <c r="AD395" s="299">
        <f>Table1[[#This Row],[Selling EUR]]-Table1[[#This Row],[Cost EUR]]</f>
        <v>0</v>
      </c>
      <c r="AE395" s="321"/>
      <c r="AF395" s="294"/>
      <c r="AG395" s="294"/>
      <c r="AH395" s="321"/>
      <c r="AI395" s="323"/>
      <c r="AJ395" s="338"/>
      <c r="AK395" s="323"/>
      <c r="AL395" s="338"/>
      <c r="AM395" s="338"/>
      <c r="AN395" s="323"/>
      <c r="AO395" s="282"/>
      <c r="AP395" s="306"/>
      <c r="AQ395" s="282"/>
      <c r="AR395" s="282"/>
      <c r="AS395" s="282"/>
      <c r="AT395" s="281"/>
      <c r="AU395" s="281"/>
      <c r="AV395" s="281"/>
      <c r="AW395" s="281"/>
      <c r="AX395" s="281"/>
      <c r="AY395" s="281"/>
      <c r="AZ395" s="281"/>
    </row>
    <row r="396" spans="1:52" ht="15" customHeight="1" x14ac:dyDescent="0.3">
      <c r="A396" s="294">
        <v>46026</v>
      </c>
      <c r="B396" s="321" t="s">
        <v>47</v>
      </c>
      <c r="C396" s="321" t="s">
        <v>47</v>
      </c>
      <c r="D396" s="294" t="s">
        <v>137</v>
      </c>
      <c r="E396" s="321" t="s">
        <v>138</v>
      </c>
      <c r="F396" s="295">
        <v>20303655</v>
      </c>
      <c r="G396" s="296">
        <v>20303655</v>
      </c>
      <c r="H396" s="280" t="s">
        <v>84</v>
      </c>
      <c r="I396" s="323" t="s">
        <v>170</v>
      </c>
      <c r="J396" s="323" t="s">
        <v>171</v>
      </c>
      <c r="K396" s="294">
        <v>46027</v>
      </c>
      <c r="L396" s="294">
        <v>46036</v>
      </c>
      <c r="M396" s="284">
        <f>Table1[[#This Row],[Dep Date]]-Table1[[#This Row],[Arr Date]]</f>
        <v>9</v>
      </c>
      <c r="N396" s="323" t="s">
        <v>52</v>
      </c>
      <c r="O396" s="321">
        <v>1</v>
      </c>
      <c r="P396" s="321">
        <v>2</v>
      </c>
      <c r="Q396" s="321"/>
      <c r="R396" s="321"/>
      <c r="S396" s="321" t="s">
        <v>53</v>
      </c>
      <c r="T396" s="326" t="s">
        <v>2001</v>
      </c>
      <c r="U396" s="297"/>
      <c r="V396" s="294"/>
      <c r="W396" s="297"/>
      <c r="X396" s="294"/>
      <c r="Y396" s="329"/>
      <c r="Z396" s="329"/>
      <c r="AA396" s="332">
        <f>Table1[[#This Row],[Selling USD]]-Table1[[#This Row],[Cost USD]]</f>
        <v>0</v>
      </c>
      <c r="AB396" s="335">
        <v>2165</v>
      </c>
      <c r="AC396" s="298">
        <v>2165</v>
      </c>
      <c r="AD396" s="299">
        <f>Table1[[#This Row],[Selling EUR]]-Table1[[#This Row],[Cost EUR]]</f>
        <v>0</v>
      </c>
      <c r="AE396" s="321" t="s">
        <v>54</v>
      </c>
      <c r="AF396" s="294">
        <v>46026</v>
      </c>
      <c r="AG396" s="294"/>
      <c r="AH396" s="321">
        <v>100</v>
      </c>
      <c r="AI396" s="323" t="s">
        <v>2422</v>
      </c>
      <c r="AJ396" s="338">
        <v>0.77083333333333337</v>
      </c>
      <c r="AK396" s="323" t="s">
        <v>2423</v>
      </c>
      <c r="AL396" s="338">
        <v>0.80555555555555558</v>
      </c>
      <c r="AM396" s="338"/>
      <c r="AN396" s="323"/>
      <c r="AO396" s="282"/>
      <c r="AP396" s="306"/>
      <c r="AQ396" s="282"/>
      <c r="AR396" s="282"/>
      <c r="AS396" s="282"/>
      <c r="AT396" s="281"/>
      <c r="AU396" s="281"/>
      <c r="AV396" s="281"/>
      <c r="AW396" s="281"/>
      <c r="AX396" s="281"/>
      <c r="AY396" s="281"/>
      <c r="AZ396" s="281"/>
    </row>
    <row r="397" spans="1:52" ht="15" customHeight="1" x14ac:dyDescent="0.3">
      <c r="A397" s="294">
        <v>46065</v>
      </c>
      <c r="B397" s="321" t="s">
        <v>73</v>
      </c>
      <c r="C397" s="321" t="s">
        <v>73</v>
      </c>
      <c r="D397" s="294" t="s">
        <v>79</v>
      </c>
      <c r="E397" s="321" t="s">
        <v>138</v>
      </c>
      <c r="F397" s="295">
        <v>15924835</v>
      </c>
      <c r="G397" s="296">
        <v>20303723</v>
      </c>
      <c r="H397" s="280" t="s">
        <v>84</v>
      </c>
      <c r="I397" s="323" t="s">
        <v>172</v>
      </c>
      <c r="J397" s="323" t="s">
        <v>98</v>
      </c>
      <c r="K397" s="294">
        <v>46182</v>
      </c>
      <c r="L397" s="294">
        <v>46189</v>
      </c>
      <c r="M397" s="284">
        <f>Table1[[#This Row],[Dep Date]]-Table1[[#This Row],[Arr Date]]</f>
        <v>7</v>
      </c>
      <c r="N397" s="323" t="s">
        <v>52</v>
      </c>
      <c r="O397" s="321">
        <v>1</v>
      </c>
      <c r="P397" s="321">
        <v>2</v>
      </c>
      <c r="Q397" s="321">
        <v>2</v>
      </c>
      <c r="R397" s="321"/>
      <c r="S397" s="321" t="s">
        <v>53</v>
      </c>
      <c r="T397" s="326" t="s">
        <v>173</v>
      </c>
      <c r="U397" s="297">
        <v>10</v>
      </c>
      <c r="V397" s="294"/>
      <c r="W397" s="297">
        <v>8</v>
      </c>
      <c r="X397" s="294"/>
      <c r="Y397" s="329"/>
      <c r="Z397" s="329"/>
      <c r="AA397" s="332">
        <f>Table1[[#This Row],[Selling USD]]-Table1[[#This Row],[Cost USD]]</f>
        <v>0</v>
      </c>
      <c r="AB397" s="335"/>
      <c r="AC397" s="298"/>
      <c r="AD397" s="299">
        <f>Table1[[#This Row],[Selling EUR]]-Table1[[#This Row],[Cost EUR]]</f>
        <v>0</v>
      </c>
      <c r="AE397" s="321"/>
      <c r="AF397" s="294"/>
      <c r="AG397" s="294"/>
      <c r="AH397" s="321"/>
      <c r="AI397" s="323"/>
      <c r="AJ397" s="338"/>
      <c r="AK397" s="323"/>
      <c r="AL397" s="338"/>
      <c r="AM397" s="338"/>
      <c r="AN397" s="323"/>
      <c r="AO397" s="282"/>
      <c r="AP397" s="306"/>
      <c r="AQ397" s="282"/>
      <c r="AR397" s="282"/>
      <c r="AS397" s="282"/>
      <c r="AT397" s="281"/>
      <c r="AU397" s="281"/>
      <c r="AV397" s="281"/>
      <c r="AW397" s="281"/>
      <c r="AX397" s="281"/>
      <c r="AY397" s="281"/>
      <c r="AZ397" s="281"/>
    </row>
    <row r="398" spans="1:52" ht="15" customHeight="1" x14ac:dyDescent="0.3">
      <c r="A398" s="294">
        <v>46027</v>
      </c>
      <c r="B398" s="321" t="s">
        <v>47</v>
      </c>
      <c r="C398" s="321" t="s">
        <v>47</v>
      </c>
      <c r="D398" s="294" t="s">
        <v>79</v>
      </c>
      <c r="E398" s="321" t="s">
        <v>138</v>
      </c>
      <c r="F398" s="295">
        <v>15344306</v>
      </c>
      <c r="G398" s="296">
        <v>20303681</v>
      </c>
      <c r="H398" s="280" t="s">
        <v>84</v>
      </c>
      <c r="I398" s="323" t="s">
        <v>168</v>
      </c>
      <c r="J398" s="323" t="s">
        <v>1410</v>
      </c>
      <c r="K398" s="294">
        <v>46102</v>
      </c>
      <c r="L398" s="294">
        <v>46109</v>
      </c>
      <c r="M398" s="284">
        <f>Table1[[#This Row],[Dep Date]]-Table1[[#This Row],[Arr Date]]</f>
        <v>7</v>
      </c>
      <c r="N398" s="323" t="s">
        <v>52</v>
      </c>
      <c r="O398" s="321">
        <v>1</v>
      </c>
      <c r="P398" s="321">
        <v>2</v>
      </c>
      <c r="Q398" s="321"/>
      <c r="R398" s="321"/>
      <c r="S398" s="321" t="s">
        <v>53</v>
      </c>
      <c r="T398" s="326" t="s">
        <v>2002</v>
      </c>
      <c r="U398" s="297"/>
      <c r="V398" s="294"/>
      <c r="W398" s="297"/>
      <c r="X398" s="294"/>
      <c r="Y398" s="329"/>
      <c r="Z398" s="329"/>
      <c r="AA398" s="332">
        <f>Table1[[#This Row],[Selling USD]]-Table1[[#This Row],[Cost USD]]</f>
        <v>0</v>
      </c>
      <c r="AB398" s="335">
        <f>50*2*7</f>
        <v>700</v>
      </c>
      <c r="AC398" s="298">
        <v>714</v>
      </c>
      <c r="AD398" s="299">
        <f>Table1[[#This Row],[Selling EUR]]-Table1[[#This Row],[Cost EUR]]</f>
        <v>14</v>
      </c>
      <c r="AE398" s="321" t="s">
        <v>54</v>
      </c>
      <c r="AF398" s="294">
        <v>46093</v>
      </c>
      <c r="AG398" s="294"/>
      <c r="AH398" s="321"/>
      <c r="AI398" s="323"/>
      <c r="AJ398" s="338"/>
      <c r="AK398" s="323"/>
      <c r="AL398" s="338"/>
      <c r="AM398" s="338"/>
      <c r="AN398" s="323"/>
      <c r="AO398" s="282"/>
      <c r="AP398" s="306"/>
      <c r="AQ398" s="282"/>
      <c r="AR398" s="282"/>
      <c r="AS398" s="282"/>
      <c r="AT398" s="281"/>
      <c r="AU398" s="281"/>
      <c r="AV398" s="281"/>
      <c r="AW398" s="281"/>
      <c r="AX398" s="281"/>
      <c r="AY398" s="281"/>
      <c r="AZ398" s="281"/>
    </row>
    <row r="399" spans="1:52" ht="15" customHeight="1" x14ac:dyDescent="0.3">
      <c r="A399" s="294">
        <v>46027</v>
      </c>
      <c r="B399" s="321" t="s">
        <v>47</v>
      </c>
      <c r="C399" s="321" t="s">
        <v>47</v>
      </c>
      <c r="D399" s="294" t="s">
        <v>48</v>
      </c>
      <c r="E399" s="321" t="s">
        <v>49</v>
      </c>
      <c r="F399" s="295">
        <v>17201634</v>
      </c>
      <c r="G399" s="296"/>
      <c r="H399" s="280" t="s">
        <v>58</v>
      </c>
      <c r="I399" s="323" t="s">
        <v>62</v>
      </c>
      <c r="J399" s="323" t="s">
        <v>174</v>
      </c>
      <c r="K399" s="294">
        <v>46253</v>
      </c>
      <c r="L399" s="294">
        <v>46260</v>
      </c>
      <c r="M399" s="284">
        <f>Table1[[#This Row],[Dep Date]]-Table1[[#This Row],[Arr Date]]</f>
        <v>7</v>
      </c>
      <c r="N399" s="323" t="s">
        <v>52</v>
      </c>
      <c r="O399" s="321">
        <v>1</v>
      </c>
      <c r="P399" s="321">
        <v>2</v>
      </c>
      <c r="Q399" s="321">
        <v>2</v>
      </c>
      <c r="R399" s="321"/>
      <c r="S399" s="321" t="s">
        <v>53</v>
      </c>
      <c r="T399" s="326" t="s">
        <v>2003</v>
      </c>
      <c r="U399" s="297" t="s">
        <v>2279</v>
      </c>
      <c r="V399" s="294"/>
      <c r="W399" s="297"/>
      <c r="X399" s="294"/>
      <c r="Y399" s="329"/>
      <c r="Z399" s="329"/>
      <c r="AA399" s="332">
        <f>Table1[[#This Row],[Selling USD]]-Table1[[#This Row],[Cost USD]]</f>
        <v>0</v>
      </c>
      <c r="AB399" s="335">
        <f>67*2*7</f>
        <v>938</v>
      </c>
      <c r="AC399" s="298">
        <v>1159.2</v>
      </c>
      <c r="AD399" s="299">
        <f>Table1[[#This Row],[Selling EUR]]-Table1[[#This Row],[Cost EUR]]</f>
        <v>221.20000000000005</v>
      </c>
      <c r="AE399" s="321" t="s">
        <v>54</v>
      </c>
      <c r="AF399" s="294">
        <v>46243</v>
      </c>
      <c r="AG399" s="294"/>
      <c r="AH399" s="321"/>
      <c r="AI399" s="323"/>
      <c r="AJ399" s="338"/>
      <c r="AK399" s="323"/>
      <c r="AL399" s="338"/>
      <c r="AM399" s="338"/>
      <c r="AN399" s="323"/>
      <c r="AO399" s="282"/>
      <c r="AP399" s="306"/>
      <c r="AQ399" s="282"/>
      <c r="AR399" s="282"/>
      <c r="AS399" s="282"/>
      <c r="AT399" s="281"/>
      <c r="AU399" s="281"/>
      <c r="AV399" s="281"/>
      <c r="AW399" s="281"/>
      <c r="AX399" s="281"/>
      <c r="AY399" s="281"/>
      <c r="AZ399" s="281"/>
    </row>
    <row r="400" spans="1:52" ht="15" customHeight="1" x14ac:dyDescent="0.3">
      <c r="A400" s="294">
        <v>46028</v>
      </c>
      <c r="B400" s="321" t="s">
        <v>47</v>
      </c>
      <c r="C400" s="321" t="s">
        <v>47</v>
      </c>
      <c r="D400" s="294" t="s">
        <v>48</v>
      </c>
      <c r="E400" s="321" t="s">
        <v>49</v>
      </c>
      <c r="F400" s="295">
        <v>17204189</v>
      </c>
      <c r="G400" s="296"/>
      <c r="H400" s="280" t="s">
        <v>58</v>
      </c>
      <c r="I400" s="323" t="s">
        <v>62</v>
      </c>
      <c r="J400" s="323" t="s">
        <v>72</v>
      </c>
      <c r="K400" s="294">
        <v>46073</v>
      </c>
      <c r="L400" s="294">
        <v>46080</v>
      </c>
      <c r="M400" s="284">
        <f>Table1[[#This Row],[Dep Date]]-Table1[[#This Row],[Arr Date]]</f>
        <v>7</v>
      </c>
      <c r="N400" s="323" t="s">
        <v>52</v>
      </c>
      <c r="O400" s="321">
        <v>1</v>
      </c>
      <c r="P400" s="321">
        <v>2</v>
      </c>
      <c r="Q400" s="321"/>
      <c r="R400" s="321"/>
      <c r="S400" s="321" t="s">
        <v>53</v>
      </c>
      <c r="T400" s="326" t="s">
        <v>2004</v>
      </c>
      <c r="U400" s="297"/>
      <c r="V400" s="294"/>
      <c r="W400" s="297"/>
      <c r="X400" s="294"/>
      <c r="Y400" s="329"/>
      <c r="Z400" s="329"/>
      <c r="AA400" s="332">
        <f>Table1[[#This Row],[Selling USD]]-Table1[[#This Row],[Cost USD]]</f>
        <v>0</v>
      </c>
      <c r="AB400" s="335">
        <f>46*2*7</f>
        <v>644</v>
      </c>
      <c r="AC400" s="298">
        <v>658</v>
      </c>
      <c r="AD400" s="299">
        <f>Table1[[#This Row],[Selling EUR]]-Table1[[#This Row],[Cost EUR]]</f>
        <v>14</v>
      </c>
      <c r="AE400" s="321" t="s">
        <v>54</v>
      </c>
      <c r="AF400" s="294">
        <v>46064</v>
      </c>
      <c r="AG400" s="294"/>
      <c r="AH400" s="321"/>
      <c r="AI400" s="323"/>
      <c r="AJ400" s="338"/>
      <c r="AK400" s="323"/>
      <c r="AL400" s="338"/>
      <c r="AM400" s="338"/>
      <c r="AN400" s="323"/>
      <c r="AO400" s="282"/>
      <c r="AP400" s="306"/>
      <c r="AQ400" s="282"/>
      <c r="AR400" s="282"/>
      <c r="AS400" s="282"/>
      <c r="AT400" s="281"/>
      <c r="AU400" s="281"/>
      <c r="AV400" s="281"/>
      <c r="AW400" s="281"/>
      <c r="AX400" s="281"/>
      <c r="AY400" s="281"/>
      <c r="AZ400" s="281"/>
    </row>
    <row r="401" spans="1:52" ht="15" customHeight="1" x14ac:dyDescent="0.3">
      <c r="A401" s="294">
        <v>46028</v>
      </c>
      <c r="B401" s="321" t="s">
        <v>47</v>
      </c>
      <c r="C401" s="321" t="s">
        <v>47</v>
      </c>
      <c r="D401" s="294" t="s">
        <v>48</v>
      </c>
      <c r="E401" s="321" t="s">
        <v>49</v>
      </c>
      <c r="F401" s="295">
        <v>17204589</v>
      </c>
      <c r="G401" s="296"/>
      <c r="H401" s="280" t="s">
        <v>58</v>
      </c>
      <c r="I401" s="323" t="s">
        <v>62</v>
      </c>
      <c r="J401" s="323" t="s">
        <v>72</v>
      </c>
      <c r="K401" s="294">
        <v>46065</v>
      </c>
      <c r="L401" s="294">
        <v>46073</v>
      </c>
      <c r="M401" s="284">
        <f>Table1[[#This Row],[Dep Date]]-Table1[[#This Row],[Arr Date]]</f>
        <v>8</v>
      </c>
      <c r="N401" s="323" t="s">
        <v>52</v>
      </c>
      <c r="O401" s="321">
        <v>1</v>
      </c>
      <c r="P401" s="321">
        <v>2</v>
      </c>
      <c r="Q401" s="321">
        <v>1</v>
      </c>
      <c r="R401" s="321"/>
      <c r="S401" s="321" t="s">
        <v>53</v>
      </c>
      <c r="T401" s="326" t="s">
        <v>2005</v>
      </c>
      <c r="U401" s="297">
        <v>11</v>
      </c>
      <c r="V401" s="294"/>
      <c r="W401" s="297"/>
      <c r="X401" s="294"/>
      <c r="Y401" s="329"/>
      <c r="Z401" s="329"/>
      <c r="AA401" s="332">
        <f>Table1[[#This Row],[Selling USD]]-Table1[[#This Row],[Cost USD]]</f>
        <v>0</v>
      </c>
      <c r="AB401" s="335">
        <f>46*2*8</f>
        <v>736</v>
      </c>
      <c r="AC401" s="298">
        <v>760</v>
      </c>
      <c r="AD401" s="299">
        <f>Table1[[#This Row],[Selling EUR]]-Table1[[#This Row],[Cost EUR]]</f>
        <v>24</v>
      </c>
      <c r="AE401" s="321" t="s">
        <v>54</v>
      </c>
      <c r="AF401" s="294">
        <v>46057</v>
      </c>
      <c r="AG401" s="294"/>
      <c r="AH401" s="321"/>
      <c r="AI401" s="323"/>
      <c r="AJ401" s="338"/>
      <c r="AK401" s="323"/>
      <c r="AL401" s="338"/>
      <c r="AM401" s="338"/>
      <c r="AN401" s="323"/>
      <c r="AO401" s="282"/>
      <c r="AP401" s="306"/>
      <c r="AQ401" s="282"/>
      <c r="AR401" s="282"/>
      <c r="AS401" s="282"/>
      <c r="AT401" s="281"/>
      <c r="AU401" s="281"/>
      <c r="AV401" s="281"/>
      <c r="AW401" s="281"/>
      <c r="AX401" s="281"/>
      <c r="AY401" s="281"/>
      <c r="AZ401" s="281"/>
    </row>
    <row r="402" spans="1:52" ht="15" customHeight="1" x14ac:dyDescent="0.3">
      <c r="A402" s="294">
        <v>46028</v>
      </c>
      <c r="B402" s="321" t="s">
        <v>47</v>
      </c>
      <c r="C402" s="321" t="s">
        <v>47</v>
      </c>
      <c r="D402" s="294" t="s">
        <v>79</v>
      </c>
      <c r="E402" s="321" t="s">
        <v>106</v>
      </c>
      <c r="F402" s="295">
        <v>15360480</v>
      </c>
      <c r="G402" s="296">
        <v>20303682</v>
      </c>
      <c r="H402" s="280" t="s">
        <v>50</v>
      </c>
      <c r="I402" s="323" t="s">
        <v>81</v>
      </c>
      <c r="J402" s="323" t="s">
        <v>1519</v>
      </c>
      <c r="K402" s="294">
        <v>46056</v>
      </c>
      <c r="L402" s="294">
        <v>46065</v>
      </c>
      <c r="M402" s="284">
        <f>Table1[[#This Row],[Dep Date]]-Table1[[#This Row],[Arr Date]]</f>
        <v>9</v>
      </c>
      <c r="N402" s="323" t="s">
        <v>52</v>
      </c>
      <c r="O402" s="321">
        <v>1</v>
      </c>
      <c r="P402" s="321">
        <v>2</v>
      </c>
      <c r="Q402" s="321"/>
      <c r="R402" s="321"/>
      <c r="S402" s="321" t="s">
        <v>53</v>
      </c>
      <c r="T402" s="326" t="s">
        <v>2006</v>
      </c>
      <c r="U402" s="297"/>
      <c r="V402" s="294"/>
      <c r="W402" s="297"/>
      <c r="X402" s="294"/>
      <c r="Y402" s="329">
        <f>(55*2*9)+60</f>
        <v>1050</v>
      </c>
      <c r="Z402" s="329">
        <v>1068</v>
      </c>
      <c r="AA402" s="332">
        <f>Table1[[#This Row],[Selling USD]]-Table1[[#This Row],[Cost USD]]</f>
        <v>18</v>
      </c>
      <c r="AB402" s="335"/>
      <c r="AC402" s="298"/>
      <c r="AD402" s="299">
        <f>Table1[[#This Row],[Selling EUR]]-Table1[[#This Row],[Cost EUR]]</f>
        <v>0</v>
      </c>
      <c r="AE402" s="321" t="s">
        <v>54</v>
      </c>
      <c r="AF402" s="294">
        <v>46049</v>
      </c>
      <c r="AG402" s="294"/>
      <c r="AH402" s="321"/>
      <c r="AI402" s="323"/>
      <c r="AJ402" s="338"/>
      <c r="AK402" s="323"/>
      <c r="AL402" s="338"/>
      <c r="AM402" s="338"/>
      <c r="AN402" s="323"/>
      <c r="AO402" s="282"/>
      <c r="AP402" s="306"/>
      <c r="AQ402" s="282"/>
      <c r="AR402" s="282"/>
      <c r="AS402" s="282"/>
      <c r="AT402" s="281"/>
      <c r="AU402" s="281"/>
      <c r="AV402" s="281"/>
      <c r="AW402" s="281"/>
      <c r="AX402" s="281"/>
      <c r="AY402" s="281"/>
      <c r="AZ402" s="281"/>
    </row>
    <row r="403" spans="1:52" ht="15" customHeight="1" x14ac:dyDescent="0.3">
      <c r="A403" s="294">
        <v>46029</v>
      </c>
      <c r="B403" s="321" t="s">
        <v>47</v>
      </c>
      <c r="C403" s="321" t="s">
        <v>47</v>
      </c>
      <c r="D403" s="294" t="s">
        <v>48</v>
      </c>
      <c r="E403" s="321" t="s">
        <v>49</v>
      </c>
      <c r="F403" s="295">
        <v>17206478</v>
      </c>
      <c r="G403" s="296"/>
      <c r="H403" s="280" t="s">
        <v>50</v>
      </c>
      <c r="I403" s="323" t="s">
        <v>133</v>
      </c>
      <c r="J403" s="323" t="s">
        <v>1402</v>
      </c>
      <c r="K403" s="294">
        <v>46070</v>
      </c>
      <c r="L403" s="294">
        <v>46080</v>
      </c>
      <c r="M403" s="284">
        <f>Table1[[#This Row],[Dep Date]]-Table1[[#This Row],[Arr Date]]</f>
        <v>10</v>
      </c>
      <c r="N403" s="323" t="s">
        <v>52</v>
      </c>
      <c r="O403" s="321">
        <v>1</v>
      </c>
      <c r="P403" s="321">
        <v>2</v>
      </c>
      <c r="Q403" s="321"/>
      <c r="R403" s="321"/>
      <c r="S403" s="321" t="s">
        <v>53</v>
      </c>
      <c r="T403" s="326" t="s">
        <v>2007</v>
      </c>
      <c r="U403" s="297"/>
      <c r="V403" s="294"/>
      <c r="W403" s="297"/>
      <c r="X403" s="294"/>
      <c r="Y403" s="329"/>
      <c r="Z403" s="329"/>
      <c r="AA403" s="332">
        <f>Table1[[#This Row],[Selling USD]]-Table1[[#This Row],[Cost USD]]</f>
        <v>0</v>
      </c>
      <c r="AB403" s="335">
        <f>40*2*10</f>
        <v>800</v>
      </c>
      <c r="AC403" s="298">
        <v>820</v>
      </c>
      <c r="AD403" s="299">
        <f>Table1[[#This Row],[Selling EUR]]-Table1[[#This Row],[Cost EUR]]</f>
        <v>20</v>
      </c>
      <c r="AE403" s="321" t="s">
        <v>54</v>
      </c>
      <c r="AF403" s="294">
        <v>46063</v>
      </c>
      <c r="AG403" s="294"/>
      <c r="AH403" s="321"/>
      <c r="AI403" s="323"/>
      <c r="AJ403" s="338"/>
      <c r="AK403" s="323"/>
      <c r="AL403" s="338"/>
      <c r="AM403" s="338"/>
      <c r="AN403" s="323"/>
      <c r="AO403" s="282"/>
      <c r="AP403" s="306"/>
      <c r="AQ403" s="282"/>
      <c r="AR403" s="282"/>
      <c r="AS403" s="282"/>
      <c r="AT403" s="281"/>
      <c r="AU403" s="281"/>
      <c r="AV403" s="281"/>
      <c r="AW403" s="281"/>
      <c r="AX403" s="281"/>
      <c r="AY403" s="281"/>
      <c r="AZ403" s="281"/>
    </row>
    <row r="404" spans="1:52" ht="15" customHeight="1" x14ac:dyDescent="0.3">
      <c r="A404" s="294">
        <v>46052</v>
      </c>
      <c r="B404" s="321" t="s">
        <v>47</v>
      </c>
      <c r="C404" s="321" t="s">
        <v>47</v>
      </c>
      <c r="D404" s="294" t="s">
        <v>48</v>
      </c>
      <c r="E404" s="321" t="s">
        <v>49</v>
      </c>
      <c r="F404" s="295">
        <v>17286046</v>
      </c>
      <c r="G404" s="296"/>
      <c r="H404" s="280" t="s">
        <v>50</v>
      </c>
      <c r="I404" s="323" t="s">
        <v>96</v>
      </c>
      <c r="J404" s="323" t="s">
        <v>175</v>
      </c>
      <c r="K404" s="294">
        <v>46062</v>
      </c>
      <c r="L404" s="294">
        <v>46069</v>
      </c>
      <c r="M404" s="284">
        <f>Table1[[#This Row],[Dep Date]]-Table1[[#This Row],[Arr Date]]</f>
        <v>7</v>
      </c>
      <c r="N404" s="323" t="s">
        <v>52</v>
      </c>
      <c r="O404" s="321">
        <v>1</v>
      </c>
      <c r="P404" s="321">
        <v>2</v>
      </c>
      <c r="Q404" s="321"/>
      <c r="R404" s="321"/>
      <c r="S404" s="321" t="s">
        <v>53</v>
      </c>
      <c r="T404" s="326" t="s">
        <v>2008</v>
      </c>
      <c r="U404" s="297"/>
      <c r="V404" s="294"/>
      <c r="W404" s="297"/>
      <c r="X404" s="294"/>
      <c r="Y404" s="329"/>
      <c r="Z404" s="329"/>
      <c r="AA404" s="332">
        <f>Table1[[#This Row],[Selling USD]]-Table1[[#This Row],[Cost USD]]</f>
        <v>0</v>
      </c>
      <c r="AB404" s="335">
        <f>65*2*0.85*7</f>
        <v>773.5</v>
      </c>
      <c r="AC404" s="298">
        <v>787.5</v>
      </c>
      <c r="AD404" s="299">
        <f>Table1[[#This Row],[Selling EUR]]-Table1[[#This Row],[Cost EUR]]</f>
        <v>14</v>
      </c>
      <c r="AE404" s="321" t="s">
        <v>54</v>
      </c>
      <c r="AF404" s="294">
        <v>46054</v>
      </c>
      <c r="AG404" s="294"/>
      <c r="AH404" s="321"/>
      <c r="AI404" s="323"/>
      <c r="AJ404" s="338"/>
      <c r="AK404" s="323"/>
      <c r="AL404" s="338"/>
      <c r="AM404" s="338"/>
      <c r="AN404" s="323"/>
      <c r="AO404" s="282"/>
      <c r="AP404" s="306"/>
      <c r="AQ404" s="282"/>
      <c r="AR404" s="282"/>
      <c r="AS404" s="282"/>
      <c r="AT404" s="281"/>
      <c r="AU404" s="281"/>
      <c r="AV404" s="281"/>
      <c r="AW404" s="281"/>
      <c r="AX404" s="281"/>
      <c r="AY404" s="281"/>
      <c r="AZ404" s="281"/>
    </row>
    <row r="405" spans="1:52" ht="15" customHeight="1" x14ac:dyDescent="0.3">
      <c r="A405" s="294">
        <v>46029</v>
      </c>
      <c r="B405" s="321" t="s">
        <v>73</v>
      </c>
      <c r="C405" s="321" t="s">
        <v>73</v>
      </c>
      <c r="D405" s="294" t="s">
        <v>48</v>
      </c>
      <c r="E405" s="321" t="s">
        <v>49</v>
      </c>
      <c r="F405" s="295">
        <v>17206883</v>
      </c>
      <c r="G405" s="296"/>
      <c r="H405" s="280" t="s">
        <v>58</v>
      </c>
      <c r="I405" s="323" t="s">
        <v>62</v>
      </c>
      <c r="J405" s="323" t="s">
        <v>72</v>
      </c>
      <c r="K405" s="294">
        <v>46176</v>
      </c>
      <c r="L405" s="294">
        <v>46190</v>
      </c>
      <c r="M405" s="284">
        <f>Table1[[#This Row],[Dep Date]]-Table1[[#This Row],[Arr Date]]</f>
        <v>14</v>
      </c>
      <c r="N405" s="323" t="s">
        <v>52</v>
      </c>
      <c r="O405" s="321">
        <v>1</v>
      </c>
      <c r="P405" s="321">
        <v>2</v>
      </c>
      <c r="Q405" s="321"/>
      <c r="R405" s="321"/>
      <c r="S405" s="321" t="s">
        <v>53</v>
      </c>
      <c r="T405" s="326" t="s">
        <v>176</v>
      </c>
      <c r="U405" s="297"/>
      <c r="V405" s="294"/>
      <c r="W405" s="297"/>
      <c r="X405" s="294"/>
      <c r="Y405" s="329"/>
      <c r="Z405" s="329"/>
      <c r="AA405" s="332">
        <f>Table1[[#This Row],[Selling USD]]-Table1[[#This Row],[Cost USD]]</f>
        <v>0</v>
      </c>
      <c r="AB405" s="335"/>
      <c r="AC405" s="298"/>
      <c r="AD405" s="299">
        <f>Table1[[#This Row],[Selling EUR]]-Table1[[#This Row],[Cost EUR]]</f>
        <v>0</v>
      </c>
      <c r="AE405" s="321"/>
      <c r="AF405" s="294"/>
      <c r="AG405" s="294"/>
      <c r="AH405" s="321"/>
      <c r="AI405" s="323"/>
      <c r="AJ405" s="338"/>
      <c r="AK405" s="323"/>
      <c r="AL405" s="338"/>
      <c r="AM405" s="338"/>
      <c r="AN405" s="323"/>
      <c r="AO405" s="282"/>
      <c r="AP405" s="306"/>
      <c r="AQ405" s="282"/>
      <c r="AR405" s="282"/>
      <c r="AS405" s="282"/>
      <c r="AT405" s="281"/>
      <c r="AU405" s="281"/>
      <c r="AV405" s="281"/>
      <c r="AW405" s="281"/>
      <c r="AX405" s="281"/>
      <c r="AY405" s="281"/>
      <c r="AZ405" s="281"/>
    </row>
    <row r="406" spans="1:52" ht="15" customHeight="1" x14ac:dyDescent="0.3">
      <c r="A406" s="294">
        <v>46030</v>
      </c>
      <c r="B406" s="321" t="s">
        <v>47</v>
      </c>
      <c r="C406" s="321" t="s">
        <v>47</v>
      </c>
      <c r="D406" s="294" t="s">
        <v>48</v>
      </c>
      <c r="E406" s="321" t="s">
        <v>49</v>
      </c>
      <c r="F406" s="295">
        <v>17208901</v>
      </c>
      <c r="G406" s="296"/>
      <c r="H406" s="280" t="s">
        <v>58</v>
      </c>
      <c r="I406" s="323" t="s">
        <v>62</v>
      </c>
      <c r="J406" s="323" t="s">
        <v>72</v>
      </c>
      <c r="K406" s="294">
        <v>46079</v>
      </c>
      <c r="L406" s="294">
        <v>46087</v>
      </c>
      <c r="M406" s="284">
        <f>Table1[[#This Row],[Dep Date]]-Table1[[#This Row],[Arr Date]]</f>
        <v>8</v>
      </c>
      <c r="N406" s="323" t="s">
        <v>52</v>
      </c>
      <c r="O406" s="321">
        <v>1</v>
      </c>
      <c r="P406" s="321">
        <v>2</v>
      </c>
      <c r="Q406" s="321"/>
      <c r="R406" s="321"/>
      <c r="S406" s="321" t="s">
        <v>53</v>
      </c>
      <c r="T406" s="326" t="s">
        <v>2009</v>
      </c>
      <c r="U406" s="297"/>
      <c r="V406" s="294"/>
      <c r="W406" s="297"/>
      <c r="X406" s="294"/>
      <c r="Y406" s="329"/>
      <c r="Z406" s="329"/>
      <c r="AA406" s="332">
        <f>Table1[[#This Row],[Selling USD]]-Table1[[#This Row],[Cost USD]]</f>
        <v>0</v>
      </c>
      <c r="AB406" s="335">
        <f>49*2*3+70*2*5</f>
        <v>994</v>
      </c>
      <c r="AC406" s="298">
        <v>1020</v>
      </c>
      <c r="AD406" s="299">
        <f>Table1[[#This Row],[Selling EUR]]-Table1[[#This Row],[Cost EUR]]</f>
        <v>26</v>
      </c>
      <c r="AE406" s="321" t="s">
        <v>54</v>
      </c>
      <c r="AF406" s="294">
        <v>46071</v>
      </c>
      <c r="AG406" s="294"/>
      <c r="AH406" s="321"/>
      <c r="AI406" s="323"/>
      <c r="AJ406" s="338"/>
      <c r="AK406" s="323"/>
      <c r="AL406" s="338"/>
      <c r="AM406" s="338"/>
      <c r="AN406" s="323"/>
      <c r="AO406" s="282"/>
      <c r="AP406" s="306"/>
      <c r="AQ406" s="282"/>
      <c r="AR406" s="282"/>
      <c r="AS406" s="282"/>
      <c r="AT406" s="281"/>
      <c r="AU406" s="281"/>
      <c r="AV406" s="281"/>
      <c r="AW406" s="281"/>
      <c r="AX406" s="281"/>
      <c r="AY406" s="281"/>
      <c r="AZ406" s="281"/>
    </row>
    <row r="407" spans="1:52" ht="15" customHeight="1" x14ac:dyDescent="0.3">
      <c r="A407" s="294">
        <v>46030</v>
      </c>
      <c r="B407" s="321" t="s">
        <v>47</v>
      </c>
      <c r="C407" s="321" t="s">
        <v>47</v>
      </c>
      <c r="D407" s="294" t="s">
        <v>48</v>
      </c>
      <c r="E407" s="321" t="s">
        <v>49</v>
      </c>
      <c r="F407" s="295">
        <v>17209306</v>
      </c>
      <c r="G407" s="296"/>
      <c r="H407" s="280" t="s">
        <v>50</v>
      </c>
      <c r="I407" s="323" t="s">
        <v>104</v>
      </c>
      <c r="J407" s="323" t="s">
        <v>2606</v>
      </c>
      <c r="K407" s="294">
        <v>46042</v>
      </c>
      <c r="L407" s="294">
        <v>46053</v>
      </c>
      <c r="M407" s="284">
        <f>Table1[[#This Row],[Dep Date]]-Table1[[#This Row],[Arr Date]]</f>
        <v>11</v>
      </c>
      <c r="N407" s="323" t="s">
        <v>52</v>
      </c>
      <c r="O407" s="321">
        <v>1</v>
      </c>
      <c r="P407" s="321">
        <v>2</v>
      </c>
      <c r="Q407" s="321"/>
      <c r="R407" s="321"/>
      <c r="S407" s="321" t="s">
        <v>53</v>
      </c>
      <c r="T407" s="326" t="s">
        <v>2010</v>
      </c>
      <c r="U407" s="297"/>
      <c r="V407" s="294"/>
      <c r="W407" s="297"/>
      <c r="X407" s="294"/>
      <c r="Y407" s="329"/>
      <c r="Z407" s="329"/>
      <c r="AA407" s="332">
        <f>Table1[[#This Row],[Selling USD]]-Table1[[#This Row],[Cost USD]]</f>
        <v>0</v>
      </c>
      <c r="AB407" s="335">
        <f>144*2*11*0.6</f>
        <v>1900.8</v>
      </c>
      <c r="AC407" s="298">
        <v>1922.8</v>
      </c>
      <c r="AD407" s="299">
        <f>Table1[[#This Row],[Selling EUR]]-Table1[[#This Row],[Cost EUR]]</f>
        <v>22</v>
      </c>
      <c r="AE407" s="321" t="s">
        <v>54</v>
      </c>
      <c r="AF407" s="294">
        <v>46034</v>
      </c>
      <c r="AG407" s="294"/>
      <c r="AH407" s="321"/>
      <c r="AI407" s="323"/>
      <c r="AJ407" s="338"/>
      <c r="AK407" s="323"/>
      <c r="AL407" s="338"/>
      <c r="AM407" s="338"/>
      <c r="AN407" s="323"/>
      <c r="AO407" s="282"/>
      <c r="AP407" s="306"/>
      <c r="AQ407" s="282"/>
      <c r="AR407" s="282"/>
      <c r="AS407" s="282"/>
      <c r="AT407" s="281"/>
      <c r="AU407" s="281"/>
      <c r="AV407" s="281"/>
      <c r="AW407" s="281"/>
      <c r="AX407" s="281"/>
      <c r="AY407" s="281"/>
      <c r="AZ407" s="281"/>
    </row>
    <row r="408" spans="1:52" ht="15" customHeight="1" x14ac:dyDescent="0.3">
      <c r="A408" s="294">
        <v>46030</v>
      </c>
      <c r="B408" s="321" t="s">
        <v>47</v>
      </c>
      <c r="C408" s="321" t="s">
        <v>47</v>
      </c>
      <c r="D408" s="294" t="s">
        <v>79</v>
      </c>
      <c r="E408" s="321" t="s">
        <v>49</v>
      </c>
      <c r="F408" s="295">
        <v>15383361</v>
      </c>
      <c r="G408" s="296">
        <v>20303683</v>
      </c>
      <c r="H408" s="280" t="s">
        <v>50</v>
      </c>
      <c r="I408" s="323" t="s">
        <v>142</v>
      </c>
      <c r="J408" s="323" t="s">
        <v>2607</v>
      </c>
      <c r="K408" s="294">
        <v>46099</v>
      </c>
      <c r="L408" s="294">
        <v>46106</v>
      </c>
      <c r="M408" s="284">
        <f>Table1[[#This Row],[Dep Date]]-Table1[[#This Row],[Arr Date]]</f>
        <v>7</v>
      </c>
      <c r="N408" s="323" t="s">
        <v>65</v>
      </c>
      <c r="O408" s="321">
        <v>2</v>
      </c>
      <c r="P408" s="321">
        <v>2</v>
      </c>
      <c r="Q408" s="321"/>
      <c r="R408" s="321"/>
      <c r="S408" s="321" t="s">
        <v>53</v>
      </c>
      <c r="T408" s="326" t="s">
        <v>2011</v>
      </c>
      <c r="U408" s="297"/>
      <c r="V408" s="294"/>
      <c r="W408" s="297"/>
      <c r="X408" s="294"/>
      <c r="Y408" s="329"/>
      <c r="Z408" s="329"/>
      <c r="AA408" s="332">
        <f>Table1[[#This Row],[Selling USD]]-Table1[[#This Row],[Cost USD]]</f>
        <v>0</v>
      </c>
      <c r="AB408" s="335">
        <f>88*2*7</f>
        <v>1232</v>
      </c>
      <c r="AC408" s="298">
        <v>1246</v>
      </c>
      <c r="AD408" s="299">
        <f>Table1[[#This Row],[Selling EUR]]-Table1[[#This Row],[Cost EUR]]</f>
        <v>14</v>
      </c>
      <c r="AE408" s="321" t="s">
        <v>54</v>
      </c>
      <c r="AF408" s="294">
        <v>46091</v>
      </c>
      <c r="AG408" s="294"/>
      <c r="AH408" s="321"/>
      <c r="AI408" s="323"/>
      <c r="AJ408" s="338"/>
      <c r="AK408" s="323"/>
      <c r="AL408" s="338"/>
      <c r="AM408" s="338"/>
      <c r="AN408" s="323"/>
      <c r="AO408" s="282"/>
      <c r="AP408" s="306"/>
      <c r="AQ408" s="282"/>
      <c r="AR408" s="282"/>
      <c r="AS408" s="282"/>
      <c r="AT408" s="281"/>
      <c r="AU408" s="281"/>
      <c r="AV408" s="281"/>
      <c r="AW408" s="281"/>
      <c r="AX408" s="281"/>
      <c r="AY408" s="281"/>
      <c r="AZ408" s="281"/>
    </row>
    <row r="409" spans="1:52" ht="15" customHeight="1" x14ac:dyDescent="0.3">
      <c r="A409" s="294">
        <v>46030</v>
      </c>
      <c r="B409" s="321" t="s">
        <v>47</v>
      </c>
      <c r="C409" s="321" t="s">
        <v>47</v>
      </c>
      <c r="D409" s="294" t="s">
        <v>48</v>
      </c>
      <c r="E409" s="321" t="s">
        <v>138</v>
      </c>
      <c r="F409" s="295">
        <v>17210573</v>
      </c>
      <c r="G409" s="296"/>
      <c r="H409" s="280" t="s">
        <v>84</v>
      </c>
      <c r="I409" s="323" t="s">
        <v>123</v>
      </c>
      <c r="J409" s="323" t="s">
        <v>2536</v>
      </c>
      <c r="K409" s="294">
        <v>46112</v>
      </c>
      <c r="L409" s="294">
        <v>46120</v>
      </c>
      <c r="M409" s="284">
        <f>Table1[[#This Row],[Dep Date]]-Table1[[#This Row],[Arr Date]]</f>
        <v>8</v>
      </c>
      <c r="N409" s="323" t="s">
        <v>52</v>
      </c>
      <c r="O409" s="321">
        <v>1</v>
      </c>
      <c r="P409" s="321">
        <v>2</v>
      </c>
      <c r="Q409" s="321">
        <v>2</v>
      </c>
      <c r="R409" s="321"/>
      <c r="S409" s="321" t="s">
        <v>53</v>
      </c>
      <c r="T409" s="326" t="s">
        <v>2012</v>
      </c>
      <c r="U409" s="297"/>
      <c r="V409" s="294" t="s">
        <v>2280</v>
      </c>
      <c r="W409" s="297"/>
      <c r="X409" s="294"/>
      <c r="Y409" s="329"/>
      <c r="Z409" s="329"/>
      <c r="AA409" s="332">
        <f>Table1[[#This Row],[Selling USD]]-Table1[[#This Row],[Cost USD]]</f>
        <v>0</v>
      </c>
      <c r="AB409" s="335">
        <f>68*2*2+80*2*6</f>
        <v>1232</v>
      </c>
      <c r="AC409" s="298">
        <v>1264</v>
      </c>
      <c r="AD409" s="299">
        <f>Table1[[#This Row],[Selling EUR]]-Table1[[#This Row],[Cost EUR]]</f>
        <v>32</v>
      </c>
      <c r="AE409" s="321" t="s">
        <v>54</v>
      </c>
      <c r="AF409" s="294">
        <v>46105</v>
      </c>
      <c r="AG409" s="294"/>
      <c r="AH409" s="321"/>
      <c r="AI409" s="323"/>
      <c r="AJ409" s="338"/>
      <c r="AK409" s="323"/>
      <c r="AL409" s="338"/>
      <c r="AM409" s="338"/>
      <c r="AN409" s="323"/>
      <c r="AO409" s="282"/>
      <c r="AP409" s="306"/>
      <c r="AQ409" s="282"/>
      <c r="AR409" s="282"/>
      <c r="AS409" s="282"/>
      <c r="AT409" s="281"/>
      <c r="AU409" s="281"/>
      <c r="AV409" s="281"/>
      <c r="AW409" s="281"/>
      <c r="AX409" s="281"/>
      <c r="AY409" s="281"/>
      <c r="AZ409" s="281"/>
    </row>
    <row r="410" spans="1:52" ht="15" customHeight="1" x14ac:dyDescent="0.3">
      <c r="A410" s="294">
        <v>46031</v>
      </c>
      <c r="B410" s="321" t="s">
        <v>73</v>
      </c>
      <c r="C410" s="321" t="s">
        <v>73</v>
      </c>
      <c r="D410" s="294" t="s">
        <v>79</v>
      </c>
      <c r="E410" s="321" t="s">
        <v>138</v>
      </c>
      <c r="F410" s="295">
        <v>15392114</v>
      </c>
      <c r="G410" s="296">
        <v>20303684</v>
      </c>
      <c r="H410" s="280" t="s">
        <v>84</v>
      </c>
      <c r="I410" s="323" t="s">
        <v>168</v>
      </c>
      <c r="J410" s="323" t="s">
        <v>1410</v>
      </c>
      <c r="K410" s="294">
        <v>46083</v>
      </c>
      <c r="L410" s="294">
        <v>46090</v>
      </c>
      <c r="M410" s="284">
        <f>Table1[[#This Row],[Dep Date]]-Table1[[#This Row],[Arr Date]]</f>
        <v>7</v>
      </c>
      <c r="N410" s="323" t="s">
        <v>52</v>
      </c>
      <c r="O410" s="321">
        <v>1</v>
      </c>
      <c r="P410" s="321">
        <v>2</v>
      </c>
      <c r="Q410" s="321"/>
      <c r="R410" s="321">
        <v>1</v>
      </c>
      <c r="S410" s="321" t="s">
        <v>53</v>
      </c>
      <c r="T410" s="326" t="s">
        <v>2013</v>
      </c>
      <c r="U410" s="297"/>
      <c r="V410" s="294" t="s">
        <v>2281</v>
      </c>
      <c r="W410" s="297"/>
      <c r="X410" s="294"/>
      <c r="Y410" s="329"/>
      <c r="Z410" s="329"/>
      <c r="AA410" s="332">
        <f>Table1[[#This Row],[Selling USD]]-Table1[[#This Row],[Cost USD]]</f>
        <v>0</v>
      </c>
      <c r="AB410" s="335"/>
      <c r="AC410" s="298"/>
      <c r="AD410" s="299">
        <f>Table1[[#This Row],[Selling EUR]]-Table1[[#This Row],[Cost EUR]]</f>
        <v>0</v>
      </c>
      <c r="AE410" s="321" t="s">
        <v>54</v>
      </c>
      <c r="AF410" s="294"/>
      <c r="AG410" s="294"/>
      <c r="AH410" s="321"/>
      <c r="AI410" s="323"/>
      <c r="AJ410" s="338"/>
      <c r="AK410" s="323"/>
      <c r="AL410" s="338"/>
      <c r="AM410" s="338"/>
      <c r="AN410" s="323"/>
      <c r="AO410" s="282"/>
      <c r="AP410" s="306"/>
      <c r="AQ410" s="282"/>
      <c r="AR410" s="282"/>
      <c r="AS410" s="282"/>
      <c r="AT410" s="281"/>
      <c r="AU410" s="281"/>
      <c r="AV410" s="281"/>
      <c r="AW410" s="281"/>
      <c r="AX410" s="281"/>
      <c r="AY410" s="281"/>
      <c r="AZ410" s="281"/>
    </row>
    <row r="411" spans="1:52" ht="15" customHeight="1" x14ac:dyDescent="0.3">
      <c r="A411" s="294">
        <v>46031</v>
      </c>
      <c r="B411" s="321" t="s">
        <v>73</v>
      </c>
      <c r="C411" s="321" t="s">
        <v>73</v>
      </c>
      <c r="D411" s="294" t="s">
        <v>48</v>
      </c>
      <c r="E411" s="321" t="s">
        <v>61</v>
      </c>
      <c r="F411" s="295">
        <v>17212357</v>
      </c>
      <c r="G411" s="296"/>
      <c r="H411" s="280" t="s">
        <v>50</v>
      </c>
      <c r="I411" s="323" t="s">
        <v>76</v>
      </c>
      <c r="J411" s="323" t="s">
        <v>2484</v>
      </c>
      <c r="K411" s="294">
        <v>46071</v>
      </c>
      <c r="L411" s="294">
        <v>46081</v>
      </c>
      <c r="M411" s="284">
        <f>Table1[[#This Row],[Dep Date]]-Table1[[#This Row],[Arr Date]]</f>
        <v>10</v>
      </c>
      <c r="N411" s="323" t="s">
        <v>65</v>
      </c>
      <c r="O411" s="321">
        <v>1</v>
      </c>
      <c r="P411" s="321">
        <v>1</v>
      </c>
      <c r="Q411" s="321"/>
      <c r="R411" s="321"/>
      <c r="S411" s="321" t="s">
        <v>53</v>
      </c>
      <c r="T411" s="326" t="s">
        <v>2014</v>
      </c>
      <c r="U411" s="297"/>
      <c r="V411" s="294"/>
      <c r="W411" s="297"/>
      <c r="X411" s="294"/>
      <c r="Y411" s="329"/>
      <c r="Z411" s="329"/>
      <c r="AA411" s="332">
        <f>Table1[[#This Row],[Selling USD]]-Table1[[#This Row],[Cost USD]]</f>
        <v>0</v>
      </c>
      <c r="AB411" s="335"/>
      <c r="AC411" s="298"/>
      <c r="AD411" s="299">
        <f>Table1[[#This Row],[Selling EUR]]-Table1[[#This Row],[Cost EUR]]</f>
        <v>0</v>
      </c>
      <c r="AE411" s="321"/>
      <c r="AF411" s="294"/>
      <c r="AG411" s="294"/>
      <c r="AH411" s="321"/>
      <c r="AI411" s="323"/>
      <c r="AJ411" s="338"/>
      <c r="AK411" s="323"/>
      <c r="AL411" s="338"/>
      <c r="AM411" s="338"/>
      <c r="AN411" s="323"/>
      <c r="AO411" s="282"/>
      <c r="AP411" s="306"/>
      <c r="AQ411" s="282"/>
      <c r="AR411" s="282"/>
      <c r="AS411" s="282"/>
      <c r="AT411" s="281"/>
      <c r="AU411" s="281"/>
      <c r="AV411" s="281"/>
      <c r="AW411" s="281"/>
      <c r="AX411" s="281"/>
      <c r="AY411" s="281"/>
      <c r="AZ411" s="281"/>
    </row>
    <row r="412" spans="1:52" ht="15" customHeight="1" x14ac:dyDescent="0.3">
      <c r="A412" s="294">
        <v>46031</v>
      </c>
      <c r="B412" s="321" t="s">
        <v>47</v>
      </c>
      <c r="C412" s="321" t="s">
        <v>47</v>
      </c>
      <c r="D412" s="294" t="s">
        <v>48</v>
      </c>
      <c r="E412" s="321" t="s">
        <v>49</v>
      </c>
      <c r="F412" s="295">
        <v>17212681</v>
      </c>
      <c r="G412" s="296"/>
      <c r="H412" s="280" t="s">
        <v>58</v>
      </c>
      <c r="I412" s="323" t="s">
        <v>64</v>
      </c>
      <c r="J412" s="323" t="s">
        <v>2585</v>
      </c>
      <c r="K412" s="294">
        <v>46065</v>
      </c>
      <c r="L412" s="294">
        <v>46072</v>
      </c>
      <c r="M412" s="284">
        <f>Table1[[#This Row],[Dep Date]]-Table1[[#This Row],[Arr Date]]</f>
        <v>7</v>
      </c>
      <c r="N412" s="323" t="s">
        <v>52</v>
      </c>
      <c r="O412" s="321">
        <v>1</v>
      </c>
      <c r="P412" s="321">
        <v>2</v>
      </c>
      <c r="Q412" s="321"/>
      <c r="R412" s="321"/>
      <c r="S412" s="321" t="s">
        <v>53</v>
      </c>
      <c r="T412" s="326" t="s">
        <v>2015</v>
      </c>
      <c r="U412" s="297"/>
      <c r="V412" s="294"/>
      <c r="W412" s="297"/>
      <c r="X412" s="294"/>
      <c r="Y412" s="329"/>
      <c r="Z412" s="329"/>
      <c r="AA412" s="332">
        <f>Table1[[#This Row],[Selling USD]]-Table1[[#This Row],[Cost USD]]</f>
        <v>0</v>
      </c>
      <c r="AB412" s="335">
        <f>32*2*2+35*2*5</f>
        <v>478</v>
      </c>
      <c r="AC412" s="298">
        <v>492</v>
      </c>
      <c r="AD412" s="299">
        <f>Table1[[#This Row],[Selling EUR]]-Table1[[#This Row],[Cost EUR]]</f>
        <v>14</v>
      </c>
      <c r="AE412" s="321" t="s">
        <v>54</v>
      </c>
      <c r="AF412" s="294">
        <v>46055</v>
      </c>
      <c r="AG412" s="294"/>
      <c r="AH412" s="321"/>
      <c r="AI412" s="323"/>
      <c r="AJ412" s="338"/>
      <c r="AK412" s="323"/>
      <c r="AL412" s="338"/>
      <c r="AM412" s="338"/>
      <c r="AN412" s="323"/>
      <c r="AO412" s="282"/>
      <c r="AP412" s="306"/>
      <c r="AQ412" s="282"/>
      <c r="AR412" s="282"/>
      <c r="AS412" s="282"/>
      <c r="AT412" s="281"/>
      <c r="AU412" s="281"/>
      <c r="AV412" s="281"/>
      <c r="AW412" s="281"/>
      <c r="AX412" s="281"/>
      <c r="AY412" s="281"/>
      <c r="AZ412" s="281"/>
    </row>
    <row r="413" spans="1:52" ht="15" customHeight="1" x14ac:dyDescent="0.3">
      <c r="A413" s="294">
        <v>46031</v>
      </c>
      <c r="B413" s="321" t="s">
        <v>73</v>
      </c>
      <c r="C413" s="321" t="s">
        <v>73</v>
      </c>
      <c r="D413" s="294" t="s">
        <v>79</v>
      </c>
      <c r="E413" s="321" t="s">
        <v>83</v>
      </c>
      <c r="F413" s="295">
        <v>15396501</v>
      </c>
      <c r="G413" s="296">
        <v>20303685</v>
      </c>
      <c r="H413" s="280" t="s">
        <v>50</v>
      </c>
      <c r="I413" s="323" t="s">
        <v>82</v>
      </c>
      <c r="J413" s="323" t="s">
        <v>2520</v>
      </c>
      <c r="K413" s="294">
        <v>46039</v>
      </c>
      <c r="L413" s="294">
        <v>46046</v>
      </c>
      <c r="M413" s="284">
        <f>Table1[[#This Row],[Dep Date]]-Table1[[#This Row],[Arr Date]]</f>
        <v>7</v>
      </c>
      <c r="N413" s="323" t="s">
        <v>52</v>
      </c>
      <c r="O413" s="321">
        <v>1</v>
      </c>
      <c r="P413" s="321">
        <v>2</v>
      </c>
      <c r="Q413" s="321">
        <v>2</v>
      </c>
      <c r="R413" s="321"/>
      <c r="S413" s="321" t="s">
        <v>53</v>
      </c>
      <c r="T413" s="326" t="s">
        <v>2016</v>
      </c>
      <c r="U413" s="297"/>
      <c r="V413" s="294" t="s">
        <v>2282</v>
      </c>
      <c r="W413" s="297"/>
      <c r="X413" s="294"/>
      <c r="Y413" s="329"/>
      <c r="Z413" s="329"/>
      <c r="AA413" s="332">
        <f>Table1[[#This Row],[Selling USD]]-Table1[[#This Row],[Cost USD]]</f>
        <v>0</v>
      </c>
      <c r="AB413" s="335"/>
      <c r="AC413" s="298"/>
      <c r="AD413" s="299">
        <f>Table1[[#This Row],[Selling EUR]]-Table1[[#This Row],[Cost EUR]]</f>
        <v>0</v>
      </c>
      <c r="AE413" s="321"/>
      <c r="AF413" s="294"/>
      <c r="AG413" s="294"/>
      <c r="AH413" s="321"/>
      <c r="AI413" s="323"/>
      <c r="AJ413" s="338"/>
      <c r="AK413" s="323"/>
      <c r="AL413" s="338"/>
      <c r="AM413" s="338"/>
      <c r="AN413" s="323"/>
      <c r="AO413" s="282"/>
      <c r="AP413" s="306"/>
      <c r="AQ413" s="282"/>
      <c r="AR413" s="282"/>
      <c r="AS413" s="282"/>
      <c r="AT413" s="281"/>
      <c r="AU413" s="281"/>
      <c r="AV413" s="281"/>
      <c r="AW413" s="281"/>
      <c r="AX413" s="281"/>
      <c r="AY413" s="281"/>
      <c r="AZ413" s="281"/>
    </row>
    <row r="414" spans="1:52" ht="15" customHeight="1" x14ac:dyDescent="0.3">
      <c r="A414" s="294">
        <v>46032</v>
      </c>
      <c r="B414" s="321" t="s">
        <v>47</v>
      </c>
      <c r="C414" s="321" t="s">
        <v>47</v>
      </c>
      <c r="D414" s="294" t="s">
        <v>79</v>
      </c>
      <c r="E414" s="321" t="s">
        <v>106</v>
      </c>
      <c r="F414" s="295">
        <v>15401625</v>
      </c>
      <c r="G414" s="296">
        <v>20303686</v>
      </c>
      <c r="H414" s="280" t="s">
        <v>84</v>
      </c>
      <c r="I414" s="323" t="s">
        <v>177</v>
      </c>
      <c r="J414" s="323" t="s">
        <v>178</v>
      </c>
      <c r="K414" s="294">
        <v>46083</v>
      </c>
      <c r="L414" s="294">
        <v>46091</v>
      </c>
      <c r="M414" s="284">
        <f>Table1[[#This Row],[Dep Date]]-Table1[[#This Row],[Arr Date]]</f>
        <v>8</v>
      </c>
      <c r="N414" s="323" t="s">
        <v>70</v>
      </c>
      <c r="O414" s="321">
        <v>1</v>
      </c>
      <c r="P414" s="321">
        <v>3</v>
      </c>
      <c r="Q414" s="321">
        <v>1</v>
      </c>
      <c r="R414" s="321"/>
      <c r="S414" s="321" t="s">
        <v>53</v>
      </c>
      <c r="T414" s="326" t="s">
        <v>2017</v>
      </c>
      <c r="U414" s="297"/>
      <c r="V414" s="294"/>
      <c r="W414" s="297"/>
      <c r="X414" s="294"/>
      <c r="Y414" s="329">
        <f>132*3*0.75*8</f>
        <v>2376</v>
      </c>
      <c r="Z414" s="329">
        <v>2400</v>
      </c>
      <c r="AA414" s="332">
        <f>Table1[[#This Row],[Selling USD]]-Table1[[#This Row],[Cost USD]]</f>
        <v>24</v>
      </c>
      <c r="AB414" s="335"/>
      <c r="AC414" s="298"/>
      <c r="AD414" s="299">
        <f>Table1[[#This Row],[Selling EUR]]-Table1[[#This Row],[Cost EUR]]</f>
        <v>0</v>
      </c>
      <c r="AE414" s="321" t="s">
        <v>54</v>
      </c>
      <c r="AF414" s="294">
        <v>46072</v>
      </c>
      <c r="AG414" s="294"/>
      <c r="AH414" s="321"/>
      <c r="AI414" s="323"/>
      <c r="AJ414" s="338"/>
      <c r="AK414" s="323"/>
      <c r="AL414" s="338"/>
      <c r="AM414" s="338"/>
      <c r="AN414" s="323"/>
      <c r="AO414" s="282"/>
      <c r="AP414" s="306"/>
      <c r="AQ414" s="282"/>
      <c r="AR414" s="282"/>
      <c r="AS414" s="282"/>
      <c r="AT414" s="281"/>
      <c r="AU414" s="281"/>
      <c r="AV414" s="281"/>
      <c r="AW414" s="281"/>
      <c r="AX414" s="281"/>
      <c r="AY414" s="281"/>
      <c r="AZ414" s="281"/>
    </row>
    <row r="415" spans="1:52" ht="15" customHeight="1" x14ac:dyDescent="0.3">
      <c r="A415" s="294">
        <v>46032</v>
      </c>
      <c r="B415" s="321" t="s">
        <v>73</v>
      </c>
      <c r="C415" s="321" t="s">
        <v>73</v>
      </c>
      <c r="D415" s="294" t="s">
        <v>79</v>
      </c>
      <c r="E415" s="321" t="s">
        <v>138</v>
      </c>
      <c r="F415" s="295">
        <v>15409273</v>
      </c>
      <c r="G415" s="296">
        <v>20303687</v>
      </c>
      <c r="H415" s="280" t="s">
        <v>84</v>
      </c>
      <c r="I415" s="323" t="s">
        <v>168</v>
      </c>
      <c r="J415" s="323" t="s">
        <v>1410</v>
      </c>
      <c r="K415" s="294">
        <v>46091</v>
      </c>
      <c r="L415" s="294">
        <v>46098</v>
      </c>
      <c r="M415" s="284">
        <f>Table1[[#This Row],[Dep Date]]-Table1[[#This Row],[Arr Date]]</f>
        <v>7</v>
      </c>
      <c r="N415" s="323" t="s">
        <v>52</v>
      </c>
      <c r="O415" s="321">
        <v>1</v>
      </c>
      <c r="P415" s="321">
        <v>2</v>
      </c>
      <c r="Q415" s="321"/>
      <c r="R415" s="321">
        <v>1</v>
      </c>
      <c r="S415" s="321" t="s">
        <v>53</v>
      </c>
      <c r="T415" s="326" t="s">
        <v>2018</v>
      </c>
      <c r="U415" s="297">
        <v>1</v>
      </c>
      <c r="V415" s="294"/>
      <c r="W415" s="297"/>
      <c r="X415" s="294"/>
      <c r="Y415" s="329"/>
      <c r="Z415" s="329"/>
      <c r="AA415" s="332">
        <f>Table1[[#This Row],[Selling USD]]-Table1[[#This Row],[Cost USD]]</f>
        <v>0</v>
      </c>
      <c r="AB415" s="335"/>
      <c r="AC415" s="298"/>
      <c r="AD415" s="299">
        <f>Table1[[#This Row],[Selling EUR]]-Table1[[#This Row],[Cost EUR]]</f>
        <v>0</v>
      </c>
      <c r="AE415" s="321"/>
      <c r="AF415" s="294"/>
      <c r="AG415" s="294"/>
      <c r="AH415" s="321"/>
      <c r="AI415" s="323"/>
      <c r="AJ415" s="338"/>
      <c r="AK415" s="323"/>
      <c r="AL415" s="338"/>
      <c r="AM415" s="338"/>
      <c r="AN415" s="323"/>
      <c r="AO415" s="282"/>
      <c r="AP415" s="306"/>
      <c r="AQ415" s="282"/>
      <c r="AR415" s="282"/>
      <c r="AS415" s="282"/>
      <c r="AT415" s="281"/>
      <c r="AU415" s="281"/>
      <c r="AV415" s="281"/>
      <c r="AW415" s="281"/>
      <c r="AX415" s="281"/>
      <c r="AY415" s="281"/>
      <c r="AZ415" s="281"/>
    </row>
    <row r="416" spans="1:52" ht="15" customHeight="1" x14ac:dyDescent="0.3">
      <c r="A416" s="294">
        <v>46032</v>
      </c>
      <c r="B416" s="321" t="s">
        <v>73</v>
      </c>
      <c r="C416" s="321" t="s">
        <v>73</v>
      </c>
      <c r="D416" s="294" t="s">
        <v>48</v>
      </c>
      <c r="E416" s="321" t="s">
        <v>49</v>
      </c>
      <c r="F416" s="295">
        <v>17216652</v>
      </c>
      <c r="G416" s="296"/>
      <c r="H416" s="280" t="s">
        <v>58</v>
      </c>
      <c r="I416" s="323" t="s">
        <v>62</v>
      </c>
      <c r="J416" s="323" t="s">
        <v>146</v>
      </c>
      <c r="K416" s="294">
        <v>46148.041666666599</v>
      </c>
      <c r="L416" s="294">
        <v>46155.041666666599</v>
      </c>
      <c r="M416" s="284">
        <f>Table1[[#This Row],[Dep Date]]-Table1[[#This Row],[Arr Date]]</f>
        <v>7</v>
      </c>
      <c r="N416" s="323" t="s">
        <v>52</v>
      </c>
      <c r="O416" s="321">
        <v>1</v>
      </c>
      <c r="P416" s="321">
        <v>2</v>
      </c>
      <c r="Q416" s="321"/>
      <c r="R416" s="321"/>
      <c r="S416" s="321" t="s">
        <v>53</v>
      </c>
      <c r="T416" s="326" t="s">
        <v>2019</v>
      </c>
      <c r="U416" s="297"/>
      <c r="V416" s="294"/>
      <c r="W416" s="297"/>
      <c r="X416" s="294"/>
      <c r="Y416" s="329"/>
      <c r="Z416" s="329"/>
      <c r="AA416" s="332">
        <f>Table1[[#This Row],[Selling USD]]-Table1[[#This Row],[Cost USD]]</f>
        <v>0</v>
      </c>
      <c r="AB416" s="335"/>
      <c r="AC416" s="298"/>
      <c r="AD416" s="299">
        <f>Table1[[#This Row],[Selling EUR]]-Table1[[#This Row],[Cost EUR]]</f>
        <v>0</v>
      </c>
      <c r="AE416" s="321"/>
      <c r="AF416" s="294"/>
      <c r="AG416" s="294"/>
      <c r="AH416" s="321"/>
      <c r="AI416" s="323"/>
      <c r="AJ416" s="338"/>
      <c r="AK416" s="323"/>
      <c r="AL416" s="338"/>
      <c r="AM416" s="338"/>
      <c r="AN416" s="323"/>
      <c r="AO416" s="282"/>
      <c r="AP416" s="306"/>
      <c r="AQ416" s="282"/>
      <c r="AR416" s="282"/>
      <c r="AS416" s="282"/>
      <c r="AT416" s="281"/>
      <c r="AU416" s="281"/>
      <c r="AV416" s="281"/>
      <c r="AW416" s="281"/>
      <c r="AX416" s="281"/>
      <c r="AY416" s="281"/>
      <c r="AZ416" s="281"/>
    </row>
    <row r="417" spans="1:52" ht="15" customHeight="1" x14ac:dyDescent="0.3">
      <c r="A417" s="294">
        <v>46033</v>
      </c>
      <c r="B417" s="321" t="s">
        <v>73</v>
      </c>
      <c r="C417" s="321" t="s">
        <v>73</v>
      </c>
      <c r="D417" s="294" t="s">
        <v>79</v>
      </c>
      <c r="E417" s="321" t="s">
        <v>49</v>
      </c>
      <c r="F417" s="295">
        <v>15417688</v>
      </c>
      <c r="G417" s="296">
        <v>20303689</v>
      </c>
      <c r="H417" s="280" t="s">
        <v>84</v>
      </c>
      <c r="I417" s="323" t="s">
        <v>157</v>
      </c>
      <c r="J417" s="323" t="s">
        <v>2473</v>
      </c>
      <c r="K417" s="294">
        <v>46102</v>
      </c>
      <c r="L417" s="294">
        <v>46109</v>
      </c>
      <c r="M417" s="284">
        <f>Table1[[#This Row],[Dep Date]]-Table1[[#This Row],[Arr Date]]</f>
        <v>7</v>
      </c>
      <c r="N417" s="323" t="s">
        <v>52</v>
      </c>
      <c r="O417" s="321">
        <v>1</v>
      </c>
      <c r="P417" s="321">
        <v>2</v>
      </c>
      <c r="Q417" s="321"/>
      <c r="R417" s="321"/>
      <c r="S417" s="321" t="s">
        <v>53</v>
      </c>
      <c r="T417" s="326" t="s">
        <v>2020</v>
      </c>
      <c r="U417" s="297"/>
      <c r="V417" s="294"/>
      <c r="W417" s="297"/>
      <c r="X417" s="294"/>
      <c r="Y417" s="329"/>
      <c r="Z417" s="329"/>
      <c r="AA417" s="332">
        <f>Table1[[#This Row],[Selling USD]]-Table1[[#This Row],[Cost USD]]</f>
        <v>0</v>
      </c>
      <c r="AB417" s="335"/>
      <c r="AC417" s="298"/>
      <c r="AD417" s="299">
        <f>Table1[[#This Row],[Selling EUR]]-Table1[[#This Row],[Cost EUR]]</f>
        <v>0</v>
      </c>
      <c r="AE417" s="321"/>
      <c r="AF417" s="294"/>
      <c r="AG417" s="294"/>
      <c r="AH417" s="321"/>
      <c r="AI417" s="323"/>
      <c r="AJ417" s="338"/>
      <c r="AK417" s="323"/>
      <c r="AL417" s="338"/>
      <c r="AM417" s="338"/>
      <c r="AN417" s="323"/>
      <c r="AO417" s="282"/>
      <c r="AP417" s="306"/>
      <c r="AQ417" s="282"/>
      <c r="AR417" s="282"/>
      <c r="AS417" s="282"/>
      <c r="AT417" s="281"/>
      <c r="AU417" s="281"/>
      <c r="AV417" s="281"/>
      <c r="AW417" s="281"/>
      <c r="AX417" s="281"/>
      <c r="AY417" s="281"/>
      <c r="AZ417" s="281"/>
    </row>
    <row r="418" spans="1:52" ht="15" customHeight="1" x14ac:dyDescent="0.3">
      <c r="A418" s="294">
        <v>46033</v>
      </c>
      <c r="B418" s="321" t="s">
        <v>73</v>
      </c>
      <c r="C418" s="321" t="s">
        <v>73</v>
      </c>
      <c r="D418" s="294" t="s">
        <v>79</v>
      </c>
      <c r="E418" s="321" t="s">
        <v>83</v>
      </c>
      <c r="F418" s="295">
        <v>15418799</v>
      </c>
      <c r="G418" s="296">
        <v>20303690</v>
      </c>
      <c r="H418" s="280" t="s">
        <v>50</v>
      </c>
      <c r="I418" s="323" t="s">
        <v>82</v>
      </c>
      <c r="J418" s="323" t="s">
        <v>2520</v>
      </c>
      <c r="K418" s="294">
        <v>46039</v>
      </c>
      <c r="L418" s="294">
        <v>46046</v>
      </c>
      <c r="M418" s="284">
        <f>Table1[[#This Row],[Dep Date]]-Table1[[#This Row],[Arr Date]]</f>
        <v>7</v>
      </c>
      <c r="N418" s="323" t="s">
        <v>52</v>
      </c>
      <c r="O418" s="321">
        <v>1</v>
      </c>
      <c r="P418" s="321">
        <v>2</v>
      </c>
      <c r="Q418" s="321">
        <v>2</v>
      </c>
      <c r="R418" s="321"/>
      <c r="S418" s="321" t="s">
        <v>53</v>
      </c>
      <c r="T418" s="326" t="s">
        <v>2016</v>
      </c>
      <c r="U418" s="297"/>
      <c r="V418" s="294" t="s">
        <v>2282</v>
      </c>
      <c r="W418" s="297"/>
      <c r="X418" s="294"/>
      <c r="Y418" s="329"/>
      <c r="Z418" s="329"/>
      <c r="AA418" s="332">
        <f>Table1[[#This Row],[Selling USD]]-Table1[[#This Row],[Cost USD]]</f>
        <v>0</v>
      </c>
      <c r="AB418" s="335"/>
      <c r="AC418" s="298"/>
      <c r="AD418" s="299">
        <f>Table1[[#This Row],[Selling EUR]]-Table1[[#This Row],[Cost EUR]]</f>
        <v>0</v>
      </c>
      <c r="AE418" s="321"/>
      <c r="AF418" s="294"/>
      <c r="AG418" s="294"/>
      <c r="AH418" s="321"/>
      <c r="AI418" s="323"/>
      <c r="AJ418" s="338"/>
      <c r="AK418" s="323"/>
      <c r="AL418" s="338"/>
      <c r="AM418" s="338"/>
      <c r="AN418" s="323"/>
      <c r="AO418" s="282"/>
      <c r="AP418" s="306"/>
      <c r="AQ418" s="282"/>
      <c r="AR418" s="282"/>
      <c r="AS418" s="282"/>
      <c r="AT418" s="281"/>
      <c r="AU418" s="281"/>
      <c r="AV418" s="281"/>
      <c r="AW418" s="281"/>
      <c r="AX418" s="281"/>
      <c r="AY418" s="281"/>
      <c r="AZ418" s="281"/>
    </row>
    <row r="419" spans="1:52" ht="15" customHeight="1" x14ac:dyDescent="0.3">
      <c r="A419" s="294">
        <v>46033</v>
      </c>
      <c r="B419" s="321" t="s">
        <v>47</v>
      </c>
      <c r="C419" s="321" t="s">
        <v>47</v>
      </c>
      <c r="D419" s="294" t="s">
        <v>79</v>
      </c>
      <c r="E419" s="321" t="s">
        <v>49</v>
      </c>
      <c r="F419" s="295">
        <v>15423042</v>
      </c>
      <c r="G419" s="296">
        <v>20303691</v>
      </c>
      <c r="H419" s="280" t="s">
        <v>58</v>
      </c>
      <c r="I419" s="323" t="s">
        <v>64</v>
      </c>
      <c r="J419" s="323" t="s">
        <v>164</v>
      </c>
      <c r="K419" s="294">
        <v>46060</v>
      </c>
      <c r="L419" s="294">
        <v>46070</v>
      </c>
      <c r="M419" s="284">
        <f>Table1[[#This Row],[Dep Date]]-Table1[[#This Row],[Arr Date]]</f>
        <v>10</v>
      </c>
      <c r="N419" s="323" t="s">
        <v>52</v>
      </c>
      <c r="O419" s="321">
        <v>1</v>
      </c>
      <c r="P419" s="321">
        <v>2</v>
      </c>
      <c r="Q419" s="321"/>
      <c r="R419" s="321"/>
      <c r="S419" s="321" t="s">
        <v>53</v>
      </c>
      <c r="T419" s="326" t="s">
        <v>2021</v>
      </c>
      <c r="U419" s="297"/>
      <c r="V419" s="294"/>
      <c r="W419" s="297"/>
      <c r="X419" s="294"/>
      <c r="Y419" s="329"/>
      <c r="Z419" s="329"/>
      <c r="AA419" s="332">
        <f>Table1[[#This Row],[Selling USD]]-Table1[[#This Row],[Cost USD]]</f>
        <v>0</v>
      </c>
      <c r="AB419" s="335">
        <f>32*2*7+35*2*3</f>
        <v>658</v>
      </c>
      <c r="AC419" s="298">
        <v>678</v>
      </c>
      <c r="AD419" s="299">
        <f>Table1[[#This Row],[Selling EUR]]-Table1[[#This Row],[Cost EUR]]</f>
        <v>20</v>
      </c>
      <c r="AE419" s="321" t="s">
        <v>54</v>
      </c>
      <c r="AF419" s="294">
        <v>46056</v>
      </c>
      <c r="AG419" s="294"/>
      <c r="AH419" s="321"/>
      <c r="AI419" s="323"/>
      <c r="AJ419" s="338"/>
      <c r="AK419" s="323"/>
      <c r="AL419" s="338"/>
      <c r="AM419" s="338"/>
      <c r="AN419" s="323"/>
      <c r="AO419" s="282"/>
      <c r="AP419" s="306"/>
      <c r="AQ419" s="282"/>
      <c r="AR419" s="282"/>
      <c r="AS419" s="282"/>
      <c r="AT419" s="281"/>
      <c r="AU419" s="281"/>
      <c r="AV419" s="281"/>
      <c r="AW419" s="281"/>
      <c r="AX419" s="281"/>
      <c r="AY419" s="281"/>
      <c r="AZ419" s="281"/>
    </row>
    <row r="420" spans="1:52" ht="15" customHeight="1" x14ac:dyDescent="0.3">
      <c r="A420" s="294">
        <v>46034</v>
      </c>
      <c r="B420" s="321" t="s">
        <v>47</v>
      </c>
      <c r="C420" s="321" t="s">
        <v>47</v>
      </c>
      <c r="D420" s="294" t="s">
        <v>48</v>
      </c>
      <c r="E420" s="321" t="s">
        <v>49</v>
      </c>
      <c r="F420" s="295">
        <v>17220803</v>
      </c>
      <c r="G420" s="296"/>
      <c r="H420" s="280" t="s">
        <v>58</v>
      </c>
      <c r="I420" s="323" t="s">
        <v>62</v>
      </c>
      <c r="J420" s="323" t="s">
        <v>146</v>
      </c>
      <c r="K420" s="294">
        <v>46070</v>
      </c>
      <c r="L420" s="294">
        <v>46077</v>
      </c>
      <c r="M420" s="284">
        <f>Table1[[#This Row],[Dep Date]]-Table1[[#This Row],[Arr Date]]</f>
        <v>7</v>
      </c>
      <c r="N420" s="323" t="s">
        <v>52</v>
      </c>
      <c r="O420" s="321">
        <v>1</v>
      </c>
      <c r="P420" s="321">
        <v>2</v>
      </c>
      <c r="Q420" s="321"/>
      <c r="R420" s="321"/>
      <c r="S420" s="321" t="s">
        <v>53</v>
      </c>
      <c r="T420" s="326" t="s">
        <v>2022</v>
      </c>
      <c r="U420" s="297"/>
      <c r="V420" s="294"/>
      <c r="W420" s="297"/>
      <c r="X420" s="294"/>
      <c r="Y420" s="329"/>
      <c r="Z420" s="329"/>
      <c r="AA420" s="332">
        <f>Table1[[#This Row],[Selling USD]]-Table1[[#This Row],[Cost USD]]</f>
        <v>0</v>
      </c>
      <c r="AB420" s="335">
        <f>52*2*1+52*2*6</f>
        <v>728</v>
      </c>
      <c r="AC420" s="298">
        <v>742</v>
      </c>
      <c r="AD420" s="299">
        <f>Table1[[#This Row],[Selling EUR]]-Table1[[#This Row],[Cost EUR]]</f>
        <v>14</v>
      </c>
      <c r="AE420" s="321" t="s">
        <v>54</v>
      </c>
      <c r="AF420" s="294">
        <v>46063</v>
      </c>
      <c r="AG420" s="294"/>
      <c r="AH420" s="321"/>
      <c r="AI420" s="323"/>
      <c r="AJ420" s="338"/>
      <c r="AK420" s="323"/>
      <c r="AL420" s="338"/>
      <c r="AM420" s="338"/>
      <c r="AN420" s="323"/>
      <c r="AO420" s="282"/>
      <c r="AP420" s="306"/>
      <c r="AQ420" s="282"/>
      <c r="AR420" s="282"/>
      <c r="AS420" s="282"/>
      <c r="AT420" s="281"/>
      <c r="AU420" s="281"/>
      <c r="AV420" s="281"/>
      <c r="AW420" s="281"/>
      <c r="AX420" s="281"/>
      <c r="AY420" s="281"/>
      <c r="AZ420" s="281"/>
    </row>
    <row r="421" spans="1:52" ht="15" customHeight="1" x14ac:dyDescent="0.3">
      <c r="A421" s="294">
        <v>46034</v>
      </c>
      <c r="B421" s="321" t="s">
        <v>47</v>
      </c>
      <c r="C421" s="321" t="s">
        <v>47</v>
      </c>
      <c r="D421" s="294" t="s">
        <v>48</v>
      </c>
      <c r="E421" s="321" t="s">
        <v>49</v>
      </c>
      <c r="F421" s="295">
        <v>17220908</v>
      </c>
      <c r="G421" s="296"/>
      <c r="H421" s="280" t="s">
        <v>58</v>
      </c>
      <c r="I421" s="323" t="s">
        <v>64</v>
      </c>
      <c r="J421" s="323" t="s">
        <v>164</v>
      </c>
      <c r="K421" s="294">
        <v>46078</v>
      </c>
      <c r="L421" s="294">
        <v>46086</v>
      </c>
      <c r="M421" s="284">
        <f>Table1[[#This Row],[Dep Date]]-Table1[[#This Row],[Arr Date]]</f>
        <v>8</v>
      </c>
      <c r="N421" s="323" t="s">
        <v>52</v>
      </c>
      <c r="O421" s="321">
        <v>1</v>
      </c>
      <c r="P421" s="321">
        <v>2</v>
      </c>
      <c r="Q421" s="321"/>
      <c r="R421" s="321"/>
      <c r="S421" s="321" t="s">
        <v>53</v>
      </c>
      <c r="T421" s="326" t="s">
        <v>2023</v>
      </c>
      <c r="U421" s="297"/>
      <c r="V421" s="294"/>
      <c r="W421" s="297"/>
      <c r="X421" s="294"/>
      <c r="Y421" s="329"/>
      <c r="Z421" s="329"/>
      <c r="AA421" s="332">
        <f>Table1[[#This Row],[Selling USD]]-Table1[[#This Row],[Cost USD]]</f>
        <v>0</v>
      </c>
      <c r="AB421" s="335">
        <f>35*2*4+38*2*4</f>
        <v>584</v>
      </c>
      <c r="AC421" s="298">
        <v>608</v>
      </c>
      <c r="AD421" s="299">
        <f>Table1[[#This Row],[Selling EUR]]-Table1[[#This Row],[Cost EUR]]</f>
        <v>24</v>
      </c>
      <c r="AE421" s="321" t="s">
        <v>54</v>
      </c>
      <c r="AF421" s="294" t="s">
        <v>2273</v>
      </c>
      <c r="AG421" s="294"/>
      <c r="AH421" s="321"/>
      <c r="AI421" s="323"/>
      <c r="AJ421" s="338"/>
      <c r="AK421" s="323"/>
      <c r="AL421" s="338"/>
      <c r="AM421" s="338"/>
      <c r="AN421" s="323"/>
      <c r="AO421" s="282"/>
      <c r="AP421" s="306"/>
      <c r="AQ421" s="282"/>
      <c r="AR421" s="282"/>
      <c r="AS421" s="282"/>
      <c r="AT421" s="281"/>
      <c r="AU421" s="281"/>
      <c r="AV421" s="281"/>
      <c r="AW421" s="281"/>
      <c r="AX421" s="281"/>
      <c r="AY421" s="281"/>
      <c r="AZ421" s="281"/>
    </row>
    <row r="422" spans="1:52" ht="15" customHeight="1" x14ac:dyDescent="0.3">
      <c r="A422" s="294">
        <v>46034</v>
      </c>
      <c r="B422" s="321" t="s">
        <v>73</v>
      </c>
      <c r="C422" s="321" t="s">
        <v>73</v>
      </c>
      <c r="D422" s="294" t="s">
        <v>79</v>
      </c>
      <c r="E422" s="321" t="s">
        <v>49</v>
      </c>
      <c r="F422" s="295">
        <v>15435758</v>
      </c>
      <c r="G422" s="296">
        <v>20303692</v>
      </c>
      <c r="H422" s="280" t="s">
        <v>58</v>
      </c>
      <c r="I422" s="323" t="s">
        <v>62</v>
      </c>
      <c r="J422" s="323" t="s">
        <v>146</v>
      </c>
      <c r="K422" s="294">
        <v>46099</v>
      </c>
      <c r="L422" s="294">
        <v>46106</v>
      </c>
      <c r="M422" s="284">
        <f>Table1[[#This Row],[Dep Date]]-Table1[[#This Row],[Arr Date]]</f>
        <v>7</v>
      </c>
      <c r="N422" s="323" t="s">
        <v>52</v>
      </c>
      <c r="O422" s="321">
        <v>1</v>
      </c>
      <c r="P422" s="321">
        <v>2</v>
      </c>
      <c r="Q422" s="321"/>
      <c r="R422" s="321"/>
      <c r="S422" s="321" t="s">
        <v>53</v>
      </c>
      <c r="T422" s="326" t="s">
        <v>2024</v>
      </c>
      <c r="U422" s="297"/>
      <c r="V422" s="294"/>
      <c r="W422" s="297"/>
      <c r="X422" s="294"/>
      <c r="Y422" s="329"/>
      <c r="Z422" s="329"/>
      <c r="AA422" s="332">
        <f>Table1[[#This Row],[Selling USD]]-Table1[[#This Row],[Cost USD]]</f>
        <v>0</v>
      </c>
      <c r="AB422" s="335"/>
      <c r="AC422" s="298"/>
      <c r="AD422" s="299">
        <f>Table1[[#This Row],[Selling EUR]]-Table1[[#This Row],[Cost EUR]]</f>
        <v>0</v>
      </c>
      <c r="AE422" s="321"/>
      <c r="AF422" s="294"/>
      <c r="AG422" s="294"/>
      <c r="AH422" s="321"/>
      <c r="AI422" s="323"/>
      <c r="AJ422" s="338"/>
      <c r="AK422" s="323"/>
      <c r="AL422" s="338"/>
      <c r="AM422" s="338"/>
      <c r="AN422" s="323"/>
      <c r="AO422" s="282"/>
      <c r="AP422" s="306"/>
      <c r="AQ422" s="282"/>
      <c r="AR422" s="282"/>
      <c r="AS422" s="282"/>
      <c r="AT422" s="281"/>
      <c r="AU422" s="281"/>
      <c r="AV422" s="281"/>
      <c r="AW422" s="281"/>
      <c r="AX422" s="281"/>
      <c r="AY422" s="281"/>
      <c r="AZ422" s="281"/>
    </row>
    <row r="423" spans="1:52" ht="15" customHeight="1" x14ac:dyDescent="0.3">
      <c r="A423" s="294">
        <v>46055</v>
      </c>
      <c r="B423" s="321" t="s">
        <v>47</v>
      </c>
      <c r="C423" s="321" t="s">
        <v>47</v>
      </c>
      <c r="D423" s="294" t="s">
        <v>48</v>
      </c>
      <c r="E423" s="321" t="s">
        <v>49</v>
      </c>
      <c r="F423" s="295">
        <v>17295388</v>
      </c>
      <c r="G423" s="296"/>
      <c r="H423" s="280" t="s">
        <v>50</v>
      </c>
      <c r="I423" s="323" t="s">
        <v>68</v>
      </c>
      <c r="J423" s="323" t="s">
        <v>179</v>
      </c>
      <c r="K423" s="294">
        <v>46211</v>
      </c>
      <c r="L423" s="294">
        <v>46225</v>
      </c>
      <c r="M423" s="284">
        <f>Table1[[#This Row],[Dep Date]]-Table1[[#This Row],[Arr Date]]</f>
        <v>14</v>
      </c>
      <c r="N423" s="323" t="s">
        <v>52</v>
      </c>
      <c r="O423" s="321">
        <v>1</v>
      </c>
      <c r="P423" s="321">
        <v>2</v>
      </c>
      <c r="Q423" s="321">
        <v>2</v>
      </c>
      <c r="R423" s="321"/>
      <c r="S423" s="321" t="s">
        <v>53</v>
      </c>
      <c r="T423" s="326" t="s">
        <v>180</v>
      </c>
      <c r="U423" s="297">
        <v>14</v>
      </c>
      <c r="V423" s="294"/>
      <c r="W423" s="297">
        <v>7</v>
      </c>
      <c r="X423" s="294"/>
      <c r="Y423" s="329"/>
      <c r="Z423" s="329"/>
      <c r="AA423" s="332">
        <f>Table1[[#This Row],[Selling USD]]-Table1[[#This Row],[Cost USD]]</f>
        <v>0</v>
      </c>
      <c r="AB423" s="335">
        <f>71*2*0.9*13+73*2*0.9*1</f>
        <v>1792.8</v>
      </c>
      <c r="AC423" s="298">
        <v>1843.2</v>
      </c>
      <c r="AD423" s="299">
        <f>Table1[[#This Row],[Selling EUR]]-Table1[[#This Row],[Cost EUR]]</f>
        <v>50.400000000000091</v>
      </c>
      <c r="AE423" s="321" t="s">
        <v>54</v>
      </c>
      <c r="AF423" s="294">
        <v>46204</v>
      </c>
      <c r="AG423" s="294" t="s">
        <v>2424</v>
      </c>
      <c r="AH423" s="321"/>
      <c r="AI423" s="323"/>
      <c r="AJ423" s="338"/>
      <c r="AK423" s="323"/>
      <c r="AL423" s="338"/>
      <c r="AM423" s="338"/>
      <c r="AN423" s="323"/>
      <c r="AO423" s="282"/>
      <c r="AP423" s="306"/>
      <c r="AQ423" s="282"/>
      <c r="AR423" s="282"/>
      <c r="AS423" s="282"/>
      <c r="AT423" s="281"/>
      <c r="AU423" s="281"/>
      <c r="AV423" s="281"/>
      <c r="AW423" s="281"/>
      <c r="AX423" s="281"/>
      <c r="AY423" s="281"/>
      <c r="AZ423" s="281"/>
    </row>
    <row r="424" spans="1:52" ht="15" customHeight="1" x14ac:dyDescent="0.3">
      <c r="A424" s="294">
        <v>46034</v>
      </c>
      <c r="B424" s="321" t="s">
        <v>73</v>
      </c>
      <c r="C424" s="321" t="s">
        <v>73</v>
      </c>
      <c r="D424" s="294" t="s">
        <v>79</v>
      </c>
      <c r="E424" s="321" t="s">
        <v>61</v>
      </c>
      <c r="F424" s="295">
        <v>15440575</v>
      </c>
      <c r="G424" s="296">
        <v>20303694</v>
      </c>
      <c r="H424" s="280" t="s">
        <v>84</v>
      </c>
      <c r="I424" s="323" t="s">
        <v>157</v>
      </c>
      <c r="J424" s="323" t="s">
        <v>98</v>
      </c>
      <c r="K424" s="294">
        <v>46109</v>
      </c>
      <c r="L424" s="294">
        <v>46116</v>
      </c>
      <c r="M424" s="284">
        <f>Table1[[#This Row],[Dep Date]]-Table1[[#This Row],[Arr Date]]</f>
        <v>7</v>
      </c>
      <c r="N424" s="323" t="s">
        <v>52</v>
      </c>
      <c r="O424" s="321">
        <v>1</v>
      </c>
      <c r="P424" s="321">
        <v>2</v>
      </c>
      <c r="Q424" s="321"/>
      <c r="R424" s="321"/>
      <c r="S424" s="321" t="s">
        <v>53</v>
      </c>
      <c r="T424" s="326" t="s">
        <v>2025</v>
      </c>
      <c r="U424" s="297"/>
      <c r="V424" s="294"/>
      <c r="W424" s="297"/>
      <c r="X424" s="294"/>
      <c r="Y424" s="329"/>
      <c r="Z424" s="329"/>
      <c r="AA424" s="332">
        <f>Table1[[#This Row],[Selling USD]]-Table1[[#This Row],[Cost USD]]</f>
        <v>0</v>
      </c>
      <c r="AB424" s="335"/>
      <c r="AC424" s="298"/>
      <c r="AD424" s="299">
        <f>Table1[[#This Row],[Selling EUR]]-Table1[[#This Row],[Cost EUR]]</f>
        <v>0</v>
      </c>
      <c r="AE424" s="321" t="s">
        <v>54</v>
      </c>
      <c r="AF424" s="294">
        <v>46099</v>
      </c>
      <c r="AG424" s="294"/>
      <c r="AH424" s="321"/>
      <c r="AI424" s="323"/>
      <c r="AJ424" s="338"/>
      <c r="AK424" s="323"/>
      <c r="AL424" s="338"/>
      <c r="AM424" s="338"/>
      <c r="AN424" s="323"/>
      <c r="AO424" s="282"/>
      <c r="AP424" s="306"/>
      <c r="AQ424" s="282"/>
      <c r="AR424" s="282"/>
      <c r="AS424" s="282"/>
      <c r="AT424" s="281"/>
      <c r="AU424" s="281"/>
      <c r="AV424" s="281"/>
      <c r="AW424" s="281"/>
      <c r="AX424" s="281"/>
      <c r="AY424" s="281"/>
      <c r="AZ424" s="281"/>
    </row>
    <row r="425" spans="1:52" ht="15" customHeight="1" x14ac:dyDescent="0.3">
      <c r="A425" s="294">
        <v>46034</v>
      </c>
      <c r="B425" s="321" t="s">
        <v>47</v>
      </c>
      <c r="C425" s="321" t="s">
        <v>47</v>
      </c>
      <c r="D425" s="294" t="s">
        <v>79</v>
      </c>
      <c r="E425" s="321" t="s">
        <v>49</v>
      </c>
      <c r="F425" s="295">
        <v>15442598</v>
      </c>
      <c r="G425" s="296">
        <v>20303696</v>
      </c>
      <c r="H425" s="280" t="s">
        <v>84</v>
      </c>
      <c r="I425" s="323" t="s">
        <v>157</v>
      </c>
      <c r="J425" s="323" t="s">
        <v>98</v>
      </c>
      <c r="K425" s="294">
        <v>46104</v>
      </c>
      <c r="L425" s="294">
        <v>46111</v>
      </c>
      <c r="M425" s="284">
        <f>Table1[[#This Row],[Dep Date]]-Table1[[#This Row],[Arr Date]]</f>
        <v>7</v>
      </c>
      <c r="N425" s="323" t="s">
        <v>65</v>
      </c>
      <c r="O425" s="321">
        <v>1</v>
      </c>
      <c r="P425" s="321">
        <v>1</v>
      </c>
      <c r="Q425" s="321"/>
      <c r="R425" s="321"/>
      <c r="S425" s="321" t="s">
        <v>53</v>
      </c>
      <c r="T425" s="326" t="s">
        <v>2026</v>
      </c>
      <c r="U425" s="297"/>
      <c r="V425" s="294"/>
      <c r="W425" s="297"/>
      <c r="X425" s="294"/>
      <c r="Y425" s="329"/>
      <c r="Z425" s="329"/>
      <c r="AA425" s="332">
        <f>Table1[[#This Row],[Selling USD]]-Table1[[#This Row],[Cost USD]]</f>
        <v>0</v>
      </c>
      <c r="AB425" s="335">
        <f>100*7</f>
        <v>700</v>
      </c>
      <c r="AC425" s="298">
        <v>707</v>
      </c>
      <c r="AD425" s="299">
        <f>Table1[[#This Row],[Selling EUR]]-Table1[[#This Row],[Cost EUR]]</f>
        <v>7</v>
      </c>
      <c r="AE425" s="321" t="s">
        <v>54</v>
      </c>
      <c r="AF425" s="294">
        <v>46093</v>
      </c>
      <c r="AG425" s="294"/>
      <c r="AH425" s="321"/>
      <c r="AI425" s="323"/>
      <c r="AJ425" s="338"/>
      <c r="AK425" s="323"/>
      <c r="AL425" s="338"/>
      <c r="AM425" s="338"/>
      <c r="AN425" s="323"/>
      <c r="AO425" s="282"/>
      <c r="AP425" s="306"/>
      <c r="AQ425" s="282"/>
      <c r="AR425" s="282"/>
      <c r="AS425" s="282"/>
      <c r="AT425" s="281"/>
      <c r="AU425" s="281"/>
      <c r="AV425" s="281"/>
      <c r="AW425" s="281"/>
      <c r="AX425" s="281"/>
      <c r="AY425" s="281"/>
      <c r="AZ425" s="281"/>
    </row>
    <row r="426" spans="1:52" ht="15" customHeight="1" x14ac:dyDescent="0.3">
      <c r="A426" s="294">
        <v>46055</v>
      </c>
      <c r="B426" s="321" t="s">
        <v>47</v>
      </c>
      <c r="C426" s="321" t="s">
        <v>47</v>
      </c>
      <c r="D426" s="294" t="s">
        <v>48</v>
      </c>
      <c r="E426" s="321" t="s">
        <v>49</v>
      </c>
      <c r="F426" s="295">
        <v>17295140</v>
      </c>
      <c r="G426" s="296"/>
      <c r="H426" s="280" t="s">
        <v>50</v>
      </c>
      <c r="I426" s="323" t="s">
        <v>68</v>
      </c>
      <c r="J426" s="323" t="s">
        <v>179</v>
      </c>
      <c r="K426" s="294">
        <v>46211</v>
      </c>
      <c r="L426" s="294">
        <v>46225</v>
      </c>
      <c r="M426" s="284">
        <f>Table1[[#This Row],[Dep Date]]-Table1[[#This Row],[Arr Date]]</f>
        <v>14</v>
      </c>
      <c r="N426" s="323" t="s">
        <v>52</v>
      </c>
      <c r="O426" s="321">
        <v>1</v>
      </c>
      <c r="P426" s="321">
        <v>2</v>
      </c>
      <c r="Q426" s="321">
        <v>2</v>
      </c>
      <c r="R426" s="321"/>
      <c r="S426" s="321" t="s">
        <v>53</v>
      </c>
      <c r="T426" s="326" t="s">
        <v>181</v>
      </c>
      <c r="U426" s="297">
        <v>15</v>
      </c>
      <c r="V426" s="294"/>
      <c r="W426" s="297">
        <v>13</v>
      </c>
      <c r="X426" s="294"/>
      <c r="Y426" s="329"/>
      <c r="Z426" s="329"/>
      <c r="AA426" s="332">
        <f>Table1[[#This Row],[Selling USD]]-Table1[[#This Row],[Cost USD]]</f>
        <v>0</v>
      </c>
      <c r="AB426" s="335">
        <f>71*2*0.9*13+73*2*0.9*1</f>
        <v>1792.8</v>
      </c>
      <c r="AC426" s="298">
        <v>1843.2</v>
      </c>
      <c r="AD426" s="299">
        <f>Table1[[#This Row],[Selling EUR]]-Table1[[#This Row],[Cost EUR]]</f>
        <v>50.400000000000091</v>
      </c>
      <c r="AE426" s="321" t="s">
        <v>54</v>
      </c>
      <c r="AF426" s="294">
        <v>46204</v>
      </c>
      <c r="AG426" s="294" t="s">
        <v>2424</v>
      </c>
      <c r="AH426" s="321"/>
      <c r="AI426" s="323"/>
      <c r="AJ426" s="338"/>
      <c r="AK426" s="323"/>
      <c r="AL426" s="338"/>
      <c r="AM426" s="338"/>
      <c r="AN426" s="323"/>
      <c r="AO426" s="282"/>
      <c r="AP426" s="306"/>
      <c r="AQ426" s="282"/>
      <c r="AR426" s="282"/>
      <c r="AS426" s="282"/>
      <c r="AT426" s="281"/>
      <c r="AU426" s="281"/>
      <c r="AV426" s="281"/>
      <c r="AW426" s="281"/>
      <c r="AX426" s="281"/>
      <c r="AY426" s="281"/>
      <c r="AZ426" s="281"/>
    </row>
    <row r="427" spans="1:52" ht="15" customHeight="1" x14ac:dyDescent="0.3">
      <c r="A427" s="294">
        <v>46035</v>
      </c>
      <c r="B427" s="321" t="s">
        <v>73</v>
      </c>
      <c r="C427" s="321" t="s">
        <v>73</v>
      </c>
      <c r="D427" s="294" t="s">
        <v>79</v>
      </c>
      <c r="E427" s="321" t="s">
        <v>138</v>
      </c>
      <c r="F427" s="295">
        <v>15446131</v>
      </c>
      <c r="G427" s="296">
        <v>20303697</v>
      </c>
      <c r="H427" s="280" t="s">
        <v>84</v>
      </c>
      <c r="I427" s="323" t="s">
        <v>168</v>
      </c>
      <c r="J427" s="323" t="s">
        <v>1410</v>
      </c>
      <c r="K427" s="294">
        <v>46088</v>
      </c>
      <c r="L427" s="294">
        <v>46095</v>
      </c>
      <c r="M427" s="284">
        <f>Table1[[#This Row],[Dep Date]]-Table1[[#This Row],[Arr Date]]</f>
        <v>7</v>
      </c>
      <c r="N427" s="323" t="s">
        <v>52</v>
      </c>
      <c r="O427" s="321">
        <v>1</v>
      </c>
      <c r="P427" s="321">
        <v>2</v>
      </c>
      <c r="Q427" s="321"/>
      <c r="R427" s="321"/>
      <c r="S427" s="321" t="s">
        <v>53</v>
      </c>
      <c r="T427" s="326" t="s">
        <v>2027</v>
      </c>
      <c r="U427" s="297"/>
      <c r="V427" s="294"/>
      <c r="W427" s="297"/>
      <c r="X427" s="294"/>
      <c r="Y427" s="329"/>
      <c r="Z427" s="329"/>
      <c r="AA427" s="332">
        <f>Table1[[#This Row],[Selling USD]]-Table1[[#This Row],[Cost USD]]</f>
        <v>0</v>
      </c>
      <c r="AB427" s="335"/>
      <c r="AC427" s="298">
        <v>357</v>
      </c>
      <c r="AD427" s="299">
        <f>Table1[[#This Row],[Selling EUR]]-Table1[[#This Row],[Cost EUR]]</f>
        <v>357</v>
      </c>
      <c r="AE427" s="321" t="s">
        <v>54</v>
      </c>
      <c r="AF427" s="294">
        <v>46082</v>
      </c>
      <c r="AG427" s="294"/>
      <c r="AH427" s="321"/>
      <c r="AI427" s="323"/>
      <c r="AJ427" s="338"/>
      <c r="AK427" s="323"/>
      <c r="AL427" s="338"/>
      <c r="AM427" s="338"/>
      <c r="AN427" s="323"/>
      <c r="AO427" s="282"/>
      <c r="AP427" s="306"/>
      <c r="AQ427" s="282"/>
      <c r="AR427" s="282"/>
      <c r="AS427" s="282"/>
      <c r="AT427" s="281"/>
      <c r="AU427" s="281"/>
      <c r="AV427" s="281"/>
      <c r="AW427" s="281"/>
      <c r="AX427" s="281"/>
      <c r="AY427" s="281"/>
      <c r="AZ427" s="281"/>
    </row>
    <row r="428" spans="1:52" ht="15" customHeight="1" x14ac:dyDescent="0.3">
      <c r="A428" s="294">
        <v>46035</v>
      </c>
      <c r="B428" s="321" t="s">
        <v>47</v>
      </c>
      <c r="C428" s="321" t="s">
        <v>47</v>
      </c>
      <c r="D428" s="294" t="s">
        <v>48</v>
      </c>
      <c r="E428" s="321" t="s">
        <v>61</v>
      </c>
      <c r="F428" s="295">
        <v>17224602</v>
      </c>
      <c r="G428" s="296">
        <v>4870447</v>
      </c>
      <c r="H428" s="280" t="s">
        <v>84</v>
      </c>
      <c r="I428" s="323" t="s">
        <v>113</v>
      </c>
      <c r="J428" s="323" t="s">
        <v>2606</v>
      </c>
      <c r="K428" s="294">
        <v>46062</v>
      </c>
      <c r="L428" s="294">
        <v>46069</v>
      </c>
      <c r="M428" s="284">
        <f>Table1[[#This Row],[Dep Date]]-Table1[[#This Row],[Arr Date]]</f>
        <v>7</v>
      </c>
      <c r="N428" s="323" t="s">
        <v>52</v>
      </c>
      <c r="O428" s="321">
        <v>1</v>
      </c>
      <c r="P428" s="321">
        <v>2</v>
      </c>
      <c r="Q428" s="321"/>
      <c r="R428" s="321"/>
      <c r="S428" s="321" t="s">
        <v>53</v>
      </c>
      <c r="T428" s="326" t="s">
        <v>2028</v>
      </c>
      <c r="U428" s="297"/>
      <c r="V428" s="294"/>
      <c r="W428" s="297"/>
      <c r="X428" s="294"/>
      <c r="Y428" s="329"/>
      <c r="Z428" s="329"/>
      <c r="AA428" s="332">
        <f>Table1[[#This Row],[Selling USD]]-Table1[[#This Row],[Cost USD]]</f>
        <v>0</v>
      </c>
      <c r="AB428" s="335">
        <f>174*2*0.57*6+200*2*1*0.51</f>
        <v>1394.1599999999999</v>
      </c>
      <c r="AC428" s="298">
        <v>1408.16</v>
      </c>
      <c r="AD428" s="299">
        <f>Table1[[#This Row],[Selling EUR]]-Table1[[#This Row],[Cost EUR]]</f>
        <v>14.000000000000227</v>
      </c>
      <c r="AE428" s="321" t="s">
        <v>54</v>
      </c>
      <c r="AF428" s="294">
        <v>46054</v>
      </c>
      <c r="AG428" s="294"/>
      <c r="AH428" s="321"/>
      <c r="AI428" s="323"/>
      <c r="AJ428" s="338"/>
      <c r="AK428" s="323"/>
      <c r="AL428" s="338"/>
      <c r="AM428" s="338"/>
      <c r="AN428" s="323"/>
      <c r="AO428" s="282"/>
      <c r="AP428" s="306"/>
      <c r="AQ428" s="282"/>
      <c r="AR428" s="282"/>
      <c r="AS428" s="282"/>
      <c r="AT428" s="281"/>
      <c r="AU428" s="281"/>
      <c r="AV428" s="281"/>
      <c r="AW428" s="281"/>
      <c r="AX428" s="281"/>
      <c r="AY428" s="281"/>
      <c r="AZ428" s="281"/>
    </row>
    <row r="429" spans="1:52" ht="15" customHeight="1" x14ac:dyDescent="0.3">
      <c r="A429" s="294">
        <v>46035</v>
      </c>
      <c r="B429" s="321" t="s">
        <v>73</v>
      </c>
      <c r="C429" s="321" t="s">
        <v>73</v>
      </c>
      <c r="D429" s="294" t="s">
        <v>79</v>
      </c>
      <c r="E429" s="321" t="s">
        <v>138</v>
      </c>
      <c r="F429" s="295">
        <v>15447860</v>
      </c>
      <c r="G429" s="296">
        <v>20303698</v>
      </c>
      <c r="H429" s="280" t="s">
        <v>84</v>
      </c>
      <c r="I429" s="323" t="s">
        <v>168</v>
      </c>
      <c r="J429" s="323" t="s">
        <v>1481</v>
      </c>
      <c r="K429" s="294">
        <v>46088</v>
      </c>
      <c r="L429" s="294">
        <v>46095</v>
      </c>
      <c r="M429" s="284">
        <f>Table1[[#This Row],[Dep Date]]-Table1[[#This Row],[Arr Date]]</f>
        <v>7</v>
      </c>
      <c r="N429" s="323" t="s">
        <v>52</v>
      </c>
      <c r="O429" s="321">
        <v>1</v>
      </c>
      <c r="P429" s="321">
        <v>2</v>
      </c>
      <c r="Q429" s="321"/>
      <c r="R429" s="321"/>
      <c r="S429" s="321" t="s">
        <v>53</v>
      </c>
      <c r="T429" s="326" t="s">
        <v>2029</v>
      </c>
      <c r="U429" s="297"/>
      <c r="V429" s="294"/>
      <c r="W429" s="297"/>
      <c r="X429" s="294"/>
      <c r="Y429" s="329"/>
      <c r="Z429" s="329"/>
      <c r="AA429" s="332">
        <f>Table1[[#This Row],[Selling USD]]-Table1[[#This Row],[Cost USD]]</f>
        <v>0</v>
      </c>
      <c r="AB429" s="335"/>
      <c r="AC429" s="298">
        <v>196</v>
      </c>
      <c r="AD429" s="299">
        <f>Table1[[#This Row],[Selling EUR]]-Table1[[#This Row],[Cost EUR]]</f>
        <v>196</v>
      </c>
      <c r="AE429" s="321" t="s">
        <v>54</v>
      </c>
      <c r="AF429" s="294">
        <v>46082</v>
      </c>
      <c r="AG429" s="294"/>
      <c r="AH429" s="321"/>
      <c r="AI429" s="323"/>
      <c r="AJ429" s="338"/>
      <c r="AK429" s="323"/>
      <c r="AL429" s="338"/>
      <c r="AM429" s="338"/>
      <c r="AN429" s="323"/>
      <c r="AO429" s="282"/>
      <c r="AP429" s="306"/>
      <c r="AQ429" s="282"/>
      <c r="AR429" s="282"/>
      <c r="AS429" s="282"/>
      <c r="AT429" s="281"/>
      <c r="AU429" s="281"/>
      <c r="AV429" s="281"/>
      <c r="AW429" s="281"/>
      <c r="AX429" s="281"/>
      <c r="AY429" s="281"/>
      <c r="AZ429" s="281"/>
    </row>
    <row r="430" spans="1:52" ht="15" customHeight="1" x14ac:dyDescent="0.3">
      <c r="A430" s="294">
        <v>46035</v>
      </c>
      <c r="B430" s="321" t="s">
        <v>47</v>
      </c>
      <c r="C430" s="321" t="s">
        <v>47</v>
      </c>
      <c r="D430" s="294" t="s">
        <v>48</v>
      </c>
      <c r="E430" s="321" t="s">
        <v>49</v>
      </c>
      <c r="F430" s="295">
        <v>17224814</v>
      </c>
      <c r="G430" s="296"/>
      <c r="H430" s="280" t="s">
        <v>58</v>
      </c>
      <c r="I430" s="323" t="s">
        <v>62</v>
      </c>
      <c r="J430" s="323" t="s">
        <v>2608</v>
      </c>
      <c r="K430" s="294">
        <v>46112</v>
      </c>
      <c r="L430" s="294">
        <v>46120</v>
      </c>
      <c r="M430" s="284">
        <f>Table1[[#This Row],[Dep Date]]-Table1[[#This Row],[Arr Date]]</f>
        <v>8</v>
      </c>
      <c r="N430" s="323" t="s">
        <v>52</v>
      </c>
      <c r="O430" s="321">
        <v>1</v>
      </c>
      <c r="P430" s="321">
        <v>2</v>
      </c>
      <c r="Q430" s="321">
        <v>2</v>
      </c>
      <c r="R430" s="321"/>
      <c r="S430" s="321" t="s">
        <v>53</v>
      </c>
      <c r="T430" s="326" t="s">
        <v>2030</v>
      </c>
      <c r="U430" s="297">
        <v>10</v>
      </c>
      <c r="V430" s="294"/>
      <c r="W430" s="297">
        <v>7</v>
      </c>
      <c r="X430" s="294"/>
      <c r="Y430" s="329"/>
      <c r="Z430" s="329"/>
      <c r="AA430" s="332">
        <f>Table1[[#This Row],[Selling USD]]-Table1[[#This Row],[Cost USD]]</f>
        <v>0</v>
      </c>
      <c r="AB430" s="335">
        <f>70*2*2+88*2*6</f>
        <v>1336</v>
      </c>
      <c r="AC430" s="298">
        <v>1368</v>
      </c>
      <c r="AD430" s="299">
        <f>Table1[[#This Row],[Selling EUR]]-Table1[[#This Row],[Cost EUR]]</f>
        <v>32</v>
      </c>
      <c r="AE430" s="321" t="s">
        <v>54</v>
      </c>
      <c r="AF430" s="294">
        <v>46106</v>
      </c>
      <c r="AG430" s="294"/>
      <c r="AH430" s="321"/>
      <c r="AI430" s="323"/>
      <c r="AJ430" s="338"/>
      <c r="AK430" s="323"/>
      <c r="AL430" s="338"/>
      <c r="AM430" s="338"/>
      <c r="AN430" s="323"/>
      <c r="AO430" s="282"/>
      <c r="AP430" s="306"/>
      <c r="AQ430" s="282"/>
      <c r="AR430" s="282"/>
      <c r="AS430" s="282"/>
      <c r="AT430" s="281"/>
      <c r="AU430" s="281"/>
      <c r="AV430" s="281"/>
      <c r="AW430" s="281"/>
      <c r="AX430" s="281"/>
      <c r="AY430" s="281"/>
      <c r="AZ430" s="281"/>
    </row>
    <row r="431" spans="1:52" ht="15" customHeight="1" x14ac:dyDescent="0.3">
      <c r="A431" s="294">
        <v>46035</v>
      </c>
      <c r="B431" s="321" t="s">
        <v>47</v>
      </c>
      <c r="C431" s="321" t="s">
        <v>47</v>
      </c>
      <c r="D431" s="294" t="s">
        <v>79</v>
      </c>
      <c r="E431" s="321" t="s">
        <v>106</v>
      </c>
      <c r="F431" s="295">
        <v>15454850</v>
      </c>
      <c r="G431" s="296">
        <v>20303699</v>
      </c>
      <c r="H431" s="280" t="s">
        <v>84</v>
      </c>
      <c r="I431" s="323" t="s">
        <v>182</v>
      </c>
      <c r="J431" s="323" t="s">
        <v>2609</v>
      </c>
      <c r="K431" s="294">
        <v>46047</v>
      </c>
      <c r="L431" s="294">
        <v>46054</v>
      </c>
      <c r="M431" s="284">
        <f>Table1[[#This Row],[Dep Date]]-Table1[[#This Row],[Arr Date]]</f>
        <v>7</v>
      </c>
      <c r="N431" s="323" t="s">
        <v>52</v>
      </c>
      <c r="O431" s="321">
        <v>1</v>
      </c>
      <c r="P431" s="321">
        <v>2</v>
      </c>
      <c r="Q431" s="321"/>
      <c r="R431" s="321"/>
      <c r="S431" s="321" t="s">
        <v>53</v>
      </c>
      <c r="T431" s="326" t="s">
        <v>2031</v>
      </c>
      <c r="U431" s="297"/>
      <c r="V431" s="294"/>
      <c r="W431" s="297"/>
      <c r="X431" s="294"/>
      <c r="Y431" s="329">
        <f>156*2*0.65*7</f>
        <v>1419.6000000000001</v>
      </c>
      <c r="Z431" s="329">
        <v>1433.6</v>
      </c>
      <c r="AA431" s="332">
        <f>Table1[[#This Row],[Selling USD]]-Table1[[#This Row],[Cost USD]]</f>
        <v>13.999999999999773</v>
      </c>
      <c r="AB431" s="335"/>
      <c r="AC431" s="298"/>
      <c r="AD431" s="299">
        <f>Table1[[#This Row],[Selling EUR]]-Table1[[#This Row],[Cost EUR]]</f>
        <v>0</v>
      </c>
      <c r="AE431" s="321" t="s">
        <v>54</v>
      </c>
      <c r="AF431" s="294">
        <v>46040</v>
      </c>
      <c r="AG431" s="294"/>
      <c r="AH431" s="321"/>
      <c r="AI431" s="323"/>
      <c r="AJ431" s="338"/>
      <c r="AK431" s="323"/>
      <c r="AL431" s="338"/>
      <c r="AM431" s="338"/>
      <c r="AN431" s="323"/>
      <c r="AO431" s="282"/>
      <c r="AP431" s="306"/>
      <c r="AQ431" s="282"/>
      <c r="AR431" s="282"/>
      <c r="AS431" s="282"/>
      <c r="AT431" s="281"/>
      <c r="AU431" s="281"/>
      <c r="AV431" s="281"/>
      <c r="AW431" s="281"/>
      <c r="AX431" s="281"/>
      <c r="AY431" s="281"/>
      <c r="AZ431" s="281"/>
    </row>
    <row r="432" spans="1:52" ht="15" customHeight="1" x14ac:dyDescent="0.3">
      <c r="A432" s="294">
        <v>46035</v>
      </c>
      <c r="B432" s="321" t="s">
        <v>47</v>
      </c>
      <c r="C432" s="321" t="s">
        <v>47</v>
      </c>
      <c r="D432" s="294" t="s">
        <v>48</v>
      </c>
      <c r="E432" s="321" t="s">
        <v>49</v>
      </c>
      <c r="F432" s="295">
        <v>17225768</v>
      </c>
      <c r="G432" s="296"/>
      <c r="H432" s="280" t="s">
        <v>58</v>
      </c>
      <c r="I432" s="323" t="s">
        <v>62</v>
      </c>
      <c r="J432" s="323" t="s">
        <v>146</v>
      </c>
      <c r="K432" s="294">
        <v>46085</v>
      </c>
      <c r="L432" s="294">
        <v>46094</v>
      </c>
      <c r="M432" s="284">
        <f>Table1[[#This Row],[Dep Date]]-Table1[[#This Row],[Arr Date]]</f>
        <v>9</v>
      </c>
      <c r="N432" s="323" t="s">
        <v>52</v>
      </c>
      <c r="O432" s="321">
        <v>1</v>
      </c>
      <c r="P432" s="321">
        <v>2</v>
      </c>
      <c r="Q432" s="321"/>
      <c r="R432" s="321"/>
      <c r="S432" s="321" t="s">
        <v>53</v>
      </c>
      <c r="T432" s="326" t="s">
        <v>2032</v>
      </c>
      <c r="U432" s="297"/>
      <c r="V432" s="294"/>
      <c r="W432" s="297"/>
      <c r="X432" s="294"/>
      <c r="Y432" s="329"/>
      <c r="Z432" s="329"/>
      <c r="AA432" s="332">
        <f>Table1[[#This Row],[Selling USD]]-Table1[[#This Row],[Cost USD]]</f>
        <v>0</v>
      </c>
      <c r="AB432" s="335">
        <f>50*2*9</f>
        <v>900</v>
      </c>
      <c r="AC432" s="298">
        <v>936</v>
      </c>
      <c r="AD432" s="299">
        <f>Table1[[#This Row],[Selling EUR]]-Table1[[#This Row],[Cost EUR]]</f>
        <v>36</v>
      </c>
      <c r="AE432" s="321" t="s">
        <v>54</v>
      </c>
      <c r="AF432" s="294" t="s">
        <v>2283</v>
      </c>
      <c r="AG432" s="294"/>
      <c r="AH432" s="321"/>
      <c r="AI432" s="323"/>
      <c r="AJ432" s="338"/>
      <c r="AK432" s="323"/>
      <c r="AL432" s="338"/>
      <c r="AM432" s="338"/>
      <c r="AN432" s="323"/>
      <c r="AO432" s="282"/>
      <c r="AP432" s="306"/>
      <c r="AQ432" s="282"/>
      <c r="AR432" s="282"/>
      <c r="AS432" s="282"/>
      <c r="AT432" s="281"/>
      <c r="AU432" s="281"/>
      <c r="AV432" s="281"/>
      <c r="AW432" s="281"/>
      <c r="AX432" s="281"/>
      <c r="AY432" s="281"/>
      <c r="AZ432" s="281"/>
    </row>
    <row r="433" spans="1:52" ht="15" customHeight="1" x14ac:dyDescent="0.3">
      <c r="A433" s="294">
        <v>46035</v>
      </c>
      <c r="B433" s="321" t="s">
        <v>73</v>
      </c>
      <c r="C433" s="321" t="s">
        <v>73</v>
      </c>
      <c r="D433" s="294" t="s">
        <v>48</v>
      </c>
      <c r="E433" s="321" t="s">
        <v>49</v>
      </c>
      <c r="F433" s="295">
        <v>17226126</v>
      </c>
      <c r="G433" s="296"/>
      <c r="H433" s="280" t="s">
        <v>58</v>
      </c>
      <c r="I433" s="323" t="s">
        <v>62</v>
      </c>
      <c r="J433" s="323" t="s">
        <v>146</v>
      </c>
      <c r="K433" s="294">
        <v>46148.041666666599</v>
      </c>
      <c r="L433" s="294">
        <v>46155.041666666599</v>
      </c>
      <c r="M433" s="284">
        <f>Table1[[#This Row],[Dep Date]]-Table1[[#This Row],[Arr Date]]</f>
        <v>7</v>
      </c>
      <c r="N433" s="323" t="s">
        <v>52</v>
      </c>
      <c r="O433" s="321">
        <v>1</v>
      </c>
      <c r="P433" s="321">
        <v>2</v>
      </c>
      <c r="Q433" s="321"/>
      <c r="R433" s="321"/>
      <c r="S433" s="321" t="s">
        <v>53</v>
      </c>
      <c r="T433" s="326" t="s">
        <v>2033</v>
      </c>
      <c r="U433" s="297"/>
      <c r="V433" s="294"/>
      <c r="W433" s="297"/>
      <c r="X433" s="294"/>
      <c r="Y433" s="329"/>
      <c r="Z433" s="329"/>
      <c r="AA433" s="332">
        <f>Table1[[#This Row],[Selling USD]]-Table1[[#This Row],[Cost USD]]</f>
        <v>0</v>
      </c>
      <c r="AB433" s="335"/>
      <c r="AC433" s="298"/>
      <c r="AD433" s="299">
        <f>Table1[[#This Row],[Selling EUR]]-Table1[[#This Row],[Cost EUR]]</f>
        <v>0</v>
      </c>
      <c r="AE433" s="321"/>
      <c r="AF433" s="294"/>
      <c r="AG433" s="294"/>
      <c r="AH433" s="321"/>
      <c r="AI433" s="323"/>
      <c r="AJ433" s="338"/>
      <c r="AK433" s="323"/>
      <c r="AL433" s="338"/>
      <c r="AM433" s="338"/>
      <c r="AN433" s="323"/>
      <c r="AO433" s="282"/>
      <c r="AP433" s="306"/>
      <c r="AQ433" s="282"/>
      <c r="AR433" s="282"/>
      <c r="AS433" s="282"/>
      <c r="AT433" s="281"/>
      <c r="AU433" s="281"/>
      <c r="AV433" s="281"/>
      <c r="AW433" s="281"/>
      <c r="AX433" s="281"/>
      <c r="AY433" s="281"/>
      <c r="AZ433" s="281"/>
    </row>
    <row r="434" spans="1:52" ht="15" customHeight="1" x14ac:dyDescent="0.3">
      <c r="A434" s="294">
        <v>46036</v>
      </c>
      <c r="B434" s="321" t="s">
        <v>73</v>
      </c>
      <c r="C434" s="321" t="s">
        <v>73</v>
      </c>
      <c r="D434" s="294" t="s">
        <v>48</v>
      </c>
      <c r="E434" s="321" t="s">
        <v>61</v>
      </c>
      <c r="F434" s="295">
        <v>17228333</v>
      </c>
      <c r="G434" s="296"/>
      <c r="H434" s="280" t="s">
        <v>50</v>
      </c>
      <c r="I434" s="323" t="s">
        <v>2610</v>
      </c>
      <c r="J434" s="323" t="s">
        <v>2443</v>
      </c>
      <c r="K434" s="294">
        <v>46111</v>
      </c>
      <c r="L434" s="294">
        <v>46125</v>
      </c>
      <c r="M434" s="284">
        <f>Table1[[#This Row],[Dep Date]]-Table1[[#This Row],[Arr Date]]</f>
        <v>14</v>
      </c>
      <c r="N434" s="323" t="s">
        <v>52</v>
      </c>
      <c r="O434" s="321">
        <v>1</v>
      </c>
      <c r="P434" s="321">
        <v>2</v>
      </c>
      <c r="Q434" s="321"/>
      <c r="R434" s="321"/>
      <c r="S434" s="321" t="s">
        <v>53</v>
      </c>
      <c r="T434" s="326" t="s">
        <v>2034</v>
      </c>
      <c r="U434" s="297"/>
      <c r="V434" s="294"/>
      <c r="W434" s="297"/>
      <c r="X434" s="294"/>
      <c r="Y434" s="329"/>
      <c r="Z434" s="329"/>
      <c r="AA434" s="332">
        <f>Table1[[#This Row],[Selling USD]]-Table1[[#This Row],[Cost USD]]</f>
        <v>0</v>
      </c>
      <c r="AB434" s="335"/>
      <c r="AC434" s="298"/>
      <c r="AD434" s="299">
        <f>Table1[[#This Row],[Selling EUR]]-Table1[[#This Row],[Cost EUR]]</f>
        <v>0</v>
      </c>
      <c r="AE434" s="321"/>
      <c r="AF434" s="294"/>
      <c r="AG434" s="294"/>
      <c r="AH434" s="321"/>
      <c r="AI434" s="323"/>
      <c r="AJ434" s="338"/>
      <c r="AK434" s="323"/>
      <c r="AL434" s="338"/>
      <c r="AM434" s="338"/>
      <c r="AN434" s="323"/>
      <c r="AO434" s="282"/>
      <c r="AP434" s="306"/>
      <c r="AQ434" s="282"/>
      <c r="AR434" s="282"/>
      <c r="AS434" s="282"/>
      <c r="AT434" s="281"/>
      <c r="AU434" s="281"/>
      <c r="AV434" s="281"/>
      <c r="AW434" s="281"/>
      <c r="AX434" s="281"/>
      <c r="AY434" s="281"/>
      <c r="AZ434" s="281"/>
    </row>
    <row r="435" spans="1:52" ht="15" customHeight="1" x14ac:dyDescent="0.3">
      <c r="A435" s="294">
        <v>46036</v>
      </c>
      <c r="B435" s="321" t="s">
        <v>47</v>
      </c>
      <c r="C435" s="321" t="s">
        <v>47</v>
      </c>
      <c r="D435" s="294" t="s">
        <v>48</v>
      </c>
      <c r="E435" s="321" t="s">
        <v>49</v>
      </c>
      <c r="F435" s="295">
        <v>17228559</v>
      </c>
      <c r="G435" s="296"/>
      <c r="H435" s="280" t="s">
        <v>58</v>
      </c>
      <c r="I435" s="323" t="s">
        <v>62</v>
      </c>
      <c r="J435" s="323" t="s">
        <v>146</v>
      </c>
      <c r="K435" s="294">
        <v>46098</v>
      </c>
      <c r="L435" s="294">
        <v>46105</v>
      </c>
      <c r="M435" s="284">
        <f>Table1[[#This Row],[Dep Date]]-Table1[[#This Row],[Arr Date]]</f>
        <v>7</v>
      </c>
      <c r="N435" s="323" t="s">
        <v>52</v>
      </c>
      <c r="O435" s="321">
        <v>1</v>
      </c>
      <c r="P435" s="321">
        <v>2</v>
      </c>
      <c r="Q435" s="321"/>
      <c r="R435" s="321"/>
      <c r="S435" s="321" t="s">
        <v>53</v>
      </c>
      <c r="T435" s="326" t="s">
        <v>2035</v>
      </c>
      <c r="U435" s="297"/>
      <c r="V435" s="294"/>
      <c r="W435" s="297"/>
      <c r="X435" s="294"/>
      <c r="Y435" s="329"/>
      <c r="Z435" s="329"/>
      <c r="AA435" s="332">
        <f>Table1[[#This Row],[Selling USD]]-Table1[[#This Row],[Cost USD]]</f>
        <v>0</v>
      </c>
      <c r="AB435" s="335">
        <f>50*2*7</f>
        <v>700</v>
      </c>
      <c r="AC435" s="298">
        <v>728</v>
      </c>
      <c r="AD435" s="299">
        <f>Table1[[#This Row],[Selling EUR]]-Table1[[#This Row],[Cost EUR]]</f>
        <v>28</v>
      </c>
      <c r="AE435" s="321" t="s">
        <v>54</v>
      </c>
      <c r="AF435" s="294">
        <v>46091</v>
      </c>
      <c r="AG435" s="294"/>
      <c r="AH435" s="321"/>
      <c r="AI435" s="323"/>
      <c r="AJ435" s="338"/>
      <c r="AK435" s="323"/>
      <c r="AL435" s="338"/>
      <c r="AM435" s="338"/>
      <c r="AN435" s="323"/>
      <c r="AO435" s="282"/>
      <c r="AP435" s="306"/>
      <c r="AQ435" s="282"/>
      <c r="AR435" s="282"/>
      <c r="AS435" s="282"/>
      <c r="AT435" s="281"/>
      <c r="AU435" s="281"/>
      <c r="AV435" s="281"/>
      <c r="AW435" s="281"/>
      <c r="AX435" s="281"/>
      <c r="AY435" s="281"/>
      <c r="AZ435" s="281"/>
    </row>
    <row r="436" spans="1:52" ht="15" customHeight="1" x14ac:dyDescent="0.3">
      <c r="A436" s="294">
        <v>46036</v>
      </c>
      <c r="B436" s="321" t="s">
        <v>73</v>
      </c>
      <c r="C436" s="321" t="s">
        <v>73</v>
      </c>
      <c r="D436" s="294" t="s">
        <v>137</v>
      </c>
      <c r="E436" s="321" t="s">
        <v>138</v>
      </c>
      <c r="F436" s="295">
        <v>2025042</v>
      </c>
      <c r="G436" s="296">
        <v>2025042</v>
      </c>
      <c r="H436" s="280" t="s">
        <v>58</v>
      </c>
      <c r="I436" s="323" t="s">
        <v>59</v>
      </c>
      <c r="J436" s="323" t="s">
        <v>171</v>
      </c>
      <c r="K436" s="294">
        <v>46091</v>
      </c>
      <c r="L436" s="294">
        <v>46105</v>
      </c>
      <c r="M436" s="284">
        <f>Table1[[#This Row],[Dep Date]]-Table1[[#This Row],[Arr Date]]</f>
        <v>14</v>
      </c>
      <c r="N436" s="323" t="s">
        <v>65</v>
      </c>
      <c r="O436" s="321">
        <v>1</v>
      </c>
      <c r="P436" s="321">
        <v>1</v>
      </c>
      <c r="Q436" s="321"/>
      <c r="R436" s="321"/>
      <c r="S436" s="321" t="s">
        <v>53</v>
      </c>
      <c r="T436" s="326" t="s">
        <v>2036</v>
      </c>
      <c r="U436" s="297"/>
      <c r="V436" s="294"/>
      <c r="W436" s="297"/>
      <c r="X436" s="294"/>
      <c r="Y436" s="329"/>
      <c r="Z436" s="329"/>
      <c r="AA436" s="332">
        <f>Table1[[#This Row],[Selling USD]]-Table1[[#This Row],[Cost USD]]</f>
        <v>0</v>
      </c>
      <c r="AB436" s="335"/>
      <c r="AC436" s="298"/>
      <c r="AD436" s="299">
        <f>Table1[[#This Row],[Selling EUR]]-Table1[[#This Row],[Cost EUR]]</f>
        <v>0</v>
      </c>
      <c r="AE436" s="321" t="s">
        <v>54</v>
      </c>
      <c r="AF436" s="294"/>
      <c r="AG436" s="294"/>
      <c r="AH436" s="321">
        <v>70</v>
      </c>
      <c r="AI436" s="323" t="s">
        <v>2425</v>
      </c>
      <c r="AJ436" s="338">
        <v>0.76388888888888884</v>
      </c>
      <c r="AK436" s="323" t="s">
        <v>2426</v>
      </c>
      <c r="AL436" s="338">
        <v>0.79861111111111116</v>
      </c>
      <c r="AM436" s="338"/>
      <c r="AN436" s="323"/>
      <c r="AO436" s="282"/>
      <c r="AP436" s="306"/>
      <c r="AQ436" s="282"/>
      <c r="AR436" s="282"/>
      <c r="AS436" s="282"/>
      <c r="AT436" s="281"/>
      <c r="AU436" s="281"/>
      <c r="AV436" s="281"/>
      <c r="AW436" s="281"/>
      <c r="AX436" s="281"/>
      <c r="AY436" s="281"/>
      <c r="AZ436" s="281"/>
    </row>
    <row r="437" spans="1:52" ht="15" customHeight="1" x14ac:dyDescent="0.3">
      <c r="A437" s="294">
        <v>46036</v>
      </c>
      <c r="B437" s="321" t="s">
        <v>47</v>
      </c>
      <c r="C437" s="321" t="s">
        <v>47</v>
      </c>
      <c r="D437" s="294" t="s">
        <v>79</v>
      </c>
      <c r="E437" s="321" t="s">
        <v>49</v>
      </c>
      <c r="F437" s="295">
        <v>15473108</v>
      </c>
      <c r="G437" s="296">
        <v>20303700</v>
      </c>
      <c r="H437" s="280" t="s">
        <v>58</v>
      </c>
      <c r="I437" s="323" t="s">
        <v>64</v>
      </c>
      <c r="J437" s="323" t="s">
        <v>164</v>
      </c>
      <c r="K437" s="294">
        <v>46058</v>
      </c>
      <c r="L437" s="294">
        <v>46068</v>
      </c>
      <c r="M437" s="284">
        <f>Table1[[#This Row],[Dep Date]]-Table1[[#This Row],[Arr Date]]</f>
        <v>10</v>
      </c>
      <c r="N437" s="323" t="s">
        <v>52</v>
      </c>
      <c r="O437" s="321">
        <v>1</v>
      </c>
      <c r="P437" s="321">
        <v>2</v>
      </c>
      <c r="Q437" s="321"/>
      <c r="R437" s="321"/>
      <c r="S437" s="321" t="s">
        <v>53</v>
      </c>
      <c r="T437" s="326" t="s">
        <v>2037</v>
      </c>
      <c r="U437" s="297"/>
      <c r="V437" s="294"/>
      <c r="W437" s="297"/>
      <c r="X437" s="294"/>
      <c r="Y437" s="329"/>
      <c r="Z437" s="329"/>
      <c r="AA437" s="332">
        <f>Table1[[#This Row],[Selling USD]]-Table1[[#This Row],[Cost USD]]</f>
        <v>0</v>
      </c>
      <c r="AB437" s="335">
        <f>32*2*9+35*2*1</f>
        <v>646</v>
      </c>
      <c r="AC437" s="298">
        <v>666</v>
      </c>
      <c r="AD437" s="299">
        <f>Table1[[#This Row],[Selling EUR]]-Table1[[#This Row],[Cost EUR]]</f>
        <v>20</v>
      </c>
      <c r="AE437" s="321" t="s">
        <v>54</v>
      </c>
      <c r="AF437" s="294" t="s">
        <v>2284</v>
      </c>
      <c r="AG437" s="294"/>
      <c r="AH437" s="321"/>
      <c r="AI437" s="323"/>
      <c r="AJ437" s="338"/>
      <c r="AK437" s="323"/>
      <c r="AL437" s="338"/>
      <c r="AM437" s="338"/>
      <c r="AN437" s="323"/>
      <c r="AO437" s="282"/>
      <c r="AP437" s="306"/>
      <c r="AQ437" s="282"/>
      <c r="AR437" s="282"/>
      <c r="AS437" s="282"/>
      <c r="AT437" s="281"/>
      <c r="AU437" s="281"/>
      <c r="AV437" s="281"/>
      <c r="AW437" s="281"/>
      <c r="AX437" s="281"/>
      <c r="AY437" s="281"/>
      <c r="AZ437" s="281"/>
    </row>
    <row r="438" spans="1:52" ht="15" customHeight="1" x14ac:dyDescent="0.3">
      <c r="A438" s="294">
        <v>46037</v>
      </c>
      <c r="B438" s="321" t="s">
        <v>73</v>
      </c>
      <c r="C438" s="321" t="s">
        <v>73</v>
      </c>
      <c r="D438" s="294" t="s">
        <v>79</v>
      </c>
      <c r="E438" s="321" t="s">
        <v>138</v>
      </c>
      <c r="F438" s="295">
        <v>15478996</v>
      </c>
      <c r="G438" s="296">
        <v>20303701</v>
      </c>
      <c r="H438" s="280" t="s">
        <v>84</v>
      </c>
      <c r="I438" s="323" t="s">
        <v>172</v>
      </c>
      <c r="J438" s="323" t="s">
        <v>1436</v>
      </c>
      <c r="K438" s="294">
        <v>46148.041666666599</v>
      </c>
      <c r="L438" s="294">
        <v>46155.041666666599</v>
      </c>
      <c r="M438" s="284">
        <f>Table1[[#This Row],[Dep Date]]-Table1[[#This Row],[Arr Date]]</f>
        <v>7</v>
      </c>
      <c r="N438" s="323" t="s">
        <v>52</v>
      </c>
      <c r="O438" s="321">
        <v>1</v>
      </c>
      <c r="P438" s="321">
        <v>2</v>
      </c>
      <c r="Q438" s="321">
        <v>2</v>
      </c>
      <c r="R438" s="321"/>
      <c r="S438" s="321" t="s">
        <v>53</v>
      </c>
      <c r="T438" s="326" t="s">
        <v>2038</v>
      </c>
      <c r="U438" s="297">
        <v>10</v>
      </c>
      <c r="V438" s="294"/>
      <c r="W438" s="297">
        <v>5</v>
      </c>
      <c r="X438" s="294"/>
      <c r="Y438" s="329"/>
      <c r="Z438" s="329"/>
      <c r="AA438" s="332">
        <f>Table1[[#This Row],[Selling USD]]-Table1[[#This Row],[Cost USD]]</f>
        <v>0</v>
      </c>
      <c r="AB438" s="335"/>
      <c r="AC438" s="298"/>
      <c r="AD438" s="299">
        <f>Table1[[#This Row],[Selling EUR]]-Table1[[#This Row],[Cost EUR]]</f>
        <v>0</v>
      </c>
      <c r="AE438" s="321"/>
      <c r="AF438" s="294"/>
      <c r="AG438" s="294"/>
      <c r="AH438" s="321"/>
      <c r="AI438" s="323"/>
      <c r="AJ438" s="338"/>
      <c r="AK438" s="323"/>
      <c r="AL438" s="338"/>
      <c r="AM438" s="338"/>
      <c r="AN438" s="323"/>
      <c r="AO438" s="282"/>
      <c r="AP438" s="306"/>
      <c r="AQ438" s="282"/>
      <c r="AR438" s="282"/>
      <c r="AS438" s="282"/>
      <c r="AT438" s="281"/>
      <c r="AU438" s="281"/>
      <c r="AV438" s="281"/>
      <c r="AW438" s="281"/>
      <c r="AX438" s="281"/>
      <c r="AY438" s="281"/>
      <c r="AZ438" s="281"/>
    </row>
    <row r="439" spans="1:52" ht="15" customHeight="1" x14ac:dyDescent="0.3">
      <c r="A439" s="294">
        <v>46037</v>
      </c>
      <c r="B439" s="321" t="s">
        <v>47</v>
      </c>
      <c r="C439" s="321" t="s">
        <v>47</v>
      </c>
      <c r="D439" s="294" t="s">
        <v>79</v>
      </c>
      <c r="E439" s="321" t="s">
        <v>138</v>
      </c>
      <c r="F439" s="295">
        <v>15484535</v>
      </c>
      <c r="G439" s="296">
        <v>20303702</v>
      </c>
      <c r="H439" s="280" t="s">
        <v>84</v>
      </c>
      <c r="I439" s="323" t="s">
        <v>168</v>
      </c>
      <c r="J439" s="323" t="s">
        <v>1410</v>
      </c>
      <c r="K439" s="294">
        <v>46073</v>
      </c>
      <c r="L439" s="294">
        <v>46080</v>
      </c>
      <c r="M439" s="284">
        <f>Table1[[#This Row],[Dep Date]]-Table1[[#This Row],[Arr Date]]</f>
        <v>7</v>
      </c>
      <c r="N439" s="323" t="s">
        <v>52</v>
      </c>
      <c r="O439" s="321">
        <v>1</v>
      </c>
      <c r="P439" s="321">
        <v>2</v>
      </c>
      <c r="Q439" s="321"/>
      <c r="R439" s="321"/>
      <c r="S439" s="321" t="s">
        <v>53</v>
      </c>
      <c r="T439" s="326" t="s">
        <v>2039</v>
      </c>
      <c r="U439" s="297"/>
      <c r="V439" s="294"/>
      <c r="W439" s="297"/>
      <c r="X439" s="294"/>
      <c r="Y439" s="329"/>
      <c r="Z439" s="329"/>
      <c r="AA439" s="332">
        <f>Table1[[#This Row],[Selling USD]]-Table1[[#This Row],[Cost USD]]</f>
        <v>0</v>
      </c>
      <c r="AB439" s="335">
        <f>45*2*7</f>
        <v>630</v>
      </c>
      <c r="AC439" s="298">
        <v>644</v>
      </c>
      <c r="AD439" s="299">
        <f>Table1[[#This Row],[Selling EUR]]-Table1[[#This Row],[Cost EUR]]</f>
        <v>14</v>
      </c>
      <c r="AE439" s="321" t="s">
        <v>54</v>
      </c>
      <c r="AF439" s="294">
        <v>46058</v>
      </c>
      <c r="AG439" s="294"/>
      <c r="AH439" s="321"/>
      <c r="AI439" s="323"/>
      <c r="AJ439" s="338"/>
      <c r="AK439" s="323"/>
      <c r="AL439" s="338"/>
      <c r="AM439" s="338"/>
      <c r="AN439" s="323"/>
      <c r="AO439" s="282"/>
      <c r="AP439" s="306"/>
      <c r="AQ439" s="282"/>
      <c r="AR439" s="282"/>
      <c r="AS439" s="282"/>
      <c r="AT439" s="281"/>
      <c r="AU439" s="281"/>
      <c r="AV439" s="281"/>
      <c r="AW439" s="281"/>
      <c r="AX439" s="281"/>
      <c r="AY439" s="281"/>
      <c r="AZ439" s="281"/>
    </row>
    <row r="440" spans="1:52" ht="15" customHeight="1" x14ac:dyDescent="0.3">
      <c r="A440" s="294">
        <v>46037</v>
      </c>
      <c r="B440" s="321" t="s">
        <v>47</v>
      </c>
      <c r="C440" s="321" t="s">
        <v>47</v>
      </c>
      <c r="D440" s="294" t="s">
        <v>79</v>
      </c>
      <c r="E440" s="321" t="s">
        <v>138</v>
      </c>
      <c r="F440" s="295">
        <v>15493702</v>
      </c>
      <c r="G440" s="296">
        <v>20303703</v>
      </c>
      <c r="H440" s="280" t="s">
        <v>84</v>
      </c>
      <c r="I440" s="323" t="s">
        <v>2611</v>
      </c>
      <c r="J440" s="323" t="s">
        <v>1402</v>
      </c>
      <c r="K440" s="294">
        <v>46046</v>
      </c>
      <c r="L440" s="294">
        <v>46053</v>
      </c>
      <c r="M440" s="284">
        <f>Table1[[#This Row],[Dep Date]]-Table1[[#This Row],[Arr Date]]</f>
        <v>7</v>
      </c>
      <c r="N440" s="323" t="s">
        <v>52</v>
      </c>
      <c r="O440" s="321">
        <v>1</v>
      </c>
      <c r="P440" s="321">
        <v>2</v>
      </c>
      <c r="Q440" s="321"/>
      <c r="R440" s="321"/>
      <c r="S440" s="321" t="s">
        <v>53</v>
      </c>
      <c r="T440" s="326" t="s">
        <v>2040</v>
      </c>
      <c r="U440" s="297"/>
      <c r="V440" s="294"/>
      <c r="W440" s="297"/>
      <c r="X440" s="294"/>
      <c r="Y440" s="329"/>
      <c r="Z440" s="329"/>
      <c r="AA440" s="332">
        <f>Table1[[#This Row],[Selling USD]]-Table1[[#This Row],[Cost USD]]</f>
        <v>0</v>
      </c>
      <c r="AB440" s="335">
        <f>37*2*7</f>
        <v>518</v>
      </c>
      <c r="AC440" s="298">
        <v>532</v>
      </c>
      <c r="AD440" s="299">
        <f>Table1[[#This Row],[Selling EUR]]-Table1[[#This Row],[Cost EUR]]</f>
        <v>14</v>
      </c>
      <c r="AE440" s="321" t="s">
        <v>54</v>
      </c>
      <c r="AF440" s="294">
        <v>46040</v>
      </c>
      <c r="AG440" s="294"/>
      <c r="AH440" s="321"/>
      <c r="AI440" s="323"/>
      <c r="AJ440" s="338"/>
      <c r="AK440" s="323"/>
      <c r="AL440" s="338"/>
      <c r="AM440" s="338"/>
      <c r="AN440" s="323"/>
      <c r="AO440" s="282"/>
      <c r="AP440" s="306"/>
      <c r="AQ440" s="282"/>
      <c r="AR440" s="282"/>
      <c r="AS440" s="282"/>
      <c r="AT440" s="281"/>
      <c r="AU440" s="281"/>
      <c r="AV440" s="281"/>
      <c r="AW440" s="281"/>
      <c r="AX440" s="281"/>
      <c r="AY440" s="281"/>
      <c r="AZ440" s="281"/>
    </row>
    <row r="441" spans="1:52" ht="15" customHeight="1" x14ac:dyDescent="0.3">
      <c r="A441" s="294">
        <v>46037</v>
      </c>
      <c r="B441" s="321" t="s">
        <v>73</v>
      </c>
      <c r="C441" s="321" t="s">
        <v>73</v>
      </c>
      <c r="D441" s="294" t="s">
        <v>79</v>
      </c>
      <c r="E441" s="321" t="s">
        <v>138</v>
      </c>
      <c r="F441" s="295">
        <v>15493859</v>
      </c>
      <c r="G441" s="296">
        <v>20303704</v>
      </c>
      <c r="H441" s="280" t="s">
        <v>84</v>
      </c>
      <c r="I441" s="323" t="s">
        <v>184</v>
      </c>
      <c r="J441" s="323" t="s">
        <v>1519</v>
      </c>
      <c r="K441" s="294">
        <v>46098</v>
      </c>
      <c r="L441" s="294">
        <v>46105</v>
      </c>
      <c r="M441" s="284">
        <f>Table1[[#This Row],[Dep Date]]-Table1[[#This Row],[Arr Date]]</f>
        <v>7</v>
      </c>
      <c r="N441" s="323" t="s">
        <v>52</v>
      </c>
      <c r="O441" s="321">
        <v>1</v>
      </c>
      <c r="P441" s="321">
        <v>2</v>
      </c>
      <c r="Q441" s="321"/>
      <c r="R441" s="321"/>
      <c r="S441" s="321" t="s">
        <v>53</v>
      </c>
      <c r="T441" s="326" t="s">
        <v>2041</v>
      </c>
      <c r="U441" s="297"/>
      <c r="V441" s="294"/>
      <c r="W441" s="297"/>
      <c r="X441" s="294"/>
      <c r="Y441" s="329"/>
      <c r="Z441" s="329"/>
      <c r="AA441" s="332">
        <f>Table1[[#This Row],[Selling USD]]-Table1[[#This Row],[Cost USD]]</f>
        <v>0</v>
      </c>
      <c r="AB441" s="335"/>
      <c r="AC441" s="298"/>
      <c r="AD441" s="299">
        <f>Table1[[#This Row],[Selling EUR]]-Table1[[#This Row],[Cost EUR]]</f>
        <v>0</v>
      </c>
      <c r="AE441" s="321"/>
      <c r="AF441" s="294"/>
      <c r="AG441" s="294"/>
      <c r="AH441" s="321"/>
      <c r="AI441" s="323"/>
      <c r="AJ441" s="338"/>
      <c r="AK441" s="323"/>
      <c r="AL441" s="338"/>
      <c r="AM441" s="338"/>
      <c r="AN441" s="323"/>
      <c r="AO441" s="282"/>
      <c r="AP441" s="306"/>
      <c r="AQ441" s="282"/>
      <c r="AR441" s="282"/>
      <c r="AS441" s="282"/>
      <c r="AT441" s="281"/>
      <c r="AU441" s="281"/>
      <c r="AV441" s="281"/>
      <c r="AW441" s="281"/>
      <c r="AX441" s="281"/>
      <c r="AY441" s="281"/>
      <c r="AZ441" s="281"/>
    </row>
    <row r="442" spans="1:52" ht="15" customHeight="1" x14ac:dyDescent="0.3">
      <c r="A442" s="294">
        <v>46038</v>
      </c>
      <c r="B442" s="321" t="s">
        <v>47</v>
      </c>
      <c r="C442" s="321" t="s">
        <v>47</v>
      </c>
      <c r="D442" s="294" t="s">
        <v>48</v>
      </c>
      <c r="E442" s="321" t="s">
        <v>49</v>
      </c>
      <c r="F442" s="295">
        <v>17236252</v>
      </c>
      <c r="G442" s="296"/>
      <c r="H442" s="280" t="s">
        <v>58</v>
      </c>
      <c r="I442" s="323" t="s">
        <v>62</v>
      </c>
      <c r="J442" s="323" t="s">
        <v>146</v>
      </c>
      <c r="K442" s="294">
        <v>46073</v>
      </c>
      <c r="L442" s="294">
        <v>46081</v>
      </c>
      <c r="M442" s="284">
        <f>Table1[[#This Row],[Dep Date]]-Table1[[#This Row],[Arr Date]]</f>
        <v>8</v>
      </c>
      <c r="N442" s="323" t="s">
        <v>52</v>
      </c>
      <c r="O442" s="321">
        <v>1</v>
      </c>
      <c r="P442" s="321">
        <v>2</v>
      </c>
      <c r="Q442" s="321"/>
      <c r="R442" s="321"/>
      <c r="S442" s="321" t="s">
        <v>53</v>
      </c>
      <c r="T442" s="326" t="s">
        <v>2042</v>
      </c>
      <c r="U442" s="297"/>
      <c r="V442" s="294"/>
      <c r="W442" s="297"/>
      <c r="X442" s="294"/>
      <c r="Y442" s="329"/>
      <c r="Z442" s="329"/>
      <c r="AA442" s="332">
        <f>Table1[[#This Row],[Selling USD]]-Table1[[#This Row],[Cost USD]]</f>
        <v>0</v>
      </c>
      <c r="AB442" s="335">
        <f>52*2*4+49*2*4</f>
        <v>808</v>
      </c>
      <c r="AC442" s="298">
        <v>824</v>
      </c>
      <c r="AD442" s="299">
        <f>Table1[[#This Row],[Selling EUR]]-Table1[[#This Row],[Cost EUR]]</f>
        <v>16</v>
      </c>
      <c r="AE442" s="321" t="s">
        <v>54</v>
      </c>
      <c r="AF442" s="294">
        <v>46065</v>
      </c>
      <c r="AG442" s="294"/>
      <c r="AH442" s="321"/>
      <c r="AI442" s="323"/>
      <c r="AJ442" s="338"/>
      <c r="AK442" s="323"/>
      <c r="AL442" s="338"/>
      <c r="AM442" s="338"/>
      <c r="AN442" s="323"/>
      <c r="AO442" s="282"/>
      <c r="AP442" s="306"/>
      <c r="AQ442" s="282"/>
      <c r="AR442" s="282"/>
      <c r="AS442" s="282"/>
      <c r="AT442" s="281"/>
      <c r="AU442" s="281"/>
      <c r="AV442" s="281"/>
      <c r="AW442" s="281"/>
      <c r="AX442" s="281"/>
      <c r="AY442" s="281"/>
      <c r="AZ442" s="281"/>
    </row>
    <row r="443" spans="1:52" ht="15" customHeight="1" x14ac:dyDescent="0.3">
      <c r="A443" s="294">
        <v>46040</v>
      </c>
      <c r="B443" s="321" t="s">
        <v>47</v>
      </c>
      <c r="C443" s="321" t="s">
        <v>47</v>
      </c>
      <c r="D443" s="294" t="s">
        <v>48</v>
      </c>
      <c r="E443" s="321" t="s">
        <v>61</v>
      </c>
      <c r="F443" s="295" t="s">
        <v>185</v>
      </c>
      <c r="G443" s="296">
        <v>2642385</v>
      </c>
      <c r="H443" s="280" t="s">
        <v>50</v>
      </c>
      <c r="I443" s="323" t="s">
        <v>127</v>
      </c>
      <c r="J443" s="323" t="s">
        <v>2612</v>
      </c>
      <c r="K443" s="294">
        <v>46065</v>
      </c>
      <c r="L443" s="294">
        <v>46072</v>
      </c>
      <c r="M443" s="284">
        <f>Table1[[#This Row],[Dep Date]]-Table1[[#This Row],[Arr Date]]</f>
        <v>7</v>
      </c>
      <c r="N443" s="323" t="s">
        <v>52</v>
      </c>
      <c r="O443" s="321">
        <v>1</v>
      </c>
      <c r="P443" s="321">
        <v>2</v>
      </c>
      <c r="Q443" s="321"/>
      <c r="R443" s="321"/>
      <c r="S443" s="321" t="s">
        <v>53</v>
      </c>
      <c r="T443" s="326" t="s">
        <v>2043</v>
      </c>
      <c r="U443" s="297"/>
      <c r="V443" s="294"/>
      <c r="W443" s="297"/>
      <c r="X443" s="294"/>
      <c r="Y443" s="329">
        <f>62*2*0.85*7</f>
        <v>737.8</v>
      </c>
      <c r="Z443" s="329">
        <v>751.08</v>
      </c>
      <c r="AA443" s="332">
        <f>Table1[[#This Row],[Selling USD]]-Table1[[#This Row],[Cost USD]]</f>
        <v>13.280000000000086</v>
      </c>
      <c r="AB443" s="335"/>
      <c r="AC443" s="298"/>
      <c r="AD443" s="299">
        <f>Table1[[#This Row],[Selling EUR]]-Table1[[#This Row],[Cost EUR]]</f>
        <v>0</v>
      </c>
      <c r="AE443" s="321" t="s">
        <v>54</v>
      </c>
      <c r="AF443" s="294">
        <v>46058</v>
      </c>
      <c r="AG443" s="294"/>
      <c r="AH443" s="321"/>
      <c r="AI443" s="323"/>
      <c r="AJ443" s="338"/>
      <c r="AK443" s="323"/>
      <c r="AL443" s="338"/>
      <c r="AM443" s="338"/>
      <c r="AN443" s="323"/>
      <c r="AO443" s="282"/>
      <c r="AP443" s="306"/>
      <c r="AQ443" s="282"/>
      <c r="AR443" s="282"/>
      <c r="AS443" s="282"/>
      <c r="AT443" s="281"/>
      <c r="AU443" s="281"/>
      <c r="AV443" s="281"/>
      <c r="AW443" s="281"/>
      <c r="AX443" s="281"/>
      <c r="AY443" s="281"/>
      <c r="AZ443" s="281"/>
    </row>
    <row r="444" spans="1:52" ht="15" customHeight="1" x14ac:dyDescent="0.3">
      <c r="A444" s="294">
        <v>46039</v>
      </c>
      <c r="B444" s="321" t="s">
        <v>73</v>
      </c>
      <c r="C444" s="321" t="s">
        <v>73</v>
      </c>
      <c r="D444" s="294" t="s">
        <v>79</v>
      </c>
      <c r="E444" s="321" t="s">
        <v>138</v>
      </c>
      <c r="F444" s="295">
        <v>15502998</v>
      </c>
      <c r="G444" s="296">
        <v>20303705</v>
      </c>
      <c r="H444" s="280" t="s">
        <v>84</v>
      </c>
      <c r="I444" s="323" t="s">
        <v>168</v>
      </c>
      <c r="J444" s="323" t="s">
        <v>2613</v>
      </c>
      <c r="K444" s="294">
        <v>46144.041666666599</v>
      </c>
      <c r="L444" s="294">
        <v>46151.041666666599</v>
      </c>
      <c r="M444" s="284">
        <f>Table1[[#This Row],[Dep Date]]-Table1[[#This Row],[Arr Date]]</f>
        <v>7</v>
      </c>
      <c r="N444" s="323" t="s">
        <v>52</v>
      </c>
      <c r="O444" s="321">
        <v>1</v>
      </c>
      <c r="P444" s="321">
        <v>2</v>
      </c>
      <c r="Q444" s="321">
        <v>2</v>
      </c>
      <c r="R444" s="321"/>
      <c r="S444" s="321" t="s">
        <v>53</v>
      </c>
      <c r="T444" s="326" t="s">
        <v>2044</v>
      </c>
      <c r="U444" s="297">
        <v>11</v>
      </c>
      <c r="V444" s="294"/>
      <c r="W444" s="297">
        <v>4</v>
      </c>
      <c r="X444" s="294"/>
      <c r="Y444" s="329"/>
      <c r="Z444" s="329"/>
      <c r="AA444" s="332">
        <f>Table1[[#This Row],[Selling USD]]-Table1[[#This Row],[Cost USD]]</f>
        <v>0</v>
      </c>
      <c r="AB444" s="335"/>
      <c r="AC444" s="298"/>
      <c r="AD444" s="299">
        <f>Table1[[#This Row],[Selling EUR]]-Table1[[#This Row],[Cost EUR]]</f>
        <v>0</v>
      </c>
      <c r="AE444" s="321"/>
      <c r="AF444" s="294"/>
      <c r="AG444" s="294"/>
      <c r="AH444" s="321"/>
      <c r="AI444" s="323"/>
      <c r="AJ444" s="338"/>
      <c r="AK444" s="323"/>
      <c r="AL444" s="338"/>
      <c r="AM444" s="338"/>
      <c r="AN444" s="323"/>
      <c r="AO444" s="282"/>
      <c r="AP444" s="306"/>
      <c r="AQ444" s="282"/>
      <c r="AR444" s="282"/>
      <c r="AS444" s="282"/>
      <c r="AT444" s="281"/>
      <c r="AU444" s="281"/>
      <c r="AV444" s="281"/>
      <c r="AW444" s="281"/>
      <c r="AX444" s="281"/>
      <c r="AY444" s="281"/>
      <c r="AZ444" s="281"/>
    </row>
    <row r="445" spans="1:52" ht="15" customHeight="1" x14ac:dyDescent="0.3">
      <c r="A445" s="294">
        <v>46038</v>
      </c>
      <c r="B445" s="321" t="s">
        <v>73</v>
      </c>
      <c r="C445" s="321" t="s">
        <v>73</v>
      </c>
      <c r="D445" s="294" t="s">
        <v>79</v>
      </c>
      <c r="E445" s="321" t="s">
        <v>138</v>
      </c>
      <c r="F445" s="295">
        <v>15509263</v>
      </c>
      <c r="G445" s="296">
        <v>20303706</v>
      </c>
      <c r="H445" s="280" t="s">
        <v>84</v>
      </c>
      <c r="I445" s="323" t="s">
        <v>2614</v>
      </c>
      <c r="J445" s="323" t="s">
        <v>1481</v>
      </c>
      <c r="K445" s="294">
        <v>46105</v>
      </c>
      <c r="L445" s="294">
        <v>46112</v>
      </c>
      <c r="M445" s="284">
        <f>Table1[[#This Row],[Dep Date]]-Table1[[#This Row],[Arr Date]]</f>
        <v>7</v>
      </c>
      <c r="N445" s="323" t="s">
        <v>65</v>
      </c>
      <c r="O445" s="321">
        <v>1</v>
      </c>
      <c r="P445" s="321">
        <v>1</v>
      </c>
      <c r="Q445" s="321"/>
      <c r="R445" s="321"/>
      <c r="S445" s="321" t="s">
        <v>53</v>
      </c>
      <c r="T445" s="326" t="s">
        <v>2045</v>
      </c>
      <c r="U445" s="297"/>
      <c r="V445" s="294"/>
      <c r="W445" s="297"/>
      <c r="X445" s="294"/>
      <c r="Y445" s="329"/>
      <c r="Z445" s="329"/>
      <c r="AA445" s="332">
        <f>Table1[[#This Row],[Selling USD]]-Table1[[#This Row],[Cost USD]]</f>
        <v>0</v>
      </c>
      <c r="AB445" s="335"/>
      <c r="AC445" s="298"/>
      <c r="AD445" s="299">
        <f>Table1[[#This Row],[Selling EUR]]-Table1[[#This Row],[Cost EUR]]</f>
        <v>0</v>
      </c>
      <c r="AE445" s="321"/>
      <c r="AF445" s="294"/>
      <c r="AG445" s="294"/>
      <c r="AH445" s="321"/>
      <c r="AI445" s="323"/>
      <c r="AJ445" s="338"/>
      <c r="AK445" s="323"/>
      <c r="AL445" s="338"/>
      <c r="AM445" s="338"/>
      <c r="AN445" s="323"/>
      <c r="AO445" s="282"/>
      <c r="AP445" s="306"/>
      <c r="AQ445" s="282"/>
      <c r="AR445" s="282"/>
      <c r="AS445" s="282"/>
      <c r="AT445" s="281"/>
      <c r="AU445" s="281"/>
      <c r="AV445" s="281"/>
      <c r="AW445" s="281"/>
      <c r="AX445" s="281"/>
      <c r="AY445" s="281"/>
      <c r="AZ445" s="281"/>
    </row>
    <row r="446" spans="1:52" ht="15" customHeight="1" x14ac:dyDescent="0.3">
      <c r="A446" s="294">
        <v>46039</v>
      </c>
      <c r="B446" s="321" t="s">
        <v>73</v>
      </c>
      <c r="C446" s="321" t="s">
        <v>73</v>
      </c>
      <c r="D446" s="294" t="s">
        <v>79</v>
      </c>
      <c r="E446" s="321" t="s">
        <v>106</v>
      </c>
      <c r="F446" s="295">
        <v>15509800</v>
      </c>
      <c r="G446" s="296">
        <v>20303707</v>
      </c>
      <c r="H446" s="280" t="s">
        <v>84</v>
      </c>
      <c r="I446" s="323" t="s">
        <v>2615</v>
      </c>
      <c r="J446" s="323" t="s">
        <v>2616</v>
      </c>
      <c r="K446" s="294">
        <v>46064</v>
      </c>
      <c r="L446" s="294">
        <v>46071</v>
      </c>
      <c r="M446" s="284">
        <f>Table1[[#This Row],[Dep Date]]-Table1[[#This Row],[Arr Date]]</f>
        <v>7</v>
      </c>
      <c r="N446" s="323" t="s">
        <v>52</v>
      </c>
      <c r="O446" s="321">
        <v>1</v>
      </c>
      <c r="P446" s="321">
        <v>2</v>
      </c>
      <c r="Q446" s="321"/>
      <c r="R446" s="321">
        <v>1</v>
      </c>
      <c r="S446" s="321" t="s">
        <v>53</v>
      </c>
      <c r="T446" s="326" t="s">
        <v>2046</v>
      </c>
      <c r="U446" s="297">
        <v>1</v>
      </c>
      <c r="V446" s="294"/>
      <c r="W446" s="297"/>
      <c r="X446" s="294"/>
      <c r="Y446" s="329"/>
      <c r="Z446" s="329"/>
      <c r="AA446" s="332">
        <f>Table1[[#This Row],[Selling USD]]-Table1[[#This Row],[Cost USD]]</f>
        <v>0</v>
      </c>
      <c r="AB446" s="335"/>
      <c r="AC446" s="298"/>
      <c r="AD446" s="299">
        <f>Table1[[#This Row],[Selling EUR]]-Table1[[#This Row],[Cost EUR]]</f>
        <v>0</v>
      </c>
      <c r="AE446" s="321"/>
      <c r="AF446" s="294"/>
      <c r="AG446" s="294"/>
      <c r="AH446" s="321"/>
      <c r="AI446" s="323"/>
      <c r="AJ446" s="338"/>
      <c r="AK446" s="323"/>
      <c r="AL446" s="338"/>
      <c r="AM446" s="338"/>
      <c r="AN446" s="323"/>
      <c r="AO446" s="282"/>
      <c r="AP446" s="306"/>
      <c r="AQ446" s="282"/>
      <c r="AR446" s="282"/>
      <c r="AS446" s="282"/>
      <c r="AT446" s="281"/>
      <c r="AU446" s="281"/>
      <c r="AV446" s="281"/>
      <c r="AW446" s="281"/>
      <c r="AX446" s="281"/>
      <c r="AY446" s="281"/>
      <c r="AZ446" s="281"/>
    </row>
    <row r="447" spans="1:52" ht="15" customHeight="1" x14ac:dyDescent="0.3">
      <c r="A447" s="294">
        <v>46038</v>
      </c>
      <c r="B447" s="321" t="s">
        <v>47</v>
      </c>
      <c r="C447" s="321" t="s">
        <v>47</v>
      </c>
      <c r="D447" s="294" t="s">
        <v>48</v>
      </c>
      <c r="E447" s="321" t="s">
        <v>49</v>
      </c>
      <c r="F447" s="295">
        <v>17236970</v>
      </c>
      <c r="G447" s="296"/>
      <c r="H447" s="280" t="s">
        <v>50</v>
      </c>
      <c r="I447" s="323" t="s">
        <v>101</v>
      </c>
      <c r="J447" s="323" t="s">
        <v>2617</v>
      </c>
      <c r="K447" s="294">
        <v>46118</v>
      </c>
      <c r="L447" s="294">
        <v>46125</v>
      </c>
      <c r="M447" s="284">
        <f>Table1[[#This Row],[Dep Date]]-Table1[[#This Row],[Arr Date]]</f>
        <v>7</v>
      </c>
      <c r="N447" s="323" t="s">
        <v>52</v>
      </c>
      <c r="O447" s="321">
        <v>1</v>
      </c>
      <c r="P447" s="321">
        <v>2</v>
      </c>
      <c r="Q447" s="321"/>
      <c r="R447" s="321"/>
      <c r="S447" s="321" t="s">
        <v>53</v>
      </c>
      <c r="T447" s="326" t="s">
        <v>2047</v>
      </c>
      <c r="U447" s="297"/>
      <c r="V447" s="294"/>
      <c r="W447" s="297"/>
      <c r="X447" s="294"/>
      <c r="Y447" s="329"/>
      <c r="Z447" s="329"/>
      <c r="AA447" s="332">
        <f>Table1[[#This Row],[Selling USD]]-Table1[[#This Row],[Cost USD]]</f>
        <v>0</v>
      </c>
      <c r="AB447" s="335">
        <f>47*2*3+46*2*4</f>
        <v>650</v>
      </c>
      <c r="AC447" s="298">
        <v>496</v>
      </c>
      <c r="AD447" s="299">
        <f>Table1[[#This Row],[Selling EUR]]-Table1[[#This Row],[Cost EUR]]</f>
        <v>-154</v>
      </c>
      <c r="AE447" s="321" t="s">
        <v>54</v>
      </c>
      <c r="AF447" s="294">
        <v>46113</v>
      </c>
      <c r="AG447" s="294"/>
      <c r="AH447" s="321"/>
      <c r="AI447" s="323"/>
      <c r="AJ447" s="338"/>
      <c r="AK447" s="323"/>
      <c r="AL447" s="338"/>
      <c r="AM447" s="338"/>
      <c r="AN447" s="323"/>
      <c r="AO447" s="282"/>
      <c r="AP447" s="306"/>
      <c r="AQ447" s="282"/>
      <c r="AR447" s="282"/>
      <c r="AS447" s="282"/>
      <c r="AT447" s="281"/>
      <c r="AU447" s="281"/>
      <c r="AV447" s="281"/>
      <c r="AW447" s="281"/>
      <c r="AX447" s="281"/>
      <c r="AY447" s="281"/>
      <c r="AZ447" s="281"/>
    </row>
    <row r="448" spans="1:52" ht="15" customHeight="1" x14ac:dyDescent="0.3">
      <c r="A448" s="294">
        <v>46039</v>
      </c>
      <c r="B448" s="321" t="s">
        <v>47</v>
      </c>
      <c r="C448" s="321" t="s">
        <v>47</v>
      </c>
      <c r="D448" s="294" t="s">
        <v>48</v>
      </c>
      <c r="E448" s="321" t="s">
        <v>49</v>
      </c>
      <c r="F448" s="295">
        <v>17239789</v>
      </c>
      <c r="G448" s="296"/>
      <c r="H448" s="280" t="s">
        <v>58</v>
      </c>
      <c r="I448" s="323" t="s">
        <v>62</v>
      </c>
      <c r="J448" s="323" t="s">
        <v>146</v>
      </c>
      <c r="K448" s="294">
        <v>46070</v>
      </c>
      <c r="L448" s="294">
        <v>46079</v>
      </c>
      <c r="M448" s="284">
        <f>Table1[[#This Row],[Dep Date]]-Table1[[#This Row],[Arr Date]]</f>
        <v>9</v>
      </c>
      <c r="N448" s="323" t="s">
        <v>52</v>
      </c>
      <c r="O448" s="321">
        <v>1</v>
      </c>
      <c r="P448" s="321">
        <v>2</v>
      </c>
      <c r="Q448" s="321"/>
      <c r="R448" s="321"/>
      <c r="S448" s="321" t="s">
        <v>53</v>
      </c>
      <c r="T448" s="326" t="s">
        <v>2048</v>
      </c>
      <c r="U448" s="297"/>
      <c r="V448" s="294"/>
      <c r="W448" s="297"/>
      <c r="X448" s="294"/>
      <c r="Y448" s="329"/>
      <c r="Z448" s="329"/>
      <c r="AA448" s="332">
        <f>Table1[[#This Row],[Selling USD]]-Table1[[#This Row],[Cost USD]]</f>
        <v>0</v>
      </c>
      <c r="AB448" s="335">
        <f>52*2*1+52*2*6+49*2*2</f>
        <v>924</v>
      </c>
      <c r="AC448" s="298">
        <v>942</v>
      </c>
      <c r="AD448" s="299">
        <f>Table1[[#This Row],[Selling EUR]]-Table1[[#This Row],[Cost EUR]]</f>
        <v>18</v>
      </c>
      <c r="AE448" s="321" t="s">
        <v>54</v>
      </c>
      <c r="AF448" s="294">
        <v>46063</v>
      </c>
      <c r="AG448" s="294"/>
      <c r="AH448" s="321"/>
      <c r="AI448" s="323"/>
      <c r="AJ448" s="338"/>
      <c r="AK448" s="323"/>
      <c r="AL448" s="338"/>
      <c r="AM448" s="338"/>
      <c r="AN448" s="323"/>
      <c r="AO448" s="282"/>
      <c r="AP448" s="306"/>
      <c r="AQ448" s="282"/>
      <c r="AR448" s="282"/>
      <c r="AS448" s="282"/>
      <c r="AT448" s="281"/>
      <c r="AU448" s="281"/>
      <c r="AV448" s="281"/>
      <c r="AW448" s="281"/>
      <c r="AX448" s="281"/>
      <c r="AY448" s="281"/>
      <c r="AZ448" s="281"/>
    </row>
    <row r="449" spans="1:52" ht="15" customHeight="1" x14ac:dyDescent="0.3">
      <c r="A449" s="294">
        <v>46039</v>
      </c>
      <c r="B449" s="321" t="s">
        <v>47</v>
      </c>
      <c r="C449" s="321" t="s">
        <v>47</v>
      </c>
      <c r="D449" s="294" t="s">
        <v>48</v>
      </c>
      <c r="E449" s="321" t="s">
        <v>61</v>
      </c>
      <c r="F449" s="295">
        <v>17239527</v>
      </c>
      <c r="G449" s="296"/>
      <c r="H449" s="280" t="s">
        <v>50</v>
      </c>
      <c r="I449" s="323" t="s">
        <v>80</v>
      </c>
      <c r="J449" s="323" t="s">
        <v>155</v>
      </c>
      <c r="K449" s="294">
        <v>46064</v>
      </c>
      <c r="L449" s="294">
        <v>46071</v>
      </c>
      <c r="M449" s="284">
        <f>Table1[[#This Row],[Dep Date]]-Table1[[#This Row],[Arr Date]]</f>
        <v>7</v>
      </c>
      <c r="N449" s="323" t="s">
        <v>65</v>
      </c>
      <c r="O449" s="321">
        <v>1</v>
      </c>
      <c r="P449" s="321">
        <v>1</v>
      </c>
      <c r="Q449" s="321">
        <v>2</v>
      </c>
      <c r="R449" s="321">
        <v>1</v>
      </c>
      <c r="S449" s="321" t="s">
        <v>53</v>
      </c>
      <c r="T449" s="327" t="s">
        <v>2049</v>
      </c>
      <c r="U449" s="297"/>
      <c r="V449" s="294"/>
      <c r="W449" s="297"/>
      <c r="X449" s="294"/>
      <c r="Y449" s="329">
        <f>121*0.7*7</f>
        <v>592.89999999999986</v>
      </c>
      <c r="Z449" s="329">
        <v>613.9</v>
      </c>
      <c r="AA449" s="332">
        <f>Table1[[#This Row],[Selling USD]]-Table1[[#This Row],[Cost USD]]</f>
        <v>21.000000000000114</v>
      </c>
      <c r="AB449" s="335"/>
      <c r="AC449" s="298"/>
      <c r="AD449" s="299">
        <f>Table1[[#This Row],[Selling EUR]]-Table1[[#This Row],[Cost EUR]]</f>
        <v>0</v>
      </c>
      <c r="AE449" s="321" t="s">
        <v>54</v>
      </c>
      <c r="AF449" s="294">
        <v>46058</v>
      </c>
      <c r="AG449" s="294"/>
      <c r="AH449" s="321"/>
      <c r="AI449" s="323"/>
      <c r="AJ449" s="338"/>
      <c r="AK449" s="323"/>
      <c r="AL449" s="338"/>
      <c r="AM449" s="338"/>
      <c r="AN449" s="323"/>
      <c r="AO449" s="282"/>
      <c r="AP449" s="306"/>
      <c r="AQ449" s="282"/>
      <c r="AR449" s="282"/>
      <c r="AS449" s="282"/>
      <c r="AT449" s="281"/>
      <c r="AU449" s="281"/>
      <c r="AV449" s="281"/>
      <c r="AW449" s="281"/>
      <c r="AX449" s="281"/>
      <c r="AY449" s="281"/>
      <c r="AZ449" s="281"/>
    </row>
    <row r="450" spans="1:52" ht="15" customHeight="1" x14ac:dyDescent="0.3">
      <c r="A450" s="294">
        <v>46039</v>
      </c>
      <c r="B450" s="321" t="s">
        <v>47</v>
      </c>
      <c r="C450" s="321" t="s">
        <v>47</v>
      </c>
      <c r="D450" s="294" t="s">
        <v>48</v>
      </c>
      <c r="E450" s="321" t="s">
        <v>49</v>
      </c>
      <c r="F450" s="295">
        <v>17241095</v>
      </c>
      <c r="G450" s="296"/>
      <c r="H450" s="280" t="s">
        <v>58</v>
      </c>
      <c r="I450" s="323" t="s">
        <v>62</v>
      </c>
      <c r="J450" s="323" t="s">
        <v>146</v>
      </c>
      <c r="K450" s="294">
        <v>46082</v>
      </c>
      <c r="L450" s="294">
        <v>46091</v>
      </c>
      <c r="M450" s="284">
        <f>Table1[[#This Row],[Dep Date]]-Table1[[#This Row],[Arr Date]]</f>
        <v>9</v>
      </c>
      <c r="N450" s="323" t="s">
        <v>52</v>
      </c>
      <c r="O450" s="321">
        <v>1</v>
      </c>
      <c r="P450" s="321">
        <v>2</v>
      </c>
      <c r="Q450" s="321">
        <v>1</v>
      </c>
      <c r="R450" s="321"/>
      <c r="S450" s="321" t="s">
        <v>53</v>
      </c>
      <c r="T450" s="326" t="s">
        <v>2050</v>
      </c>
      <c r="U450" s="297">
        <v>8</v>
      </c>
      <c r="V450" s="294"/>
      <c r="W450" s="297"/>
      <c r="X450" s="294"/>
      <c r="Y450" s="329"/>
      <c r="Z450" s="329"/>
      <c r="AA450" s="332">
        <f>Table1[[#This Row],[Selling USD]]-Table1[[#This Row],[Cost USD]]</f>
        <v>0</v>
      </c>
      <c r="AB450" s="335">
        <f>50*2*9</f>
        <v>900</v>
      </c>
      <c r="AC450" s="298">
        <v>936</v>
      </c>
      <c r="AD450" s="299">
        <f>Table1[[#This Row],[Selling EUR]]-Table1[[#This Row],[Cost EUR]]</f>
        <v>36</v>
      </c>
      <c r="AE450" s="321" t="s">
        <v>54</v>
      </c>
      <c r="AF450" s="294">
        <v>46075</v>
      </c>
      <c r="AG450" s="294"/>
      <c r="AH450" s="321"/>
      <c r="AI450" s="323"/>
      <c r="AJ450" s="338"/>
      <c r="AK450" s="323"/>
      <c r="AL450" s="338"/>
      <c r="AM450" s="338"/>
      <c r="AN450" s="323"/>
      <c r="AO450" s="282"/>
      <c r="AP450" s="306"/>
      <c r="AQ450" s="282"/>
      <c r="AR450" s="282"/>
      <c r="AS450" s="282"/>
      <c r="AT450" s="281"/>
      <c r="AU450" s="281"/>
      <c r="AV450" s="281"/>
      <c r="AW450" s="281"/>
      <c r="AX450" s="281"/>
      <c r="AY450" s="281"/>
      <c r="AZ450" s="281"/>
    </row>
    <row r="451" spans="1:52" ht="15" customHeight="1" x14ac:dyDescent="0.3">
      <c r="A451" s="294">
        <v>46038</v>
      </c>
      <c r="B451" s="321" t="s">
        <v>47</v>
      </c>
      <c r="C451" s="321" t="s">
        <v>47</v>
      </c>
      <c r="D451" s="294" t="s">
        <v>48</v>
      </c>
      <c r="E451" s="321" t="s">
        <v>49</v>
      </c>
      <c r="F451" s="295">
        <v>17236507</v>
      </c>
      <c r="G451" s="296">
        <v>17236507</v>
      </c>
      <c r="H451" s="280" t="s">
        <v>50</v>
      </c>
      <c r="I451" s="323" t="s">
        <v>96</v>
      </c>
      <c r="J451" s="323" t="s">
        <v>2602</v>
      </c>
      <c r="K451" s="294">
        <v>46105</v>
      </c>
      <c r="L451" s="294">
        <v>46113</v>
      </c>
      <c r="M451" s="284">
        <f>Table1[[#This Row],[Dep Date]]-Table1[[#This Row],[Arr Date]]</f>
        <v>8</v>
      </c>
      <c r="N451" s="323" t="s">
        <v>52</v>
      </c>
      <c r="O451" s="321">
        <v>1</v>
      </c>
      <c r="P451" s="321">
        <v>2</v>
      </c>
      <c r="Q451" s="321"/>
      <c r="R451" s="321"/>
      <c r="S451" s="321" t="s">
        <v>53</v>
      </c>
      <c r="T451" s="326" t="s">
        <v>2051</v>
      </c>
      <c r="U451" s="297"/>
      <c r="V451" s="294"/>
      <c r="W451" s="297"/>
      <c r="X451" s="294"/>
      <c r="Y451" s="329"/>
      <c r="Z451" s="329"/>
      <c r="AA451" s="332">
        <f>Table1[[#This Row],[Selling USD]]-Table1[[#This Row],[Cost USD]]</f>
        <v>0</v>
      </c>
      <c r="AB451" s="335">
        <f>87*2*8</f>
        <v>1392</v>
      </c>
      <c r="AC451" s="298">
        <v>1424</v>
      </c>
      <c r="AD451" s="299">
        <f>Table1[[#This Row],[Selling EUR]]-Table1[[#This Row],[Cost EUR]]</f>
        <v>32</v>
      </c>
      <c r="AE451" s="321" t="s">
        <v>54</v>
      </c>
      <c r="AF451" s="294">
        <v>46096</v>
      </c>
      <c r="AG451" s="294"/>
      <c r="AH451" s="321"/>
      <c r="AI451" s="323"/>
      <c r="AJ451" s="338"/>
      <c r="AK451" s="323"/>
      <c r="AL451" s="338"/>
      <c r="AM451" s="338"/>
      <c r="AN451" s="323"/>
      <c r="AO451" s="282"/>
      <c r="AP451" s="306"/>
      <c r="AQ451" s="282"/>
      <c r="AR451" s="282"/>
      <c r="AS451" s="282"/>
      <c r="AT451" s="281"/>
      <c r="AU451" s="281"/>
      <c r="AV451" s="281"/>
      <c r="AW451" s="281"/>
      <c r="AX451" s="281"/>
      <c r="AY451" s="281"/>
      <c r="AZ451" s="281"/>
    </row>
    <row r="452" spans="1:52" ht="15" customHeight="1" x14ac:dyDescent="0.3">
      <c r="A452" s="294">
        <v>46040</v>
      </c>
      <c r="B452" s="321" t="s">
        <v>73</v>
      </c>
      <c r="C452" s="321" t="s">
        <v>73</v>
      </c>
      <c r="D452" s="294" t="s">
        <v>79</v>
      </c>
      <c r="E452" s="321" t="s">
        <v>138</v>
      </c>
      <c r="F452" s="295"/>
      <c r="G452" s="296">
        <v>20303708</v>
      </c>
      <c r="H452" s="280" t="s">
        <v>84</v>
      </c>
      <c r="I452" s="323" t="s">
        <v>168</v>
      </c>
      <c r="J452" s="323" t="s">
        <v>1481</v>
      </c>
      <c r="K452" s="294">
        <v>46101</v>
      </c>
      <c r="L452" s="294">
        <v>46108</v>
      </c>
      <c r="M452" s="284">
        <f>Table1[[#This Row],[Dep Date]]-Table1[[#This Row],[Arr Date]]</f>
        <v>7</v>
      </c>
      <c r="N452" s="323" t="s">
        <v>52</v>
      </c>
      <c r="O452" s="321">
        <v>1</v>
      </c>
      <c r="P452" s="321">
        <v>2</v>
      </c>
      <c r="Q452" s="321"/>
      <c r="R452" s="321"/>
      <c r="S452" s="321" t="s">
        <v>53</v>
      </c>
      <c r="T452" s="326" t="s">
        <v>2052</v>
      </c>
      <c r="U452" s="297"/>
      <c r="V452" s="294"/>
      <c r="W452" s="297"/>
      <c r="X452" s="294"/>
      <c r="Y452" s="329"/>
      <c r="Z452" s="329"/>
      <c r="AA452" s="332">
        <f>Table1[[#This Row],[Selling USD]]-Table1[[#This Row],[Cost USD]]</f>
        <v>0</v>
      </c>
      <c r="AB452" s="335"/>
      <c r="AC452" s="298"/>
      <c r="AD452" s="299">
        <f>Table1[[#This Row],[Selling EUR]]-Table1[[#This Row],[Cost EUR]]</f>
        <v>0</v>
      </c>
      <c r="AE452" s="321"/>
      <c r="AF452" s="294"/>
      <c r="AG452" s="294"/>
      <c r="AH452" s="321"/>
      <c r="AI452" s="323"/>
      <c r="AJ452" s="338"/>
      <c r="AK452" s="323"/>
      <c r="AL452" s="338"/>
      <c r="AM452" s="338"/>
      <c r="AN452" s="323"/>
      <c r="AO452" s="282"/>
      <c r="AP452" s="306"/>
      <c r="AQ452" s="282"/>
      <c r="AR452" s="282"/>
      <c r="AS452" s="282"/>
      <c r="AT452" s="281"/>
      <c r="AU452" s="281"/>
      <c r="AV452" s="281"/>
      <c r="AW452" s="281"/>
      <c r="AX452" s="281"/>
      <c r="AY452" s="281"/>
      <c r="AZ452" s="281"/>
    </row>
    <row r="453" spans="1:52" ht="15" customHeight="1" x14ac:dyDescent="0.3">
      <c r="A453" s="294">
        <v>46042</v>
      </c>
      <c r="B453" s="321" t="s">
        <v>47</v>
      </c>
      <c r="C453" s="321" t="s">
        <v>47</v>
      </c>
      <c r="D453" s="294" t="s">
        <v>79</v>
      </c>
      <c r="E453" s="321" t="s">
        <v>106</v>
      </c>
      <c r="F453" s="295">
        <v>15547522</v>
      </c>
      <c r="G453" s="296">
        <v>20303709</v>
      </c>
      <c r="H453" s="280" t="s">
        <v>84</v>
      </c>
      <c r="I453" s="323" t="s">
        <v>182</v>
      </c>
      <c r="J453" s="323" t="s">
        <v>2609</v>
      </c>
      <c r="K453" s="294">
        <v>46070</v>
      </c>
      <c r="L453" s="294">
        <v>46077</v>
      </c>
      <c r="M453" s="284">
        <f>Table1[[#This Row],[Dep Date]]-Table1[[#This Row],[Arr Date]]</f>
        <v>7</v>
      </c>
      <c r="N453" s="323" t="s">
        <v>52</v>
      </c>
      <c r="O453" s="321">
        <v>1</v>
      </c>
      <c r="P453" s="321">
        <v>2</v>
      </c>
      <c r="Q453" s="321"/>
      <c r="R453" s="321"/>
      <c r="S453" s="321" t="s">
        <v>53</v>
      </c>
      <c r="T453" s="326" t="s">
        <v>2053</v>
      </c>
      <c r="U453" s="297"/>
      <c r="V453" s="294"/>
      <c r="W453" s="297"/>
      <c r="X453" s="294"/>
      <c r="Y453" s="329">
        <f>156*2*0.65*7</f>
        <v>1419.6000000000001</v>
      </c>
      <c r="Z453" s="329">
        <v>1433.6</v>
      </c>
      <c r="AA453" s="332">
        <f>Table1[[#This Row],[Selling USD]]-Table1[[#This Row],[Cost USD]]</f>
        <v>13.999999999999773</v>
      </c>
      <c r="AB453" s="335"/>
      <c r="AC453" s="298"/>
      <c r="AD453" s="299">
        <f>Table1[[#This Row],[Selling EUR]]-Table1[[#This Row],[Cost EUR]]</f>
        <v>0</v>
      </c>
      <c r="AE453" s="321" t="s">
        <v>54</v>
      </c>
      <c r="AF453" s="294">
        <v>46063</v>
      </c>
      <c r="AG453" s="294"/>
      <c r="AH453" s="321"/>
      <c r="AI453" s="323"/>
      <c r="AJ453" s="338"/>
      <c r="AK453" s="323"/>
      <c r="AL453" s="338"/>
      <c r="AM453" s="338"/>
      <c r="AN453" s="323"/>
      <c r="AO453" s="282"/>
      <c r="AP453" s="306"/>
      <c r="AQ453" s="282"/>
      <c r="AR453" s="282"/>
      <c r="AS453" s="282"/>
      <c r="AT453" s="281"/>
      <c r="AU453" s="281"/>
      <c r="AV453" s="281"/>
      <c r="AW453" s="281"/>
      <c r="AX453" s="281"/>
      <c r="AY453" s="281"/>
      <c r="AZ453" s="281"/>
    </row>
    <row r="454" spans="1:52" ht="15" customHeight="1" x14ac:dyDescent="0.3">
      <c r="A454" s="294">
        <v>46042</v>
      </c>
      <c r="B454" s="321" t="s">
        <v>47</v>
      </c>
      <c r="C454" s="321" t="s">
        <v>47</v>
      </c>
      <c r="D454" s="294" t="s">
        <v>79</v>
      </c>
      <c r="E454" s="321" t="s">
        <v>106</v>
      </c>
      <c r="F454" s="295">
        <v>15547877</v>
      </c>
      <c r="G454" s="296">
        <v>20303710</v>
      </c>
      <c r="H454" s="280" t="s">
        <v>84</v>
      </c>
      <c r="I454" s="323" t="s">
        <v>182</v>
      </c>
      <c r="J454" s="323" t="s">
        <v>2501</v>
      </c>
      <c r="K454" s="294">
        <v>46070</v>
      </c>
      <c r="L454" s="294">
        <v>46077</v>
      </c>
      <c r="M454" s="284">
        <f>Table1[[#This Row],[Dep Date]]-Table1[[#This Row],[Arr Date]]</f>
        <v>7</v>
      </c>
      <c r="N454" s="323" t="s">
        <v>52</v>
      </c>
      <c r="O454" s="321">
        <v>1</v>
      </c>
      <c r="P454" s="321">
        <v>2</v>
      </c>
      <c r="Q454" s="321"/>
      <c r="R454" s="321"/>
      <c r="S454" s="321" t="s">
        <v>53</v>
      </c>
      <c r="T454" s="326" t="s">
        <v>2054</v>
      </c>
      <c r="U454" s="297"/>
      <c r="V454" s="294"/>
      <c r="W454" s="297"/>
      <c r="X454" s="294"/>
      <c r="Y454" s="329">
        <f>166*2*0.65*7</f>
        <v>1510.6000000000001</v>
      </c>
      <c r="Z454" s="329">
        <v>1524.6</v>
      </c>
      <c r="AA454" s="332">
        <f>Table1[[#This Row],[Selling USD]]-Table1[[#This Row],[Cost USD]]</f>
        <v>13.999999999999773</v>
      </c>
      <c r="AB454" s="335"/>
      <c r="AC454" s="298"/>
      <c r="AD454" s="299">
        <f>Table1[[#This Row],[Selling EUR]]-Table1[[#This Row],[Cost EUR]]</f>
        <v>0</v>
      </c>
      <c r="AE454" s="321" t="s">
        <v>54</v>
      </c>
      <c r="AF454" s="294">
        <v>46063</v>
      </c>
      <c r="AG454" s="294"/>
      <c r="AH454" s="321"/>
      <c r="AI454" s="323"/>
      <c r="AJ454" s="338"/>
      <c r="AK454" s="323"/>
      <c r="AL454" s="338"/>
      <c r="AM454" s="338"/>
      <c r="AN454" s="323"/>
      <c r="AO454" s="282"/>
      <c r="AP454" s="306"/>
      <c r="AQ454" s="282"/>
      <c r="AR454" s="282"/>
      <c r="AS454" s="282"/>
      <c r="AT454" s="281"/>
      <c r="AU454" s="281"/>
      <c r="AV454" s="281"/>
      <c r="AW454" s="281"/>
      <c r="AX454" s="281"/>
      <c r="AY454" s="281"/>
      <c r="AZ454" s="281"/>
    </row>
    <row r="455" spans="1:52" ht="15" customHeight="1" x14ac:dyDescent="0.3">
      <c r="A455" s="294">
        <v>46042</v>
      </c>
      <c r="B455" s="321" t="s">
        <v>73</v>
      </c>
      <c r="C455" s="321" t="s">
        <v>73</v>
      </c>
      <c r="D455" s="294" t="s">
        <v>48</v>
      </c>
      <c r="E455" s="321" t="s">
        <v>49</v>
      </c>
      <c r="F455" s="295">
        <v>17249123</v>
      </c>
      <c r="G455" s="296"/>
      <c r="H455" s="280" t="s">
        <v>58</v>
      </c>
      <c r="I455" s="323" t="s">
        <v>187</v>
      </c>
      <c r="J455" s="323" t="s">
        <v>2618</v>
      </c>
      <c r="K455" s="294">
        <v>46096</v>
      </c>
      <c r="L455" s="294">
        <v>46108</v>
      </c>
      <c r="M455" s="284">
        <f>Table1[[#This Row],[Dep Date]]-Table1[[#This Row],[Arr Date]]</f>
        <v>12</v>
      </c>
      <c r="N455" s="323" t="s">
        <v>52</v>
      </c>
      <c r="O455" s="321">
        <v>1</v>
      </c>
      <c r="P455" s="321">
        <v>2</v>
      </c>
      <c r="Q455" s="321"/>
      <c r="R455" s="321"/>
      <c r="S455" s="321" t="s">
        <v>53</v>
      </c>
      <c r="T455" s="326" t="s">
        <v>2055</v>
      </c>
      <c r="U455" s="297"/>
      <c r="V455" s="294"/>
      <c r="W455" s="297"/>
      <c r="X455" s="294"/>
      <c r="Y455" s="329"/>
      <c r="Z455" s="329"/>
      <c r="AA455" s="332">
        <f>Table1[[#This Row],[Selling USD]]-Table1[[#This Row],[Cost USD]]</f>
        <v>0</v>
      </c>
      <c r="AB455" s="335"/>
      <c r="AC455" s="298"/>
      <c r="AD455" s="299">
        <f>Table1[[#This Row],[Selling EUR]]-Table1[[#This Row],[Cost EUR]]</f>
        <v>0</v>
      </c>
      <c r="AE455" s="321"/>
      <c r="AF455" s="294"/>
      <c r="AG455" s="294"/>
      <c r="AH455" s="321"/>
      <c r="AI455" s="323"/>
      <c r="AJ455" s="338"/>
      <c r="AK455" s="323"/>
      <c r="AL455" s="338"/>
      <c r="AM455" s="338"/>
      <c r="AN455" s="323"/>
      <c r="AO455" s="282"/>
      <c r="AP455" s="306"/>
      <c r="AQ455" s="282"/>
      <c r="AR455" s="282"/>
      <c r="AS455" s="282"/>
      <c r="AT455" s="281"/>
      <c r="AU455" s="281"/>
      <c r="AV455" s="281"/>
      <c r="AW455" s="281"/>
      <c r="AX455" s="281"/>
      <c r="AY455" s="281"/>
      <c r="AZ455" s="281"/>
    </row>
    <row r="456" spans="1:52" ht="15" customHeight="1" x14ac:dyDescent="0.3">
      <c r="A456" s="294">
        <v>46043</v>
      </c>
      <c r="B456" s="321" t="s">
        <v>47</v>
      </c>
      <c r="C456" s="321" t="s">
        <v>47</v>
      </c>
      <c r="D456" s="294" t="s">
        <v>48</v>
      </c>
      <c r="E456" s="321" t="s">
        <v>49</v>
      </c>
      <c r="F456" s="295">
        <v>17251767</v>
      </c>
      <c r="G456" s="296"/>
      <c r="H456" s="280" t="s">
        <v>58</v>
      </c>
      <c r="I456" s="323" t="s">
        <v>62</v>
      </c>
      <c r="J456" s="323" t="s">
        <v>146</v>
      </c>
      <c r="K456" s="294">
        <v>46093</v>
      </c>
      <c r="L456" s="294">
        <v>46100</v>
      </c>
      <c r="M456" s="284">
        <f>Table1[[#This Row],[Dep Date]]-Table1[[#This Row],[Arr Date]]</f>
        <v>7</v>
      </c>
      <c r="N456" s="323" t="s">
        <v>52</v>
      </c>
      <c r="O456" s="321">
        <v>1</v>
      </c>
      <c r="P456" s="321">
        <v>2</v>
      </c>
      <c r="Q456" s="321"/>
      <c r="R456" s="321"/>
      <c r="S456" s="321" t="s">
        <v>53</v>
      </c>
      <c r="T456" s="326" t="s">
        <v>2056</v>
      </c>
      <c r="U456" s="297"/>
      <c r="V456" s="294"/>
      <c r="W456" s="297"/>
      <c r="X456" s="294"/>
      <c r="Y456" s="329"/>
      <c r="Z456" s="329"/>
      <c r="AA456" s="332">
        <f>Table1[[#This Row],[Selling USD]]-Table1[[#This Row],[Cost USD]]</f>
        <v>0</v>
      </c>
      <c r="AB456" s="335">
        <f>50*2*7</f>
        <v>700</v>
      </c>
      <c r="AC456" s="298">
        <v>728</v>
      </c>
      <c r="AD456" s="299">
        <f>Table1[[#This Row],[Selling EUR]]-Table1[[#This Row],[Cost EUR]]</f>
        <v>28</v>
      </c>
      <c r="AE456" s="321" t="s">
        <v>54</v>
      </c>
      <c r="AF456" s="294">
        <v>46086</v>
      </c>
      <c r="AG456" s="294"/>
      <c r="AH456" s="321"/>
      <c r="AI456" s="323"/>
      <c r="AJ456" s="338"/>
      <c r="AK456" s="323"/>
      <c r="AL456" s="338"/>
      <c r="AM456" s="338"/>
      <c r="AN456" s="323"/>
      <c r="AO456" s="282"/>
      <c r="AP456" s="306"/>
      <c r="AQ456" s="282"/>
      <c r="AR456" s="282"/>
      <c r="AS456" s="282"/>
      <c r="AT456" s="281"/>
      <c r="AU456" s="281"/>
      <c r="AV456" s="281"/>
      <c r="AW456" s="281"/>
      <c r="AX456" s="281"/>
      <c r="AY456" s="281"/>
      <c r="AZ456" s="281"/>
    </row>
    <row r="457" spans="1:52" ht="15" customHeight="1" x14ac:dyDescent="0.3">
      <c r="A457" s="294">
        <v>46120</v>
      </c>
      <c r="B457" s="321" t="s">
        <v>47</v>
      </c>
      <c r="C457" s="321" t="s">
        <v>47</v>
      </c>
      <c r="D457" s="294" t="s">
        <v>48</v>
      </c>
      <c r="E457" s="321" t="s">
        <v>49</v>
      </c>
      <c r="F457" s="295">
        <v>17497390</v>
      </c>
      <c r="G457" s="296"/>
      <c r="H457" s="280" t="s">
        <v>50</v>
      </c>
      <c r="I457" s="323" t="s">
        <v>68</v>
      </c>
      <c r="J457" s="323" t="s">
        <v>164</v>
      </c>
      <c r="K457" s="294">
        <v>46216</v>
      </c>
      <c r="L457" s="294">
        <v>46226</v>
      </c>
      <c r="M457" s="284">
        <f>Table1[[#This Row],[Dep Date]]-Table1[[#This Row],[Arr Date]]</f>
        <v>10</v>
      </c>
      <c r="N457" s="323" t="s">
        <v>52</v>
      </c>
      <c r="O457" s="321">
        <v>1</v>
      </c>
      <c r="P457" s="321">
        <v>2</v>
      </c>
      <c r="Q457" s="321">
        <v>1</v>
      </c>
      <c r="R457" s="321"/>
      <c r="S457" s="321" t="s">
        <v>53</v>
      </c>
      <c r="T457" s="326" t="s">
        <v>188</v>
      </c>
      <c r="U457" s="297">
        <v>15</v>
      </c>
      <c r="V457" s="294"/>
      <c r="W457" s="297"/>
      <c r="X457" s="294"/>
      <c r="Y457" s="329"/>
      <c r="Z457" s="329"/>
      <c r="AA457" s="332">
        <f>Table1[[#This Row],[Selling USD]]-Table1[[#This Row],[Cost USD]]</f>
        <v>0</v>
      </c>
      <c r="AB457" s="335">
        <f>56*2*8*0.9+58*2*0.9*2</f>
        <v>1015.2</v>
      </c>
      <c r="AC457" s="298">
        <v>1051.2</v>
      </c>
      <c r="AD457" s="299">
        <f>Table1[[#This Row],[Selling EUR]]-Table1[[#This Row],[Cost EUR]]</f>
        <v>36</v>
      </c>
      <c r="AE457" s="321" t="s">
        <v>54</v>
      </c>
      <c r="AF457" s="294">
        <v>46208</v>
      </c>
      <c r="AG457" s="294" t="s">
        <v>2424</v>
      </c>
      <c r="AH457" s="321"/>
      <c r="AI457" s="323"/>
      <c r="AJ457" s="338"/>
      <c r="AK457" s="323"/>
      <c r="AL457" s="338"/>
      <c r="AM457" s="338"/>
      <c r="AN457" s="323"/>
      <c r="AO457" s="282"/>
      <c r="AP457" s="306"/>
      <c r="AQ457" s="282"/>
      <c r="AR457" s="282"/>
      <c r="AS457" s="282"/>
      <c r="AT457" s="281"/>
      <c r="AU457" s="281"/>
      <c r="AV457" s="281"/>
      <c r="AW457" s="281"/>
      <c r="AX457" s="281"/>
      <c r="AY457" s="281"/>
      <c r="AZ457" s="281"/>
    </row>
    <row r="458" spans="1:52" ht="15" customHeight="1" x14ac:dyDescent="0.3">
      <c r="A458" s="294">
        <v>46044</v>
      </c>
      <c r="B458" s="321" t="s">
        <v>47</v>
      </c>
      <c r="C458" s="321" t="s">
        <v>47</v>
      </c>
      <c r="D458" s="294" t="s">
        <v>48</v>
      </c>
      <c r="E458" s="321" t="s">
        <v>49</v>
      </c>
      <c r="F458" s="295">
        <v>17256480</v>
      </c>
      <c r="G458" s="296"/>
      <c r="H458" s="280" t="s">
        <v>58</v>
      </c>
      <c r="I458" s="323" t="s">
        <v>62</v>
      </c>
      <c r="J458" s="323" t="s">
        <v>146</v>
      </c>
      <c r="K458" s="294">
        <v>46109</v>
      </c>
      <c r="L458" s="294">
        <v>46116</v>
      </c>
      <c r="M458" s="284">
        <f>Table1[[#This Row],[Dep Date]]-Table1[[#This Row],[Arr Date]]</f>
        <v>7</v>
      </c>
      <c r="N458" s="323" t="s">
        <v>52</v>
      </c>
      <c r="O458" s="321">
        <v>1</v>
      </c>
      <c r="P458" s="321">
        <v>2</v>
      </c>
      <c r="Q458" s="321"/>
      <c r="R458" s="321"/>
      <c r="S458" s="321" t="s">
        <v>53</v>
      </c>
      <c r="T458" s="326" t="s">
        <v>2057</v>
      </c>
      <c r="U458" s="297"/>
      <c r="V458" s="294"/>
      <c r="W458" s="297"/>
      <c r="X458" s="294"/>
      <c r="Y458" s="329"/>
      <c r="Z458" s="329"/>
      <c r="AA458" s="332">
        <f>Table1[[#This Row],[Selling USD]]-Table1[[#This Row],[Cost USD]]</f>
        <v>0</v>
      </c>
      <c r="AB458" s="335">
        <f>50*2*5+68*2*2</f>
        <v>772</v>
      </c>
      <c r="AC458" s="298">
        <v>800</v>
      </c>
      <c r="AD458" s="299">
        <f>Table1[[#This Row],[Selling EUR]]-Table1[[#This Row],[Cost EUR]]</f>
        <v>28</v>
      </c>
      <c r="AE458" s="321" t="s">
        <v>54</v>
      </c>
      <c r="AF458" s="294" t="s">
        <v>2276</v>
      </c>
      <c r="AG458" s="294"/>
      <c r="AH458" s="321"/>
      <c r="AI458" s="323"/>
      <c r="AJ458" s="338"/>
      <c r="AK458" s="323"/>
      <c r="AL458" s="338"/>
      <c r="AM458" s="338"/>
      <c r="AN458" s="323"/>
      <c r="AO458" s="282"/>
      <c r="AP458" s="306"/>
      <c r="AQ458" s="282"/>
      <c r="AR458" s="282"/>
      <c r="AS458" s="282"/>
      <c r="AT458" s="281"/>
      <c r="AU458" s="281"/>
      <c r="AV458" s="281"/>
      <c r="AW458" s="281"/>
      <c r="AX458" s="281"/>
      <c r="AY458" s="281"/>
      <c r="AZ458" s="281"/>
    </row>
    <row r="459" spans="1:52" ht="15" customHeight="1" x14ac:dyDescent="0.3">
      <c r="A459" s="294">
        <v>46044</v>
      </c>
      <c r="B459" s="321" t="s">
        <v>47</v>
      </c>
      <c r="C459" s="321" t="s">
        <v>47</v>
      </c>
      <c r="D459" s="294" t="s">
        <v>48</v>
      </c>
      <c r="E459" s="321" t="s">
        <v>49</v>
      </c>
      <c r="F459" s="295">
        <v>17256568</v>
      </c>
      <c r="G459" s="296"/>
      <c r="H459" s="280" t="s">
        <v>58</v>
      </c>
      <c r="I459" s="323" t="s">
        <v>62</v>
      </c>
      <c r="J459" s="323" t="s">
        <v>72</v>
      </c>
      <c r="K459" s="294">
        <v>46109</v>
      </c>
      <c r="L459" s="294">
        <v>46116</v>
      </c>
      <c r="M459" s="284">
        <f>Table1[[#This Row],[Dep Date]]-Table1[[#This Row],[Arr Date]]</f>
        <v>7</v>
      </c>
      <c r="N459" s="323" t="s">
        <v>52</v>
      </c>
      <c r="O459" s="321">
        <v>1</v>
      </c>
      <c r="P459" s="321">
        <v>2</v>
      </c>
      <c r="Q459" s="321"/>
      <c r="R459" s="321"/>
      <c r="S459" s="321" t="s">
        <v>53</v>
      </c>
      <c r="T459" s="326" t="s">
        <v>2058</v>
      </c>
      <c r="U459" s="297"/>
      <c r="V459" s="294"/>
      <c r="W459" s="297"/>
      <c r="X459" s="294"/>
      <c r="Y459" s="329"/>
      <c r="Z459" s="329"/>
      <c r="AA459" s="332">
        <f>Table1[[#This Row],[Selling USD]]-Table1[[#This Row],[Cost USD]]</f>
        <v>0</v>
      </c>
      <c r="AB459" s="335">
        <f>50*2*5+68*2*2</f>
        <v>772</v>
      </c>
      <c r="AC459" s="298">
        <v>800</v>
      </c>
      <c r="AD459" s="299">
        <f>Table1[[#This Row],[Selling EUR]]-Table1[[#This Row],[Cost EUR]]</f>
        <v>28</v>
      </c>
      <c r="AE459" s="321" t="s">
        <v>54</v>
      </c>
      <c r="AF459" s="294" t="s">
        <v>2276</v>
      </c>
      <c r="AG459" s="294"/>
      <c r="AH459" s="321"/>
      <c r="AI459" s="323"/>
      <c r="AJ459" s="338"/>
      <c r="AK459" s="323"/>
      <c r="AL459" s="338"/>
      <c r="AM459" s="338"/>
      <c r="AN459" s="323"/>
      <c r="AO459" s="282"/>
      <c r="AP459" s="306"/>
      <c r="AQ459" s="282"/>
      <c r="AR459" s="282"/>
      <c r="AS459" s="282"/>
      <c r="AT459" s="281"/>
      <c r="AU459" s="281"/>
      <c r="AV459" s="281"/>
      <c r="AW459" s="281"/>
      <c r="AX459" s="281"/>
      <c r="AY459" s="281"/>
      <c r="AZ459" s="281"/>
    </row>
    <row r="460" spans="1:52" ht="15" customHeight="1" x14ac:dyDescent="0.3">
      <c r="A460" s="294">
        <v>46044</v>
      </c>
      <c r="B460" s="321" t="s">
        <v>73</v>
      </c>
      <c r="C460" s="321" t="s">
        <v>73</v>
      </c>
      <c r="D460" s="294" t="s">
        <v>48</v>
      </c>
      <c r="E460" s="321" t="s">
        <v>49</v>
      </c>
      <c r="F460" s="295">
        <v>17256903</v>
      </c>
      <c r="G460" s="296"/>
      <c r="H460" s="280" t="s">
        <v>50</v>
      </c>
      <c r="I460" s="323" t="s">
        <v>2619</v>
      </c>
      <c r="J460" s="323" t="s">
        <v>2443</v>
      </c>
      <c r="K460" s="294">
        <v>46060</v>
      </c>
      <c r="L460" s="294">
        <v>46067</v>
      </c>
      <c r="M460" s="284">
        <f>Table1[[#This Row],[Dep Date]]-Table1[[#This Row],[Arr Date]]</f>
        <v>7</v>
      </c>
      <c r="N460" s="323" t="s">
        <v>65</v>
      </c>
      <c r="O460" s="321">
        <v>1</v>
      </c>
      <c r="P460" s="321">
        <v>1</v>
      </c>
      <c r="Q460" s="321">
        <v>2</v>
      </c>
      <c r="R460" s="321"/>
      <c r="S460" s="321" t="s">
        <v>53</v>
      </c>
      <c r="T460" s="326" t="s">
        <v>2059</v>
      </c>
      <c r="U460" s="297">
        <v>10</v>
      </c>
      <c r="V460" s="294"/>
      <c r="W460" s="297">
        <v>9</v>
      </c>
      <c r="X460" s="294"/>
      <c r="Y460" s="329"/>
      <c r="Z460" s="329"/>
      <c r="AA460" s="332">
        <f>Table1[[#This Row],[Selling USD]]-Table1[[#This Row],[Cost USD]]</f>
        <v>0</v>
      </c>
      <c r="AB460" s="335"/>
      <c r="AC460" s="298"/>
      <c r="AD460" s="299">
        <f>Table1[[#This Row],[Selling EUR]]-Table1[[#This Row],[Cost EUR]]</f>
        <v>0</v>
      </c>
      <c r="AE460" s="321"/>
      <c r="AF460" s="294"/>
      <c r="AG460" s="294"/>
      <c r="AH460" s="321"/>
      <c r="AI460" s="323"/>
      <c r="AJ460" s="338"/>
      <c r="AK460" s="323"/>
      <c r="AL460" s="338"/>
      <c r="AM460" s="338"/>
      <c r="AN460" s="323"/>
      <c r="AO460" s="282"/>
      <c r="AP460" s="306"/>
      <c r="AQ460" s="282"/>
      <c r="AR460" s="282"/>
      <c r="AS460" s="282"/>
      <c r="AT460" s="281"/>
      <c r="AU460" s="281"/>
      <c r="AV460" s="281"/>
      <c r="AW460" s="281"/>
      <c r="AX460" s="281"/>
      <c r="AY460" s="281"/>
      <c r="AZ460" s="281"/>
    </row>
    <row r="461" spans="1:52" ht="15" customHeight="1" x14ac:dyDescent="0.3">
      <c r="A461" s="294">
        <v>46045</v>
      </c>
      <c r="B461" s="321" t="s">
        <v>47</v>
      </c>
      <c r="C461" s="321" t="s">
        <v>47</v>
      </c>
      <c r="D461" s="294" t="s">
        <v>48</v>
      </c>
      <c r="E461" s="321" t="s">
        <v>49</v>
      </c>
      <c r="F461" s="295">
        <v>17259599</v>
      </c>
      <c r="G461" s="296"/>
      <c r="H461" s="280" t="s">
        <v>58</v>
      </c>
      <c r="I461" s="323" t="s">
        <v>62</v>
      </c>
      <c r="J461" s="323" t="s">
        <v>146</v>
      </c>
      <c r="K461" s="294">
        <v>46108</v>
      </c>
      <c r="L461" s="294">
        <v>46116</v>
      </c>
      <c r="M461" s="284">
        <f>Table1[[#This Row],[Dep Date]]-Table1[[#This Row],[Arr Date]]</f>
        <v>8</v>
      </c>
      <c r="N461" s="323" t="s">
        <v>52</v>
      </c>
      <c r="O461" s="321">
        <v>1</v>
      </c>
      <c r="P461" s="321">
        <v>2</v>
      </c>
      <c r="Q461" s="321"/>
      <c r="R461" s="321"/>
      <c r="S461" s="321" t="s">
        <v>53</v>
      </c>
      <c r="T461" s="326" t="s">
        <v>2060</v>
      </c>
      <c r="U461" s="297"/>
      <c r="V461" s="294"/>
      <c r="W461" s="297"/>
      <c r="X461" s="294"/>
      <c r="Y461" s="329"/>
      <c r="Z461" s="329"/>
      <c r="AA461" s="332">
        <f>Table1[[#This Row],[Selling USD]]-Table1[[#This Row],[Cost USD]]</f>
        <v>0</v>
      </c>
      <c r="AB461" s="335">
        <f>50*2*6+68*2*2</f>
        <v>872</v>
      </c>
      <c r="AC461" s="298">
        <v>904</v>
      </c>
      <c r="AD461" s="299">
        <f>Table1[[#This Row],[Selling EUR]]-Table1[[#This Row],[Cost EUR]]</f>
        <v>32</v>
      </c>
      <c r="AE461" s="321" t="s">
        <v>54</v>
      </c>
      <c r="AF461" s="294" t="s">
        <v>2276</v>
      </c>
      <c r="AG461" s="294"/>
      <c r="AH461" s="321"/>
      <c r="AI461" s="323"/>
      <c r="AJ461" s="338"/>
      <c r="AK461" s="323"/>
      <c r="AL461" s="338"/>
      <c r="AM461" s="338"/>
      <c r="AN461" s="323"/>
      <c r="AO461" s="282"/>
      <c r="AP461" s="306"/>
      <c r="AQ461" s="282"/>
      <c r="AR461" s="282"/>
      <c r="AS461" s="282"/>
      <c r="AT461" s="281"/>
      <c r="AU461" s="281"/>
      <c r="AV461" s="281"/>
      <c r="AW461" s="281"/>
      <c r="AX461" s="281"/>
      <c r="AY461" s="281"/>
      <c r="AZ461" s="281"/>
    </row>
    <row r="462" spans="1:52" ht="15" customHeight="1" x14ac:dyDescent="0.3">
      <c r="A462" s="294">
        <v>46046</v>
      </c>
      <c r="B462" s="321" t="s">
        <v>47</v>
      </c>
      <c r="C462" s="321" t="s">
        <v>47</v>
      </c>
      <c r="D462" s="294" t="s">
        <v>48</v>
      </c>
      <c r="E462" s="321" t="s">
        <v>49</v>
      </c>
      <c r="F462" s="295">
        <v>17261409</v>
      </c>
      <c r="G462" s="296"/>
      <c r="H462" s="280" t="s">
        <v>58</v>
      </c>
      <c r="I462" s="323" t="s">
        <v>62</v>
      </c>
      <c r="J462" s="323" t="s">
        <v>146</v>
      </c>
      <c r="K462" s="294">
        <v>46112</v>
      </c>
      <c r="L462" s="294">
        <v>46122</v>
      </c>
      <c r="M462" s="284">
        <f>Table1[[#This Row],[Dep Date]]-Table1[[#This Row],[Arr Date]]</f>
        <v>10</v>
      </c>
      <c r="N462" s="323" t="s">
        <v>52</v>
      </c>
      <c r="O462" s="321">
        <v>1</v>
      </c>
      <c r="P462" s="321">
        <v>2</v>
      </c>
      <c r="Q462" s="321"/>
      <c r="R462" s="321"/>
      <c r="S462" s="321" t="s">
        <v>53</v>
      </c>
      <c r="T462" s="326" t="s">
        <v>2061</v>
      </c>
      <c r="U462" s="297"/>
      <c r="V462" s="294"/>
      <c r="W462" s="297"/>
      <c r="X462" s="294"/>
      <c r="Y462" s="329"/>
      <c r="Z462" s="329"/>
      <c r="AA462" s="332">
        <f>Table1[[#This Row],[Selling USD]]-Table1[[#This Row],[Cost USD]]</f>
        <v>0</v>
      </c>
      <c r="AB462" s="335">
        <f>50*2*2+68*2*7+59*2*1</f>
        <v>1270</v>
      </c>
      <c r="AC462" s="298">
        <v>1310</v>
      </c>
      <c r="AD462" s="299">
        <f>Table1[[#This Row],[Selling EUR]]-Table1[[#This Row],[Cost EUR]]</f>
        <v>40</v>
      </c>
      <c r="AE462" s="321" t="s">
        <v>54</v>
      </c>
      <c r="AF462" s="294">
        <v>46104</v>
      </c>
      <c r="AG462" s="294"/>
      <c r="AH462" s="321"/>
      <c r="AI462" s="323"/>
      <c r="AJ462" s="338"/>
      <c r="AK462" s="323"/>
      <c r="AL462" s="338"/>
      <c r="AM462" s="338"/>
      <c r="AN462" s="323"/>
      <c r="AO462" s="282"/>
      <c r="AP462" s="306"/>
      <c r="AQ462" s="282"/>
      <c r="AR462" s="282"/>
      <c r="AS462" s="282"/>
      <c r="AT462" s="281"/>
      <c r="AU462" s="281"/>
      <c r="AV462" s="281"/>
      <c r="AW462" s="281"/>
      <c r="AX462" s="281"/>
      <c r="AY462" s="281"/>
      <c r="AZ462" s="281"/>
    </row>
    <row r="463" spans="1:52" ht="15" customHeight="1" x14ac:dyDescent="0.3">
      <c r="A463" s="294">
        <v>46046</v>
      </c>
      <c r="B463" s="321" t="s">
        <v>47</v>
      </c>
      <c r="C463" s="321" t="s">
        <v>47</v>
      </c>
      <c r="D463" s="294" t="s">
        <v>48</v>
      </c>
      <c r="E463" s="321" t="s">
        <v>49</v>
      </c>
      <c r="F463" s="295">
        <v>17261994</v>
      </c>
      <c r="G463" s="296"/>
      <c r="H463" s="280" t="s">
        <v>58</v>
      </c>
      <c r="I463" s="323" t="s">
        <v>62</v>
      </c>
      <c r="J463" s="323" t="s">
        <v>146</v>
      </c>
      <c r="K463" s="294">
        <v>46109</v>
      </c>
      <c r="L463" s="294">
        <v>46117</v>
      </c>
      <c r="M463" s="284">
        <f>Table1[[#This Row],[Dep Date]]-Table1[[#This Row],[Arr Date]]</f>
        <v>8</v>
      </c>
      <c r="N463" s="323" t="s">
        <v>70</v>
      </c>
      <c r="O463" s="321">
        <v>1</v>
      </c>
      <c r="P463" s="321">
        <v>3</v>
      </c>
      <c r="Q463" s="321"/>
      <c r="R463" s="321"/>
      <c r="S463" s="321" t="s">
        <v>53</v>
      </c>
      <c r="T463" s="326" t="s">
        <v>2062</v>
      </c>
      <c r="U463" s="297"/>
      <c r="V463" s="294"/>
      <c r="W463" s="297"/>
      <c r="X463" s="294"/>
      <c r="Y463" s="329"/>
      <c r="Z463" s="329"/>
      <c r="AA463" s="332">
        <f>Table1[[#This Row],[Selling USD]]-Table1[[#This Row],[Cost USD]]</f>
        <v>0</v>
      </c>
      <c r="AB463" s="335">
        <f>48*3*5+66*3*3</f>
        <v>1314</v>
      </c>
      <c r="AC463" s="298">
        <v>1362</v>
      </c>
      <c r="AD463" s="299">
        <f>Table1[[#This Row],[Selling EUR]]-Table1[[#This Row],[Cost EUR]]</f>
        <v>48</v>
      </c>
      <c r="AE463" s="321" t="s">
        <v>54</v>
      </c>
      <c r="AF463" s="294">
        <v>46104</v>
      </c>
      <c r="AG463" s="294"/>
      <c r="AH463" s="321"/>
      <c r="AI463" s="323"/>
      <c r="AJ463" s="338"/>
      <c r="AK463" s="323"/>
      <c r="AL463" s="338"/>
      <c r="AM463" s="338"/>
      <c r="AN463" s="323"/>
      <c r="AO463" s="282"/>
      <c r="AP463" s="306"/>
      <c r="AQ463" s="282"/>
      <c r="AR463" s="282"/>
      <c r="AS463" s="282"/>
      <c r="AT463" s="281"/>
      <c r="AU463" s="281"/>
      <c r="AV463" s="281"/>
      <c r="AW463" s="281"/>
      <c r="AX463" s="281"/>
      <c r="AY463" s="281"/>
      <c r="AZ463" s="281"/>
    </row>
    <row r="464" spans="1:52" ht="15" customHeight="1" x14ac:dyDescent="0.3">
      <c r="A464" s="294">
        <v>46051</v>
      </c>
      <c r="B464" s="321" t="s">
        <v>47</v>
      </c>
      <c r="C464" s="321" t="s">
        <v>47</v>
      </c>
      <c r="D464" s="294" t="s">
        <v>48</v>
      </c>
      <c r="E464" s="321" t="s">
        <v>49</v>
      </c>
      <c r="F464" s="295">
        <v>17280833</v>
      </c>
      <c r="G464" s="296"/>
      <c r="H464" s="280" t="s">
        <v>58</v>
      </c>
      <c r="I464" s="323" t="s">
        <v>62</v>
      </c>
      <c r="J464" s="323" t="s">
        <v>146</v>
      </c>
      <c r="K464" s="294">
        <v>46087</v>
      </c>
      <c r="L464" s="294">
        <v>46098</v>
      </c>
      <c r="M464" s="284">
        <f>Table1[[#This Row],[Dep Date]]-Table1[[#This Row],[Arr Date]]</f>
        <v>11</v>
      </c>
      <c r="N464" s="323" t="s">
        <v>52</v>
      </c>
      <c r="O464" s="321">
        <v>1</v>
      </c>
      <c r="P464" s="321">
        <v>2</v>
      </c>
      <c r="Q464" s="321"/>
      <c r="R464" s="321"/>
      <c r="S464" s="321" t="s">
        <v>53</v>
      </c>
      <c r="T464" s="326" t="s">
        <v>2063</v>
      </c>
      <c r="U464" s="297"/>
      <c r="V464" s="294"/>
      <c r="W464" s="297"/>
      <c r="X464" s="294"/>
      <c r="Y464" s="329"/>
      <c r="Z464" s="329"/>
      <c r="AA464" s="332">
        <f>Table1[[#This Row],[Selling USD]]-Table1[[#This Row],[Cost USD]]</f>
        <v>0</v>
      </c>
      <c r="AB464" s="335">
        <f>50*2*11</f>
        <v>1100</v>
      </c>
      <c r="AC464" s="298">
        <v>1144</v>
      </c>
      <c r="AD464" s="299">
        <f>Table1[[#This Row],[Selling EUR]]-Table1[[#This Row],[Cost EUR]]</f>
        <v>44</v>
      </c>
      <c r="AE464" s="321" t="s">
        <v>54</v>
      </c>
      <c r="AF464" s="294">
        <v>46082</v>
      </c>
      <c r="AG464" s="294"/>
      <c r="AH464" s="321"/>
      <c r="AI464" s="323"/>
      <c r="AJ464" s="338"/>
      <c r="AK464" s="323"/>
      <c r="AL464" s="338"/>
      <c r="AM464" s="338"/>
      <c r="AN464" s="323"/>
      <c r="AO464" s="282"/>
      <c r="AP464" s="306"/>
      <c r="AQ464" s="282"/>
      <c r="AR464" s="282"/>
      <c r="AS464" s="282"/>
      <c r="AT464" s="281"/>
      <c r="AU464" s="281"/>
      <c r="AV464" s="281"/>
      <c r="AW464" s="281"/>
      <c r="AX464" s="281"/>
      <c r="AY464" s="281"/>
      <c r="AZ464" s="281"/>
    </row>
    <row r="465" spans="1:52" ht="15" customHeight="1" x14ac:dyDescent="0.3">
      <c r="A465" s="294">
        <v>46048</v>
      </c>
      <c r="B465" s="321" t="s">
        <v>47</v>
      </c>
      <c r="C465" s="321" t="s">
        <v>47</v>
      </c>
      <c r="D465" s="294" t="s">
        <v>48</v>
      </c>
      <c r="E465" s="321" t="s">
        <v>138</v>
      </c>
      <c r="F465" s="295">
        <v>17267356</v>
      </c>
      <c r="G465" s="296"/>
      <c r="H465" s="280" t="s">
        <v>84</v>
      </c>
      <c r="I465" s="323" t="s">
        <v>168</v>
      </c>
      <c r="J465" s="323" t="s">
        <v>2593</v>
      </c>
      <c r="K465" s="294">
        <v>46071</v>
      </c>
      <c r="L465" s="294">
        <v>46078</v>
      </c>
      <c r="M465" s="284">
        <f>Table1[[#This Row],[Dep Date]]-Table1[[#This Row],[Arr Date]]</f>
        <v>7</v>
      </c>
      <c r="N465" s="323" t="s">
        <v>70</v>
      </c>
      <c r="O465" s="321">
        <v>1</v>
      </c>
      <c r="P465" s="321">
        <v>3</v>
      </c>
      <c r="Q465" s="321"/>
      <c r="R465" s="321"/>
      <c r="S465" s="321" t="s">
        <v>53</v>
      </c>
      <c r="T465" s="326" t="s">
        <v>2064</v>
      </c>
      <c r="U465" s="297"/>
      <c r="V465" s="294"/>
      <c r="W465" s="297"/>
      <c r="X465" s="294"/>
      <c r="Y465" s="329"/>
      <c r="Z465" s="329"/>
      <c r="AA465" s="332">
        <f>Table1[[#This Row],[Selling USD]]-Table1[[#This Row],[Cost USD]]</f>
        <v>0</v>
      </c>
      <c r="AB465" s="335">
        <f>48*3*7</f>
        <v>1008</v>
      </c>
      <c r="AC465" s="298">
        <v>1029</v>
      </c>
      <c r="AD465" s="299">
        <f>Table1[[#This Row],[Selling EUR]]-Table1[[#This Row],[Cost EUR]]</f>
        <v>21</v>
      </c>
      <c r="AE465" s="321" t="s">
        <v>54</v>
      </c>
      <c r="AF465" s="294">
        <v>46065</v>
      </c>
      <c r="AG465" s="294"/>
      <c r="AH465" s="321"/>
      <c r="AI465" s="323"/>
      <c r="AJ465" s="338"/>
      <c r="AK465" s="323"/>
      <c r="AL465" s="338"/>
      <c r="AM465" s="338"/>
      <c r="AN465" s="323"/>
      <c r="AO465" s="282"/>
      <c r="AP465" s="306"/>
      <c r="AQ465" s="282"/>
      <c r="AR465" s="282"/>
      <c r="AS465" s="282"/>
      <c r="AT465" s="281"/>
      <c r="AU465" s="281"/>
      <c r="AV465" s="281"/>
      <c r="AW465" s="281"/>
      <c r="AX465" s="281"/>
      <c r="AY465" s="281"/>
      <c r="AZ465" s="281"/>
    </row>
    <row r="466" spans="1:52" ht="15" customHeight="1" x14ac:dyDescent="0.3">
      <c r="A466" s="294">
        <v>46048</v>
      </c>
      <c r="B466" s="321" t="s">
        <v>73</v>
      </c>
      <c r="C466" s="321" t="s">
        <v>73</v>
      </c>
      <c r="D466" s="294" t="s">
        <v>48</v>
      </c>
      <c r="E466" s="321" t="s">
        <v>49</v>
      </c>
      <c r="F466" s="295">
        <v>17267545</v>
      </c>
      <c r="G466" s="296"/>
      <c r="H466" s="280" t="s">
        <v>58</v>
      </c>
      <c r="I466" s="323" t="s">
        <v>187</v>
      </c>
      <c r="J466" s="323" t="s">
        <v>2618</v>
      </c>
      <c r="K466" s="294">
        <v>46059</v>
      </c>
      <c r="L466" s="294">
        <v>46066</v>
      </c>
      <c r="M466" s="284">
        <f>Table1[[#This Row],[Dep Date]]-Table1[[#This Row],[Arr Date]]</f>
        <v>7</v>
      </c>
      <c r="N466" s="323" t="s">
        <v>52</v>
      </c>
      <c r="O466" s="321">
        <v>1</v>
      </c>
      <c r="P466" s="321">
        <v>2</v>
      </c>
      <c r="Q466" s="321"/>
      <c r="R466" s="321"/>
      <c r="S466" s="321" t="s">
        <v>53</v>
      </c>
      <c r="T466" s="326" t="s">
        <v>2065</v>
      </c>
      <c r="U466" s="297"/>
      <c r="V466" s="294"/>
      <c r="W466" s="297"/>
      <c r="X466" s="294"/>
      <c r="Y466" s="329"/>
      <c r="Z466" s="329"/>
      <c r="AA466" s="332">
        <f>Table1[[#This Row],[Selling USD]]-Table1[[#This Row],[Cost USD]]</f>
        <v>0</v>
      </c>
      <c r="AB466" s="335"/>
      <c r="AC466" s="298"/>
      <c r="AD466" s="299">
        <f>Table1[[#This Row],[Selling EUR]]-Table1[[#This Row],[Cost EUR]]</f>
        <v>0</v>
      </c>
      <c r="AE466" s="321"/>
      <c r="AF466" s="294"/>
      <c r="AG466" s="294"/>
      <c r="AH466" s="321"/>
      <c r="AI466" s="323"/>
      <c r="AJ466" s="338"/>
      <c r="AK466" s="323"/>
      <c r="AL466" s="338"/>
      <c r="AM466" s="338"/>
      <c r="AN466" s="323"/>
      <c r="AO466" s="282"/>
      <c r="AP466" s="306"/>
      <c r="AQ466" s="282"/>
      <c r="AR466" s="282"/>
      <c r="AS466" s="282"/>
      <c r="AT466" s="281"/>
      <c r="AU466" s="281"/>
      <c r="AV466" s="281"/>
      <c r="AW466" s="281"/>
      <c r="AX466" s="281"/>
      <c r="AY466" s="281"/>
      <c r="AZ466" s="281"/>
    </row>
    <row r="467" spans="1:52" ht="15" customHeight="1" x14ac:dyDescent="0.3">
      <c r="A467" s="294">
        <v>46048</v>
      </c>
      <c r="B467" s="321" t="s">
        <v>47</v>
      </c>
      <c r="C467" s="321" t="s">
        <v>47</v>
      </c>
      <c r="D467" s="294" t="s">
        <v>48</v>
      </c>
      <c r="E467" s="321" t="s">
        <v>49</v>
      </c>
      <c r="F467" s="295">
        <v>17267677</v>
      </c>
      <c r="G467" s="296"/>
      <c r="H467" s="280" t="s">
        <v>58</v>
      </c>
      <c r="I467" s="323" t="s">
        <v>115</v>
      </c>
      <c r="J467" s="323" t="s">
        <v>2618</v>
      </c>
      <c r="K467" s="294">
        <v>46059</v>
      </c>
      <c r="L467" s="294">
        <v>46066</v>
      </c>
      <c r="M467" s="284">
        <f>Table1[[#This Row],[Dep Date]]-Table1[[#This Row],[Arr Date]]</f>
        <v>7</v>
      </c>
      <c r="N467" s="323" t="s">
        <v>52</v>
      </c>
      <c r="O467" s="321">
        <v>1</v>
      </c>
      <c r="P467" s="321">
        <v>2</v>
      </c>
      <c r="Q467" s="321"/>
      <c r="R467" s="321"/>
      <c r="S467" s="321" t="s">
        <v>53</v>
      </c>
      <c r="T467" s="326" t="s">
        <v>2066</v>
      </c>
      <c r="U467" s="297"/>
      <c r="V467" s="294"/>
      <c r="W467" s="297"/>
      <c r="X467" s="294"/>
      <c r="Y467" s="329"/>
      <c r="Z467" s="329"/>
      <c r="AA467" s="332">
        <f>Table1[[#This Row],[Selling USD]]-Table1[[#This Row],[Cost USD]]</f>
        <v>0</v>
      </c>
      <c r="AB467" s="335">
        <f>30*2*7</f>
        <v>420</v>
      </c>
      <c r="AC467" s="298">
        <v>434</v>
      </c>
      <c r="AD467" s="299">
        <f>Table1[[#This Row],[Selling EUR]]-Table1[[#This Row],[Cost EUR]]</f>
        <v>14</v>
      </c>
      <c r="AE467" s="321" t="s">
        <v>54</v>
      </c>
      <c r="AF467" s="294">
        <v>46082</v>
      </c>
      <c r="AG467" s="294"/>
      <c r="AH467" s="321"/>
      <c r="AI467" s="323"/>
      <c r="AJ467" s="338"/>
      <c r="AK467" s="323"/>
      <c r="AL467" s="338"/>
      <c r="AM467" s="338"/>
      <c r="AN467" s="323"/>
      <c r="AO467" s="282"/>
      <c r="AP467" s="306"/>
      <c r="AQ467" s="282"/>
      <c r="AR467" s="282"/>
      <c r="AS467" s="282"/>
      <c r="AT467" s="281"/>
      <c r="AU467" s="281"/>
      <c r="AV467" s="281"/>
      <c r="AW467" s="281"/>
      <c r="AX467" s="281"/>
      <c r="AY467" s="281"/>
      <c r="AZ467" s="281"/>
    </row>
    <row r="468" spans="1:52" ht="15" customHeight="1" x14ac:dyDescent="0.3">
      <c r="A468" s="294">
        <v>46048</v>
      </c>
      <c r="B468" s="321" t="s">
        <v>73</v>
      </c>
      <c r="C468" s="321" t="s">
        <v>73</v>
      </c>
      <c r="D468" s="294" t="s">
        <v>48</v>
      </c>
      <c r="E468" s="321" t="s">
        <v>49</v>
      </c>
      <c r="F468" s="295">
        <v>17267540</v>
      </c>
      <c r="G468" s="296"/>
      <c r="H468" s="280" t="s">
        <v>58</v>
      </c>
      <c r="I468" s="323" t="s">
        <v>62</v>
      </c>
      <c r="J468" s="323" t="s">
        <v>146</v>
      </c>
      <c r="K468" s="294">
        <v>46094</v>
      </c>
      <c r="L468" s="294">
        <v>46105</v>
      </c>
      <c r="M468" s="284">
        <f>Table1[[#This Row],[Dep Date]]-Table1[[#This Row],[Arr Date]]</f>
        <v>11</v>
      </c>
      <c r="N468" s="323" t="s">
        <v>52</v>
      </c>
      <c r="O468" s="321">
        <v>1</v>
      </c>
      <c r="P468" s="321">
        <v>2</v>
      </c>
      <c r="Q468" s="321"/>
      <c r="R468" s="321"/>
      <c r="S468" s="321" t="s">
        <v>53</v>
      </c>
      <c r="T468" s="326" t="s">
        <v>2067</v>
      </c>
      <c r="U468" s="297"/>
      <c r="V468" s="294"/>
      <c r="W468" s="297"/>
      <c r="X468" s="294"/>
      <c r="Y468" s="329"/>
      <c r="Z468" s="329"/>
      <c r="AA468" s="332">
        <f>Table1[[#This Row],[Selling USD]]-Table1[[#This Row],[Cost USD]]</f>
        <v>0</v>
      </c>
      <c r="AB468" s="335">
        <f>50*2*11</f>
        <v>1100</v>
      </c>
      <c r="AC468" s="298">
        <v>1144</v>
      </c>
      <c r="AD468" s="299">
        <f>Table1[[#This Row],[Selling EUR]]-Table1[[#This Row],[Cost EUR]]</f>
        <v>44</v>
      </c>
      <c r="AE468" s="321" t="s">
        <v>54</v>
      </c>
      <c r="AF468" s="294">
        <v>46089</v>
      </c>
      <c r="AG468" s="294"/>
      <c r="AH468" s="321"/>
      <c r="AI468" s="323"/>
      <c r="AJ468" s="338"/>
      <c r="AK468" s="323"/>
      <c r="AL468" s="338"/>
      <c r="AM468" s="338"/>
      <c r="AN468" s="323"/>
      <c r="AO468" s="282"/>
      <c r="AP468" s="306"/>
      <c r="AQ468" s="282"/>
      <c r="AR468" s="282"/>
      <c r="AS468" s="282"/>
      <c r="AT468" s="281"/>
      <c r="AU468" s="281"/>
      <c r="AV468" s="281"/>
      <c r="AW468" s="281"/>
      <c r="AX468" s="281"/>
      <c r="AY468" s="281"/>
      <c r="AZ468" s="281"/>
    </row>
    <row r="469" spans="1:52" ht="15" customHeight="1" x14ac:dyDescent="0.3">
      <c r="A469" s="294">
        <v>46048</v>
      </c>
      <c r="B469" s="321" t="s">
        <v>47</v>
      </c>
      <c r="C469" s="321" t="s">
        <v>47</v>
      </c>
      <c r="D469" s="294" t="s">
        <v>48</v>
      </c>
      <c r="E469" s="321" t="s">
        <v>138</v>
      </c>
      <c r="F469" s="295">
        <v>17268567</v>
      </c>
      <c r="G469" s="296"/>
      <c r="H469" s="280" t="s">
        <v>84</v>
      </c>
      <c r="I469" s="323" t="s">
        <v>168</v>
      </c>
      <c r="J469" s="323" t="s">
        <v>2593</v>
      </c>
      <c r="K469" s="294">
        <v>46061</v>
      </c>
      <c r="L469" s="294">
        <v>46070</v>
      </c>
      <c r="M469" s="284">
        <f>Table1[[#This Row],[Dep Date]]-Table1[[#This Row],[Arr Date]]</f>
        <v>9</v>
      </c>
      <c r="N469" s="323" t="s">
        <v>52</v>
      </c>
      <c r="O469" s="321">
        <v>1</v>
      </c>
      <c r="P469" s="321">
        <v>2</v>
      </c>
      <c r="Q469" s="321"/>
      <c r="R469" s="321"/>
      <c r="S469" s="321" t="s">
        <v>53</v>
      </c>
      <c r="T469" s="326" t="s">
        <v>2068</v>
      </c>
      <c r="U469" s="297"/>
      <c r="V469" s="294"/>
      <c r="W469" s="297"/>
      <c r="X469" s="294"/>
      <c r="Y469" s="329"/>
      <c r="Z469" s="329"/>
      <c r="AA469" s="332">
        <f>Table1[[#This Row],[Selling USD]]-Table1[[#This Row],[Cost USD]]</f>
        <v>0</v>
      </c>
      <c r="AB469" s="335">
        <f>50*2*9</f>
        <v>900</v>
      </c>
      <c r="AC469" s="298">
        <v>918</v>
      </c>
      <c r="AD469" s="299">
        <f>Table1[[#This Row],[Selling EUR]]-Table1[[#This Row],[Cost EUR]]</f>
        <v>18</v>
      </c>
      <c r="AE469" s="321" t="s">
        <v>54</v>
      </c>
      <c r="AF469" s="294">
        <v>46056</v>
      </c>
      <c r="AG469" s="294"/>
      <c r="AH469" s="321"/>
      <c r="AI469" s="323"/>
      <c r="AJ469" s="338"/>
      <c r="AK469" s="323"/>
      <c r="AL469" s="338"/>
      <c r="AM469" s="338"/>
      <c r="AN469" s="323"/>
      <c r="AO469" s="282"/>
      <c r="AP469" s="306"/>
      <c r="AQ469" s="282"/>
      <c r="AR469" s="282"/>
      <c r="AS469" s="282"/>
      <c r="AT469" s="281"/>
      <c r="AU469" s="281"/>
      <c r="AV469" s="281"/>
      <c r="AW469" s="281"/>
      <c r="AX469" s="281"/>
      <c r="AY469" s="281"/>
      <c r="AZ469" s="281"/>
    </row>
    <row r="470" spans="1:52" ht="15" customHeight="1" x14ac:dyDescent="0.3">
      <c r="A470" s="294">
        <v>46048</v>
      </c>
      <c r="B470" s="321" t="s">
        <v>73</v>
      </c>
      <c r="C470" s="321" t="s">
        <v>73</v>
      </c>
      <c r="D470" s="294" t="s">
        <v>48</v>
      </c>
      <c r="E470" s="321" t="s">
        <v>49</v>
      </c>
      <c r="F470" s="295">
        <v>17268995</v>
      </c>
      <c r="G470" s="296"/>
      <c r="H470" s="280" t="s">
        <v>58</v>
      </c>
      <c r="I470" s="323" t="s">
        <v>62</v>
      </c>
      <c r="J470" s="323" t="s">
        <v>146</v>
      </c>
      <c r="K470" s="294">
        <v>46111</v>
      </c>
      <c r="L470" s="294">
        <v>46118</v>
      </c>
      <c r="M470" s="284">
        <f>Table1[[#This Row],[Dep Date]]-Table1[[#This Row],[Arr Date]]</f>
        <v>7</v>
      </c>
      <c r="N470" s="323" t="s">
        <v>52</v>
      </c>
      <c r="O470" s="321">
        <v>1</v>
      </c>
      <c r="P470" s="321">
        <v>2</v>
      </c>
      <c r="Q470" s="321">
        <v>1</v>
      </c>
      <c r="R470" s="321"/>
      <c r="S470" s="321" t="s">
        <v>53</v>
      </c>
      <c r="T470" s="326" t="s">
        <v>2069</v>
      </c>
      <c r="U470" s="297">
        <v>12</v>
      </c>
      <c r="V470" s="294"/>
      <c r="W470" s="297"/>
      <c r="X470" s="294"/>
      <c r="Y470" s="329"/>
      <c r="Z470" s="329"/>
      <c r="AA470" s="332">
        <f>Table1[[#This Row],[Selling USD]]-Table1[[#This Row],[Cost USD]]</f>
        <v>0</v>
      </c>
      <c r="AB470" s="335"/>
      <c r="AC470" s="298"/>
      <c r="AD470" s="299">
        <f>Table1[[#This Row],[Selling EUR]]-Table1[[#This Row],[Cost EUR]]</f>
        <v>0</v>
      </c>
      <c r="AE470" s="321"/>
      <c r="AF470" s="294"/>
      <c r="AG470" s="294"/>
      <c r="AH470" s="321"/>
      <c r="AI470" s="323"/>
      <c r="AJ470" s="338"/>
      <c r="AK470" s="323"/>
      <c r="AL470" s="338"/>
      <c r="AM470" s="338"/>
      <c r="AN470" s="323"/>
      <c r="AO470" s="282"/>
      <c r="AP470" s="306"/>
      <c r="AQ470" s="282"/>
      <c r="AR470" s="282"/>
      <c r="AS470" s="282"/>
      <c r="AT470" s="281"/>
      <c r="AU470" s="281"/>
      <c r="AV470" s="281"/>
      <c r="AW470" s="281"/>
      <c r="AX470" s="281"/>
      <c r="AY470" s="281"/>
      <c r="AZ470" s="281"/>
    </row>
    <row r="471" spans="1:52" ht="15" customHeight="1" x14ac:dyDescent="0.3">
      <c r="A471" s="294">
        <v>46048</v>
      </c>
      <c r="B471" s="321" t="s">
        <v>47</v>
      </c>
      <c r="C471" s="321" t="s">
        <v>47</v>
      </c>
      <c r="D471" s="294" t="s">
        <v>48</v>
      </c>
      <c r="E471" s="321" t="s">
        <v>49</v>
      </c>
      <c r="F471" s="295">
        <v>17269433</v>
      </c>
      <c r="G471" s="296"/>
      <c r="H471" s="280" t="s">
        <v>58</v>
      </c>
      <c r="I471" s="323" t="s">
        <v>62</v>
      </c>
      <c r="J471" s="323" t="s">
        <v>146</v>
      </c>
      <c r="K471" s="294">
        <v>46111</v>
      </c>
      <c r="L471" s="294">
        <v>46118</v>
      </c>
      <c r="M471" s="284">
        <f>Table1[[#This Row],[Dep Date]]-Table1[[#This Row],[Arr Date]]</f>
        <v>7</v>
      </c>
      <c r="N471" s="323" t="s">
        <v>52</v>
      </c>
      <c r="O471" s="321">
        <v>1</v>
      </c>
      <c r="P471" s="321">
        <v>2</v>
      </c>
      <c r="Q471" s="321"/>
      <c r="R471" s="321"/>
      <c r="S471" s="321" t="s">
        <v>53</v>
      </c>
      <c r="T471" s="326" t="s">
        <v>2070</v>
      </c>
      <c r="U471" s="297"/>
      <c r="V471" s="294"/>
      <c r="W471" s="297"/>
      <c r="X471" s="294"/>
      <c r="Y471" s="329"/>
      <c r="Z471" s="329"/>
      <c r="AA471" s="332">
        <f>Table1[[#This Row],[Selling USD]]-Table1[[#This Row],[Cost USD]]</f>
        <v>0</v>
      </c>
      <c r="AB471" s="335">
        <f>50*2*3+68*2*4</f>
        <v>844</v>
      </c>
      <c r="AC471" s="298">
        <v>872</v>
      </c>
      <c r="AD471" s="299">
        <f>Table1[[#This Row],[Selling EUR]]-Table1[[#This Row],[Cost EUR]]</f>
        <v>28</v>
      </c>
      <c r="AE471" s="321" t="s">
        <v>54</v>
      </c>
      <c r="AF471" s="294">
        <v>46104</v>
      </c>
      <c r="AG471" s="294"/>
      <c r="AH471" s="321"/>
      <c r="AI471" s="323"/>
      <c r="AJ471" s="338"/>
      <c r="AK471" s="323"/>
      <c r="AL471" s="338"/>
      <c r="AM471" s="338"/>
      <c r="AN471" s="323"/>
      <c r="AO471" s="282"/>
      <c r="AP471" s="306"/>
      <c r="AQ471" s="282"/>
      <c r="AR471" s="282"/>
      <c r="AS471" s="282"/>
      <c r="AT471" s="281"/>
      <c r="AU471" s="281"/>
      <c r="AV471" s="281"/>
      <c r="AW471" s="281"/>
      <c r="AX471" s="281"/>
      <c r="AY471" s="281"/>
      <c r="AZ471" s="281"/>
    </row>
    <row r="472" spans="1:52" ht="15" customHeight="1" x14ac:dyDescent="0.3">
      <c r="A472" s="294">
        <v>46049</v>
      </c>
      <c r="B472" s="321" t="s">
        <v>47</v>
      </c>
      <c r="C472" s="321" t="s">
        <v>47</v>
      </c>
      <c r="D472" s="294" t="s">
        <v>48</v>
      </c>
      <c r="E472" s="321" t="s">
        <v>138</v>
      </c>
      <c r="F472" s="295">
        <v>17270570</v>
      </c>
      <c r="G472" s="296"/>
      <c r="H472" s="280" t="s">
        <v>84</v>
      </c>
      <c r="I472" s="323" t="s">
        <v>168</v>
      </c>
      <c r="J472" s="323" t="s">
        <v>2601</v>
      </c>
      <c r="K472" s="294">
        <v>46101</v>
      </c>
      <c r="L472" s="294">
        <v>46108</v>
      </c>
      <c r="M472" s="284">
        <f>Table1[[#This Row],[Dep Date]]-Table1[[#This Row],[Arr Date]]</f>
        <v>7</v>
      </c>
      <c r="N472" s="323" t="s">
        <v>52</v>
      </c>
      <c r="O472" s="321">
        <v>1</v>
      </c>
      <c r="P472" s="321">
        <v>2</v>
      </c>
      <c r="Q472" s="321"/>
      <c r="R472" s="321"/>
      <c r="S472" s="321" t="s">
        <v>53</v>
      </c>
      <c r="T472" s="326" t="s">
        <v>2071</v>
      </c>
      <c r="U472" s="297"/>
      <c r="V472" s="294"/>
      <c r="W472" s="297"/>
      <c r="X472" s="294"/>
      <c r="Y472" s="329"/>
      <c r="Z472" s="329"/>
      <c r="AA472" s="332">
        <f>Table1[[#This Row],[Selling USD]]-Table1[[#This Row],[Cost USD]]</f>
        <v>0</v>
      </c>
      <c r="AB472" s="335">
        <f>55*2*7</f>
        <v>770</v>
      </c>
      <c r="AC472" s="298">
        <v>798</v>
      </c>
      <c r="AD472" s="299">
        <f>Table1[[#This Row],[Selling EUR]]-Table1[[#This Row],[Cost EUR]]</f>
        <v>28</v>
      </c>
      <c r="AE472" s="321" t="s">
        <v>54</v>
      </c>
      <c r="AF472" s="294">
        <v>46093</v>
      </c>
      <c r="AG472" s="294"/>
      <c r="AH472" s="321"/>
      <c r="AI472" s="323"/>
      <c r="AJ472" s="338"/>
      <c r="AK472" s="323"/>
      <c r="AL472" s="338"/>
      <c r="AM472" s="338"/>
      <c r="AN472" s="323"/>
      <c r="AO472" s="282"/>
      <c r="AP472" s="306"/>
      <c r="AQ472" s="282"/>
      <c r="AR472" s="282"/>
      <c r="AS472" s="282"/>
      <c r="AT472" s="281"/>
      <c r="AU472" s="281"/>
      <c r="AV472" s="281"/>
      <c r="AW472" s="281"/>
      <c r="AX472" s="281"/>
      <c r="AY472" s="281"/>
      <c r="AZ472" s="281"/>
    </row>
    <row r="473" spans="1:52" ht="15" customHeight="1" x14ac:dyDescent="0.3">
      <c r="A473" s="294">
        <v>46049</v>
      </c>
      <c r="B473" s="321" t="s">
        <v>73</v>
      </c>
      <c r="C473" s="321" t="s">
        <v>73</v>
      </c>
      <c r="D473" s="294" t="s">
        <v>48</v>
      </c>
      <c r="E473" s="321" t="s">
        <v>49</v>
      </c>
      <c r="F473" s="295">
        <v>17271138</v>
      </c>
      <c r="G473" s="296"/>
      <c r="H473" s="280" t="s">
        <v>58</v>
      </c>
      <c r="I473" s="323" t="s">
        <v>189</v>
      </c>
      <c r="J473" s="323" t="s">
        <v>2620</v>
      </c>
      <c r="K473" s="294">
        <v>46077</v>
      </c>
      <c r="L473" s="294">
        <v>46084</v>
      </c>
      <c r="M473" s="284">
        <f>Table1[[#This Row],[Dep Date]]-Table1[[#This Row],[Arr Date]]</f>
        <v>7</v>
      </c>
      <c r="N473" s="323" t="s">
        <v>52</v>
      </c>
      <c r="O473" s="321">
        <v>1</v>
      </c>
      <c r="P473" s="321">
        <v>2</v>
      </c>
      <c r="Q473" s="321"/>
      <c r="R473" s="321"/>
      <c r="S473" s="321" t="s">
        <v>53</v>
      </c>
      <c r="T473" s="326" t="s">
        <v>2072</v>
      </c>
      <c r="U473" s="297"/>
      <c r="V473" s="294"/>
      <c r="W473" s="297"/>
      <c r="X473" s="294"/>
      <c r="Y473" s="329"/>
      <c r="Z473" s="329"/>
      <c r="AA473" s="332">
        <f>Table1[[#This Row],[Selling USD]]-Table1[[#This Row],[Cost USD]]</f>
        <v>0</v>
      </c>
      <c r="AB473" s="335"/>
      <c r="AC473" s="298"/>
      <c r="AD473" s="299">
        <f>Table1[[#This Row],[Selling EUR]]-Table1[[#This Row],[Cost EUR]]</f>
        <v>0</v>
      </c>
      <c r="AE473" s="321"/>
      <c r="AF473" s="294"/>
      <c r="AG473" s="294"/>
      <c r="AH473" s="321"/>
      <c r="AI473" s="323"/>
      <c r="AJ473" s="338"/>
      <c r="AK473" s="323"/>
      <c r="AL473" s="338"/>
      <c r="AM473" s="338"/>
      <c r="AN473" s="323"/>
      <c r="AO473" s="282"/>
      <c r="AP473" s="306"/>
      <c r="AQ473" s="282"/>
      <c r="AR473" s="282"/>
      <c r="AS473" s="282"/>
      <c r="AT473" s="281"/>
      <c r="AU473" s="281"/>
      <c r="AV473" s="281"/>
      <c r="AW473" s="281"/>
      <c r="AX473" s="281"/>
      <c r="AY473" s="281"/>
      <c r="AZ473" s="281"/>
    </row>
    <row r="474" spans="1:52" ht="15" customHeight="1" x14ac:dyDescent="0.3">
      <c r="A474" s="294">
        <v>46049</v>
      </c>
      <c r="B474" s="321" t="s">
        <v>47</v>
      </c>
      <c r="C474" s="321" t="s">
        <v>47</v>
      </c>
      <c r="D474" s="294" t="s">
        <v>48</v>
      </c>
      <c r="E474" s="321" t="s">
        <v>138</v>
      </c>
      <c r="F474" s="295">
        <v>17272304</v>
      </c>
      <c r="G474" s="296"/>
      <c r="H474" s="280" t="s">
        <v>84</v>
      </c>
      <c r="I474" s="323" t="s">
        <v>168</v>
      </c>
      <c r="J474" s="323" t="s">
        <v>2601</v>
      </c>
      <c r="K474" s="294">
        <v>46061</v>
      </c>
      <c r="L474" s="294">
        <v>46070</v>
      </c>
      <c r="M474" s="284">
        <f>Table1[[#This Row],[Dep Date]]-Table1[[#This Row],[Arr Date]]</f>
        <v>9</v>
      </c>
      <c r="N474" s="323" t="s">
        <v>52</v>
      </c>
      <c r="O474" s="321">
        <v>1</v>
      </c>
      <c r="P474" s="321">
        <v>2</v>
      </c>
      <c r="Q474" s="321"/>
      <c r="R474" s="321"/>
      <c r="S474" s="321" t="s">
        <v>53</v>
      </c>
      <c r="T474" s="326" t="s">
        <v>2073</v>
      </c>
      <c r="U474" s="297"/>
      <c r="V474" s="294"/>
      <c r="W474" s="297"/>
      <c r="X474" s="294"/>
      <c r="Y474" s="329"/>
      <c r="Z474" s="329"/>
      <c r="AA474" s="332">
        <f>Table1[[#This Row],[Selling USD]]-Table1[[#This Row],[Cost USD]]</f>
        <v>0</v>
      </c>
      <c r="AB474" s="335">
        <f>50*2*9</f>
        <v>900</v>
      </c>
      <c r="AC474" s="298">
        <v>918</v>
      </c>
      <c r="AD474" s="299">
        <f>Table1[[#This Row],[Selling EUR]]-Table1[[#This Row],[Cost EUR]]</f>
        <v>18</v>
      </c>
      <c r="AE474" s="321" t="s">
        <v>54</v>
      </c>
      <c r="AF474" s="294">
        <v>46056</v>
      </c>
      <c r="AG474" s="294"/>
      <c r="AH474" s="321"/>
      <c r="AI474" s="323"/>
      <c r="AJ474" s="338"/>
      <c r="AK474" s="323"/>
      <c r="AL474" s="338"/>
      <c r="AM474" s="338"/>
      <c r="AN474" s="323"/>
      <c r="AO474" s="282"/>
      <c r="AP474" s="306"/>
      <c r="AQ474" s="282"/>
      <c r="AR474" s="282"/>
      <c r="AS474" s="282"/>
      <c r="AT474" s="281"/>
      <c r="AU474" s="281"/>
      <c r="AV474" s="281"/>
      <c r="AW474" s="281"/>
      <c r="AX474" s="281"/>
      <c r="AY474" s="281"/>
      <c r="AZ474" s="281"/>
    </row>
    <row r="475" spans="1:52" ht="15" customHeight="1" x14ac:dyDescent="0.3">
      <c r="A475" s="294">
        <v>46049</v>
      </c>
      <c r="B475" s="321" t="s">
        <v>47</v>
      </c>
      <c r="C475" s="321" t="s">
        <v>47</v>
      </c>
      <c r="D475" s="294" t="s">
        <v>48</v>
      </c>
      <c r="E475" s="321" t="s">
        <v>49</v>
      </c>
      <c r="F475" s="295">
        <v>17272895</v>
      </c>
      <c r="G475" s="296"/>
      <c r="H475" s="280" t="s">
        <v>58</v>
      </c>
      <c r="I475" s="323" t="s">
        <v>115</v>
      </c>
      <c r="J475" s="323" t="s">
        <v>2618</v>
      </c>
      <c r="K475" s="294">
        <v>46081</v>
      </c>
      <c r="L475" s="294">
        <v>46102</v>
      </c>
      <c r="M475" s="284">
        <f>Table1[[#This Row],[Dep Date]]-Table1[[#This Row],[Arr Date]]</f>
        <v>21</v>
      </c>
      <c r="N475" s="323" t="s">
        <v>52</v>
      </c>
      <c r="O475" s="321">
        <v>1</v>
      </c>
      <c r="P475" s="321">
        <v>2</v>
      </c>
      <c r="Q475" s="321"/>
      <c r="R475" s="321"/>
      <c r="S475" s="321" t="s">
        <v>53</v>
      </c>
      <c r="T475" s="326" t="s">
        <v>2074</v>
      </c>
      <c r="U475" s="297"/>
      <c r="V475" s="294"/>
      <c r="W475" s="297"/>
      <c r="X475" s="294"/>
      <c r="Y475" s="329"/>
      <c r="Z475" s="329"/>
      <c r="AA475" s="332">
        <f>Table1[[#This Row],[Selling USD]]-Table1[[#This Row],[Cost USD]]</f>
        <v>0</v>
      </c>
      <c r="AB475" s="335">
        <f>30*2*1+35*2*20</f>
        <v>1460</v>
      </c>
      <c r="AC475" s="298">
        <v>1542</v>
      </c>
      <c r="AD475" s="299">
        <f>Table1[[#This Row],[Selling EUR]]-Table1[[#This Row],[Cost EUR]]</f>
        <v>82</v>
      </c>
      <c r="AE475" s="321" t="s">
        <v>54</v>
      </c>
      <c r="AF475" s="294">
        <v>46075</v>
      </c>
      <c r="AG475" s="294"/>
      <c r="AH475" s="321"/>
      <c r="AI475" s="323"/>
      <c r="AJ475" s="338"/>
      <c r="AK475" s="323"/>
      <c r="AL475" s="338"/>
      <c r="AM475" s="338"/>
      <c r="AN475" s="323"/>
      <c r="AO475" s="282"/>
      <c r="AP475" s="306"/>
      <c r="AQ475" s="282"/>
      <c r="AR475" s="282"/>
      <c r="AS475" s="282"/>
      <c r="AT475" s="281"/>
      <c r="AU475" s="281"/>
      <c r="AV475" s="281"/>
      <c r="AW475" s="281"/>
      <c r="AX475" s="281"/>
      <c r="AY475" s="281"/>
      <c r="AZ475" s="281"/>
    </row>
    <row r="476" spans="1:52" ht="15" customHeight="1" x14ac:dyDescent="0.3">
      <c r="A476" s="294">
        <v>46050</v>
      </c>
      <c r="B476" s="321" t="s">
        <v>47</v>
      </c>
      <c r="C476" s="321" t="s">
        <v>47</v>
      </c>
      <c r="D476" s="294" t="s">
        <v>48</v>
      </c>
      <c r="E476" s="321" t="s">
        <v>49</v>
      </c>
      <c r="F476" s="295">
        <v>17276245</v>
      </c>
      <c r="G476" s="296"/>
      <c r="H476" s="280" t="s">
        <v>58</v>
      </c>
      <c r="I476" s="323" t="s">
        <v>62</v>
      </c>
      <c r="J476" s="323" t="s">
        <v>146</v>
      </c>
      <c r="K476" s="294">
        <v>46098</v>
      </c>
      <c r="L476" s="294">
        <v>46105</v>
      </c>
      <c r="M476" s="284">
        <f>Table1[[#This Row],[Dep Date]]-Table1[[#This Row],[Arr Date]]</f>
        <v>7</v>
      </c>
      <c r="N476" s="323" t="s">
        <v>52</v>
      </c>
      <c r="O476" s="321">
        <v>1</v>
      </c>
      <c r="P476" s="321">
        <v>2</v>
      </c>
      <c r="Q476" s="321"/>
      <c r="R476" s="321"/>
      <c r="S476" s="321" t="s">
        <v>53</v>
      </c>
      <c r="T476" s="326" t="s">
        <v>2075</v>
      </c>
      <c r="U476" s="297"/>
      <c r="V476" s="294"/>
      <c r="W476" s="297"/>
      <c r="X476" s="294"/>
      <c r="Y476" s="329"/>
      <c r="Z476" s="329"/>
      <c r="AA476" s="332">
        <f>Table1[[#This Row],[Selling USD]]-Table1[[#This Row],[Cost USD]]</f>
        <v>0</v>
      </c>
      <c r="AB476" s="335">
        <f>50*2*7</f>
        <v>700</v>
      </c>
      <c r="AC476" s="298">
        <v>728</v>
      </c>
      <c r="AD476" s="299">
        <f>Table1[[#This Row],[Selling EUR]]-Table1[[#This Row],[Cost EUR]]</f>
        <v>28</v>
      </c>
      <c r="AE476" s="321" t="s">
        <v>54</v>
      </c>
      <c r="AF476" s="294">
        <v>46098</v>
      </c>
      <c r="AG476" s="294"/>
      <c r="AH476" s="321"/>
      <c r="AI476" s="323"/>
      <c r="AJ476" s="338"/>
      <c r="AK476" s="323"/>
      <c r="AL476" s="338"/>
      <c r="AM476" s="338"/>
      <c r="AN476" s="323"/>
      <c r="AO476" s="282"/>
      <c r="AP476" s="306"/>
      <c r="AQ476" s="282"/>
      <c r="AR476" s="282"/>
      <c r="AS476" s="282"/>
      <c r="AT476" s="281"/>
      <c r="AU476" s="281"/>
      <c r="AV476" s="281"/>
      <c r="AW476" s="281"/>
      <c r="AX476" s="281"/>
      <c r="AY476" s="281"/>
      <c r="AZ476" s="281"/>
    </row>
    <row r="477" spans="1:52" ht="15" customHeight="1" x14ac:dyDescent="0.3">
      <c r="A477" s="294">
        <v>46050</v>
      </c>
      <c r="B477" s="321" t="s">
        <v>47</v>
      </c>
      <c r="C477" s="321" t="s">
        <v>47</v>
      </c>
      <c r="D477" s="294" t="s">
        <v>48</v>
      </c>
      <c r="E477" s="321" t="s">
        <v>49</v>
      </c>
      <c r="F477" s="295">
        <v>17365548</v>
      </c>
      <c r="G477" s="296"/>
      <c r="H477" s="280" t="s">
        <v>58</v>
      </c>
      <c r="I477" s="323" t="s">
        <v>62</v>
      </c>
      <c r="J477" s="323" t="s">
        <v>146</v>
      </c>
      <c r="K477" s="294">
        <v>46119</v>
      </c>
      <c r="L477" s="294">
        <v>46126</v>
      </c>
      <c r="M477" s="284">
        <f>Table1[[#This Row],[Dep Date]]-Table1[[#This Row],[Arr Date]]</f>
        <v>7</v>
      </c>
      <c r="N477" s="323" t="s">
        <v>52</v>
      </c>
      <c r="O477" s="321">
        <v>1</v>
      </c>
      <c r="P477" s="321">
        <v>2</v>
      </c>
      <c r="Q477" s="321"/>
      <c r="R477" s="321"/>
      <c r="S477" s="321" t="s">
        <v>53</v>
      </c>
      <c r="T477" s="326" t="s">
        <v>2076</v>
      </c>
      <c r="U477" s="297"/>
      <c r="V477" s="294"/>
      <c r="W477" s="297"/>
      <c r="X477" s="294"/>
      <c r="Y477" s="329"/>
      <c r="Z477" s="329"/>
      <c r="AA477" s="332">
        <f>Table1[[#This Row],[Selling USD]]-Table1[[#This Row],[Cost USD]]</f>
        <v>0</v>
      </c>
      <c r="AB477" s="335">
        <f>59*2*2+49*2*5</f>
        <v>726</v>
      </c>
      <c r="AC477" s="298">
        <v>1016</v>
      </c>
      <c r="AD477" s="299">
        <f>Table1[[#This Row],[Selling EUR]]-Table1[[#This Row],[Cost EUR]]</f>
        <v>290</v>
      </c>
      <c r="AE477" s="321" t="s">
        <v>54</v>
      </c>
      <c r="AF477" s="294">
        <v>46113</v>
      </c>
      <c r="AG477" s="294"/>
      <c r="AH477" s="321"/>
      <c r="AI477" s="323"/>
      <c r="AJ477" s="338"/>
      <c r="AK477" s="323"/>
      <c r="AL477" s="338"/>
      <c r="AM477" s="338"/>
      <c r="AN477" s="323"/>
      <c r="AO477" s="282"/>
      <c r="AP477" s="306"/>
      <c r="AQ477" s="282"/>
      <c r="AR477" s="282"/>
      <c r="AS477" s="282"/>
      <c r="AT477" s="281"/>
      <c r="AU477" s="281"/>
      <c r="AV477" s="281"/>
      <c r="AW477" s="281"/>
      <c r="AX477" s="281"/>
      <c r="AY477" s="281"/>
      <c r="AZ477" s="281"/>
    </row>
    <row r="478" spans="1:52" ht="15" customHeight="1" x14ac:dyDescent="0.3">
      <c r="A478" s="294">
        <v>46050</v>
      </c>
      <c r="B478" s="321" t="s">
        <v>73</v>
      </c>
      <c r="C478" s="321" t="s">
        <v>73</v>
      </c>
      <c r="D478" s="294" t="s">
        <v>79</v>
      </c>
      <c r="E478" s="321" t="s">
        <v>61</v>
      </c>
      <c r="F478" s="295">
        <v>15670143</v>
      </c>
      <c r="G478" s="296">
        <v>20303711</v>
      </c>
      <c r="H478" s="280" t="s">
        <v>50</v>
      </c>
      <c r="I478" s="323" t="s">
        <v>51</v>
      </c>
      <c r="J478" s="323" t="s">
        <v>99</v>
      </c>
      <c r="K478" s="294">
        <v>46226</v>
      </c>
      <c r="L478" s="294">
        <v>46240</v>
      </c>
      <c r="M478" s="284">
        <f>Table1[[#This Row],[Dep Date]]-Table1[[#This Row],[Arr Date]]</f>
        <v>14</v>
      </c>
      <c r="N478" s="323" t="s">
        <v>65</v>
      </c>
      <c r="O478" s="321">
        <v>1</v>
      </c>
      <c r="P478" s="321">
        <v>1</v>
      </c>
      <c r="Q478" s="321">
        <v>1</v>
      </c>
      <c r="R478" s="321"/>
      <c r="S478" s="321" t="s">
        <v>53</v>
      </c>
      <c r="T478" s="326" t="s">
        <v>190</v>
      </c>
      <c r="U478" s="297"/>
      <c r="V478" s="294"/>
      <c r="W478" s="297"/>
      <c r="X478" s="294"/>
      <c r="Y478" s="329"/>
      <c r="Z478" s="329"/>
      <c r="AA478" s="332">
        <f>Table1[[#This Row],[Selling USD]]-Table1[[#This Row],[Cost USD]]</f>
        <v>0</v>
      </c>
      <c r="AB478" s="335"/>
      <c r="AC478" s="298"/>
      <c r="AD478" s="299">
        <f>Table1[[#This Row],[Selling EUR]]-Table1[[#This Row],[Cost EUR]]</f>
        <v>0</v>
      </c>
      <c r="AE478" s="321"/>
      <c r="AF478" s="294"/>
      <c r="AG478" s="294"/>
      <c r="AH478" s="321"/>
      <c r="AI478" s="323"/>
      <c r="AJ478" s="338"/>
      <c r="AK478" s="323"/>
      <c r="AL478" s="338"/>
      <c r="AM478" s="338"/>
      <c r="AN478" s="323"/>
      <c r="AO478" s="282"/>
      <c r="AP478" s="306"/>
      <c r="AQ478" s="282"/>
      <c r="AR478" s="282"/>
      <c r="AS478" s="282"/>
      <c r="AT478" s="281"/>
      <c r="AU478" s="281"/>
      <c r="AV478" s="281"/>
      <c r="AW478" s="281"/>
      <c r="AX478" s="281"/>
      <c r="AY478" s="281"/>
      <c r="AZ478" s="281"/>
    </row>
    <row r="479" spans="1:52" ht="15" customHeight="1" x14ac:dyDescent="0.3">
      <c r="A479" s="294">
        <v>46050</v>
      </c>
      <c r="B479" s="321" t="s">
        <v>73</v>
      </c>
      <c r="C479" s="321" t="s">
        <v>73</v>
      </c>
      <c r="D479" s="294" t="s">
        <v>79</v>
      </c>
      <c r="E479" s="321" t="s">
        <v>138</v>
      </c>
      <c r="F479" s="295">
        <v>15670520</v>
      </c>
      <c r="G479" s="296">
        <v>20303712</v>
      </c>
      <c r="H479" s="280" t="s">
        <v>50</v>
      </c>
      <c r="I479" s="323" t="s">
        <v>156</v>
      </c>
      <c r="J479" s="323" t="s">
        <v>2501</v>
      </c>
      <c r="K479" s="294">
        <v>46088</v>
      </c>
      <c r="L479" s="294">
        <v>46095</v>
      </c>
      <c r="M479" s="284">
        <f>Table1[[#This Row],[Dep Date]]-Table1[[#This Row],[Arr Date]]</f>
        <v>7</v>
      </c>
      <c r="N479" s="323" t="s">
        <v>52</v>
      </c>
      <c r="O479" s="321">
        <v>1</v>
      </c>
      <c r="P479" s="321">
        <v>2</v>
      </c>
      <c r="Q479" s="321">
        <v>1</v>
      </c>
      <c r="R479" s="321"/>
      <c r="S479" s="321" t="s">
        <v>53</v>
      </c>
      <c r="T479" s="326" t="s">
        <v>2077</v>
      </c>
      <c r="U479" s="297">
        <v>12</v>
      </c>
      <c r="V479" s="294"/>
      <c r="W479" s="297"/>
      <c r="X479" s="294"/>
      <c r="Y479" s="329"/>
      <c r="Z479" s="329"/>
      <c r="AA479" s="332">
        <f>Table1[[#This Row],[Selling USD]]-Table1[[#This Row],[Cost USD]]</f>
        <v>0</v>
      </c>
      <c r="AB479" s="335"/>
      <c r="AC479" s="298">
        <v>379.79999999999995</v>
      </c>
      <c r="AD479" s="299">
        <f>Table1[[#This Row],[Selling EUR]]-Table1[[#This Row],[Cost EUR]]</f>
        <v>379.79999999999995</v>
      </c>
      <c r="AE479" s="321" t="s">
        <v>54</v>
      </c>
      <c r="AF479" s="294">
        <v>46082</v>
      </c>
      <c r="AG479" s="294"/>
      <c r="AH479" s="321"/>
      <c r="AI479" s="323"/>
      <c r="AJ479" s="338"/>
      <c r="AK479" s="323"/>
      <c r="AL479" s="338"/>
      <c r="AM479" s="338"/>
      <c r="AN479" s="323"/>
      <c r="AO479" s="282"/>
      <c r="AP479" s="306"/>
      <c r="AQ479" s="282"/>
      <c r="AR479" s="282"/>
      <c r="AS479" s="282"/>
      <c r="AT479" s="281"/>
      <c r="AU479" s="281"/>
      <c r="AV479" s="281"/>
      <c r="AW479" s="281"/>
      <c r="AX479" s="281"/>
      <c r="AY479" s="281"/>
      <c r="AZ479" s="281"/>
    </row>
    <row r="480" spans="1:52" ht="15" customHeight="1" x14ac:dyDescent="0.3">
      <c r="A480" s="294">
        <v>46051</v>
      </c>
      <c r="B480" s="321" t="s">
        <v>47</v>
      </c>
      <c r="C480" s="321" t="s">
        <v>47</v>
      </c>
      <c r="D480" s="294" t="s">
        <v>48</v>
      </c>
      <c r="E480" s="321" t="s">
        <v>138</v>
      </c>
      <c r="F480" s="295">
        <v>17280442</v>
      </c>
      <c r="G480" s="296"/>
      <c r="H480" s="280" t="s">
        <v>84</v>
      </c>
      <c r="I480" s="323" t="s">
        <v>168</v>
      </c>
      <c r="J480" s="323" t="s">
        <v>191</v>
      </c>
      <c r="K480" s="294">
        <v>46074</v>
      </c>
      <c r="L480" s="294">
        <v>46081</v>
      </c>
      <c r="M480" s="284">
        <f>Table1[[#This Row],[Dep Date]]-Table1[[#This Row],[Arr Date]]</f>
        <v>7</v>
      </c>
      <c r="N480" s="323" t="s">
        <v>52</v>
      </c>
      <c r="O480" s="321">
        <v>1</v>
      </c>
      <c r="P480" s="321">
        <v>2</v>
      </c>
      <c r="Q480" s="321"/>
      <c r="R480" s="321"/>
      <c r="S480" s="321" t="s">
        <v>53</v>
      </c>
      <c r="T480" s="326" t="s">
        <v>2078</v>
      </c>
      <c r="U480" s="297"/>
      <c r="V480" s="294"/>
      <c r="W480" s="297"/>
      <c r="X480" s="294"/>
      <c r="Y480" s="329"/>
      <c r="Z480" s="329"/>
      <c r="AA480" s="332">
        <f>Table1[[#This Row],[Selling USD]]-Table1[[#This Row],[Cost USD]]</f>
        <v>0</v>
      </c>
      <c r="AB480" s="335">
        <f>45*2*7</f>
        <v>630</v>
      </c>
      <c r="AC480" s="298">
        <v>644</v>
      </c>
      <c r="AD480" s="299">
        <f>Table1[[#This Row],[Selling EUR]]-Table1[[#This Row],[Cost EUR]]</f>
        <v>14</v>
      </c>
      <c r="AE480" s="321" t="s">
        <v>54</v>
      </c>
      <c r="AF480" s="294">
        <v>46068</v>
      </c>
      <c r="AG480" s="294"/>
      <c r="AH480" s="321"/>
      <c r="AI480" s="323"/>
      <c r="AJ480" s="338"/>
      <c r="AK480" s="323"/>
      <c r="AL480" s="338"/>
      <c r="AM480" s="338"/>
      <c r="AN480" s="323"/>
      <c r="AO480" s="282"/>
      <c r="AP480" s="306"/>
      <c r="AQ480" s="282"/>
      <c r="AR480" s="282"/>
      <c r="AS480" s="282"/>
      <c r="AT480" s="281"/>
      <c r="AU480" s="281"/>
      <c r="AV480" s="281"/>
      <c r="AW480" s="281"/>
      <c r="AX480" s="281"/>
      <c r="AY480" s="281"/>
      <c r="AZ480" s="281"/>
    </row>
    <row r="481" spans="1:52" ht="15" customHeight="1" x14ac:dyDescent="0.3">
      <c r="A481" s="294">
        <v>46051</v>
      </c>
      <c r="B481" s="321" t="s">
        <v>47</v>
      </c>
      <c r="C481" s="321" t="s">
        <v>47</v>
      </c>
      <c r="D481" s="294" t="s">
        <v>79</v>
      </c>
      <c r="E481" s="321" t="s">
        <v>138</v>
      </c>
      <c r="F481" s="295">
        <v>15688356</v>
      </c>
      <c r="G481" s="296">
        <v>20303713</v>
      </c>
      <c r="H481" s="280" t="s">
        <v>84</v>
      </c>
      <c r="I481" s="323" t="s">
        <v>123</v>
      </c>
      <c r="J481" s="323" t="s">
        <v>2501</v>
      </c>
      <c r="K481" s="294">
        <v>46089</v>
      </c>
      <c r="L481" s="294">
        <v>46096</v>
      </c>
      <c r="M481" s="284">
        <f>Table1[[#This Row],[Dep Date]]-Table1[[#This Row],[Arr Date]]</f>
        <v>7</v>
      </c>
      <c r="N481" s="323" t="s">
        <v>52</v>
      </c>
      <c r="O481" s="321">
        <v>1</v>
      </c>
      <c r="P481" s="321">
        <v>2</v>
      </c>
      <c r="Q481" s="321">
        <v>1</v>
      </c>
      <c r="R481" s="321"/>
      <c r="S481" s="321" t="s">
        <v>53</v>
      </c>
      <c r="T481" s="326" t="s">
        <v>2079</v>
      </c>
      <c r="U481" s="297"/>
      <c r="V481" s="294"/>
      <c r="W481" s="297"/>
      <c r="X481" s="294"/>
      <c r="Y481" s="329"/>
      <c r="Z481" s="329"/>
      <c r="AA481" s="332">
        <f>Table1[[#This Row],[Selling USD]]-Table1[[#This Row],[Cost USD]]</f>
        <v>0</v>
      </c>
      <c r="AB481" s="335">
        <f>71*2*7</f>
        <v>994</v>
      </c>
      <c r="AC481" s="298">
        <v>1008</v>
      </c>
      <c r="AD481" s="299">
        <f>Table1[[#This Row],[Selling EUR]]-Table1[[#This Row],[Cost EUR]]</f>
        <v>14</v>
      </c>
      <c r="AE481" s="321" t="s">
        <v>54</v>
      </c>
      <c r="AF481" s="294">
        <v>46082</v>
      </c>
      <c r="AG481" s="294"/>
      <c r="AH481" s="321"/>
      <c r="AI481" s="323"/>
      <c r="AJ481" s="338"/>
      <c r="AK481" s="323"/>
      <c r="AL481" s="338"/>
      <c r="AM481" s="338"/>
      <c r="AN481" s="323"/>
      <c r="AO481" s="282"/>
      <c r="AP481" s="306"/>
      <c r="AQ481" s="282"/>
      <c r="AR481" s="282"/>
      <c r="AS481" s="282"/>
      <c r="AT481" s="281"/>
      <c r="AU481" s="281"/>
      <c r="AV481" s="281"/>
      <c r="AW481" s="281"/>
      <c r="AX481" s="281"/>
      <c r="AY481" s="281"/>
      <c r="AZ481" s="281"/>
    </row>
    <row r="482" spans="1:52" ht="15" customHeight="1" x14ac:dyDescent="0.3">
      <c r="A482" s="294">
        <v>46051</v>
      </c>
      <c r="B482" s="321" t="s">
        <v>47</v>
      </c>
      <c r="C482" s="321" t="s">
        <v>47</v>
      </c>
      <c r="D482" s="294" t="s">
        <v>48</v>
      </c>
      <c r="E482" s="321" t="s">
        <v>138</v>
      </c>
      <c r="F482" s="295">
        <v>17281001</v>
      </c>
      <c r="G482" s="296"/>
      <c r="H482" s="280" t="s">
        <v>84</v>
      </c>
      <c r="I482" s="323" t="s">
        <v>168</v>
      </c>
      <c r="J482" s="323" t="s">
        <v>2593</v>
      </c>
      <c r="K482" s="294">
        <v>46096</v>
      </c>
      <c r="L482" s="294">
        <v>46103</v>
      </c>
      <c r="M482" s="284">
        <f>Table1[[#This Row],[Dep Date]]-Table1[[#This Row],[Arr Date]]</f>
        <v>7</v>
      </c>
      <c r="N482" s="323" t="s">
        <v>52</v>
      </c>
      <c r="O482" s="321">
        <v>1</v>
      </c>
      <c r="P482" s="321">
        <v>2</v>
      </c>
      <c r="Q482" s="321">
        <v>1</v>
      </c>
      <c r="R482" s="321"/>
      <c r="S482" s="321" t="s">
        <v>53</v>
      </c>
      <c r="T482" s="326" t="s">
        <v>2080</v>
      </c>
      <c r="U482" s="297" t="s">
        <v>2285</v>
      </c>
      <c r="V482" s="294"/>
      <c r="W482" s="297"/>
      <c r="X482" s="294"/>
      <c r="Y482" s="329"/>
      <c r="Z482" s="329"/>
      <c r="AA482" s="332">
        <f>Table1[[#This Row],[Selling USD]]-Table1[[#This Row],[Cost USD]]</f>
        <v>0</v>
      </c>
      <c r="AB482" s="335">
        <f>55*2*7</f>
        <v>770</v>
      </c>
      <c r="AC482" s="298">
        <v>798</v>
      </c>
      <c r="AD482" s="299">
        <f>Table1[[#This Row],[Selling EUR]]-Table1[[#This Row],[Cost EUR]]</f>
        <v>28</v>
      </c>
      <c r="AE482" s="321" t="s">
        <v>54</v>
      </c>
      <c r="AF482" s="294">
        <v>46089</v>
      </c>
      <c r="AG482" s="294"/>
      <c r="AH482" s="321"/>
      <c r="AI482" s="323"/>
      <c r="AJ482" s="338"/>
      <c r="AK482" s="323"/>
      <c r="AL482" s="338"/>
      <c r="AM482" s="338"/>
      <c r="AN482" s="323"/>
      <c r="AO482" s="282"/>
      <c r="AP482" s="306"/>
      <c r="AQ482" s="282"/>
      <c r="AR482" s="282"/>
      <c r="AS482" s="282"/>
      <c r="AT482" s="281"/>
      <c r="AU482" s="281"/>
      <c r="AV482" s="281"/>
      <c r="AW482" s="281"/>
      <c r="AX482" s="281"/>
      <c r="AY482" s="281"/>
      <c r="AZ482" s="281"/>
    </row>
    <row r="483" spans="1:52" ht="15" customHeight="1" x14ac:dyDescent="0.3">
      <c r="A483" s="294">
        <v>46051</v>
      </c>
      <c r="B483" s="321" t="s">
        <v>73</v>
      </c>
      <c r="C483" s="321" t="s">
        <v>73</v>
      </c>
      <c r="D483" s="294" t="s">
        <v>48</v>
      </c>
      <c r="E483" s="321" t="s">
        <v>49</v>
      </c>
      <c r="F483" s="295">
        <v>17281613</v>
      </c>
      <c r="G483" s="296"/>
      <c r="H483" s="280" t="s">
        <v>58</v>
      </c>
      <c r="I483" s="323" t="s">
        <v>62</v>
      </c>
      <c r="J483" s="323" t="s">
        <v>146</v>
      </c>
      <c r="K483" s="294">
        <v>46145.041666666599</v>
      </c>
      <c r="L483" s="294">
        <v>46152.041666666599</v>
      </c>
      <c r="M483" s="284">
        <f>Table1[[#This Row],[Dep Date]]-Table1[[#This Row],[Arr Date]]</f>
        <v>7</v>
      </c>
      <c r="N483" s="323" t="s">
        <v>52</v>
      </c>
      <c r="O483" s="321">
        <v>1</v>
      </c>
      <c r="P483" s="321">
        <v>2</v>
      </c>
      <c r="Q483" s="321"/>
      <c r="R483" s="321"/>
      <c r="S483" s="321" t="s">
        <v>53</v>
      </c>
      <c r="T483" s="326" t="s">
        <v>2081</v>
      </c>
      <c r="U483" s="297"/>
      <c r="V483" s="294"/>
      <c r="W483" s="297"/>
      <c r="X483" s="294"/>
      <c r="Y483" s="329"/>
      <c r="Z483" s="329"/>
      <c r="AA483" s="332">
        <f>Table1[[#This Row],[Selling USD]]-Table1[[#This Row],[Cost USD]]</f>
        <v>0</v>
      </c>
      <c r="AB483" s="335"/>
      <c r="AC483" s="298"/>
      <c r="AD483" s="299">
        <f>Table1[[#This Row],[Selling EUR]]-Table1[[#This Row],[Cost EUR]]</f>
        <v>0</v>
      </c>
      <c r="AE483" s="321"/>
      <c r="AF483" s="294"/>
      <c r="AG483" s="294"/>
      <c r="AH483" s="321"/>
      <c r="AI483" s="323"/>
      <c r="AJ483" s="338"/>
      <c r="AK483" s="323"/>
      <c r="AL483" s="338"/>
      <c r="AM483" s="338"/>
      <c r="AN483" s="323"/>
      <c r="AO483" s="282"/>
      <c r="AP483" s="306"/>
      <c r="AQ483" s="282"/>
      <c r="AR483" s="282"/>
      <c r="AS483" s="282"/>
      <c r="AT483" s="281"/>
      <c r="AU483" s="281"/>
      <c r="AV483" s="281"/>
      <c r="AW483" s="281"/>
      <c r="AX483" s="281"/>
      <c r="AY483" s="281"/>
      <c r="AZ483" s="281"/>
    </row>
    <row r="484" spans="1:52" ht="15" customHeight="1" x14ac:dyDescent="0.3">
      <c r="A484" s="294">
        <v>46051</v>
      </c>
      <c r="B484" s="321" t="s">
        <v>73</v>
      </c>
      <c r="C484" s="321" t="s">
        <v>73</v>
      </c>
      <c r="D484" s="294" t="s">
        <v>48</v>
      </c>
      <c r="E484" s="321" t="s">
        <v>49</v>
      </c>
      <c r="F484" s="295">
        <v>17281614</v>
      </c>
      <c r="G484" s="296"/>
      <c r="H484" s="280" t="s">
        <v>58</v>
      </c>
      <c r="I484" s="323" t="s">
        <v>62</v>
      </c>
      <c r="J484" s="323" t="s">
        <v>146</v>
      </c>
      <c r="K484" s="294">
        <v>46145.041666666599</v>
      </c>
      <c r="L484" s="294">
        <v>46152.041666666599</v>
      </c>
      <c r="M484" s="284">
        <f>Table1[[#This Row],[Dep Date]]-Table1[[#This Row],[Arr Date]]</f>
        <v>7</v>
      </c>
      <c r="N484" s="323" t="s">
        <v>52</v>
      </c>
      <c r="O484" s="321">
        <v>1</v>
      </c>
      <c r="P484" s="321">
        <v>2</v>
      </c>
      <c r="Q484" s="321"/>
      <c r="R484" s="321"/>
      <c r="S484" s="321" t="s">
        <v>53</v>
      </c>
      <c r="T484" s="326" t="s">
        <v>2082</v>
      </c>
      <c r="U484" s="297"/>
      <c r="V484" s="294"/>
      <c r="W484" s="297"/>
      <c r="X484" s="294"/>
      <c r="Y484" s="329"/>
      <c r="Z484" s="329"/>
      <c r="AA484" s="332">
        <f>Table1[[#This Row],[Selling USD]]-Table1[[#This Row],[Cost USD]]</f>
        <v>0</v>
      </c>
      <c r="AB484" s="335"/>
      <c r="AC484" s="298"/>
      <c r="AD484" s="299">
        <f>Table1[[#This Row],[Selling EUR]]-Table1[[#This Row],[Cost EUR]]</f>
        <v>0</v>
      </c>
      <c r="AE484" s="321"/>
      <c r="AF484" s="294"/>
      <c r="AG484" s="294"/>
      <c r="AH484" s="321"/>
      <c r="AI484" s="323"/>
      <c r="AJ484" s="338"/>
      <c r="AK484" s="323"/>
      <c r="AL484" s="338"/>
      <c r="AM484" s="338"/>
      <c r="AN484" s="323"/>
      <c r="AO484" s="282"/>
      <c r="AP484" s="306"/>
      <c r="AQ484" s="282"/>
      <c r="AR484" s="282"/>
      <c r="AS484" s="282"/>
      <c r="AT484" s="281"/>
      <c r="AU484" s="281"/>
      <c r="AV484" s="281"/>
      <c r="AW484" s="281"/>
      <c r="AX484" s="281"/>
      <c r="AY484" s="281"/>
      <c r="AZ484" s="281"/>
    </row>
    <row r="485" spans="1:52" ht="15" customHeight="1" x14ac:dyDescent="0.3">
      <c r="A485" s="294">
        <v>46051</v>
      </c>
      <c r="B485" s="321" t="s">
        <v>47</v>
      </c>
      <c r="C485" s="321" t="s">
        <v>47</v>
      </c>
      <c r="D485" s="294" t="s">
        <v>48</v>
      </c>
      <c r="E485" s="321" t="s">
        <v>49</v>
      </c>
      <c r="F485" s="295">
        <v>17282258</v>
      </c>
      <c r="G485" s="296"/>
      <c r="H485" s="280" t="s">
        <v>84</v>
      </c>
      <c r="I485" s="323" t="s">
        <v>168</v>
      </c>
      <c r="J485" s="323" t="s">
        <v>2593</v>
      </c>
      <c r="K485" s="294">
        <v>46093</v>
      </c>
      <c r="L485" s="294">
        <v>46102</v>
      </c>
      <c r="M485" s="284">
        <f>Table1[[#This Row],[Dep Date]]-Table1[[#This Row],[Arr Date]]</f>
        <v>9</v>
      </c>
      <c r="N485" s="323" t="s">
        <v>52</v>
      </c>
      <c r="O485" s="321">
        <v>3</v>
      </c>
      <c r="P485" s="321">
        <v>6</v>
      </c>
      <c r="Q485" s="321">
        <v>3</v>
      </c>
      <c r="R485" s="321"/>
      <c r="S485" s="321" t="s">
        <v>53</v>
      </c>
      <c r="T485" s="326" t="s">
        <v>2083</v>
      </c>
      <c r="U485" s="297"/>
      <c r="V485" s="294"/>
      <c r="W485" s="297"/>
      <c r="X485" s="294"/>
      <c r="Y485" s="329"/>
      <c r="Z485" s="329"/>
      <c r="AA485" s="332">
        <f>Table1[[#This Row],[Selling USD]]-Table1[[#This Row],[Cost USD]]</f>
        <v>0</v>
      </c>
      <c r="AB485" s="335">
        <f>+(55*2*9)*3</f>
        <v>2970</v>
      </c>
      <c r="AC485" s="298">
        <v>3078</v>
      </c>
      <c r="AD485" s="299">
        <f>Table1[[#This Row],[Selling EUR]]-Table1[[#This Row],[Cost EUR]]</f>
        <v>108</v>
      </c>
      <c r="AE485" s="321" t="s">
        <v>54</v>
      </c>
      <c r="AF485" s="294">
        <v>46086</v>
      </c>
      <c r="AG485" s="294"/>
      <c r="AH485" s="321"/>
      <c r="AI485" s="323"/>
      <c r="AJ485" s="338"/>
      <c r="AK485" s="323"/>
      <c r="AL485" s="338"/>
      <c r="AM485" s="338"/>
      <c r="AN485" s="323"/>
      <c r="AO485" s="282"/>
      <c r="AP485" s="306"/>
      <c r="AQ485" s="282"/>
      <c r="AR485" s="282"/>
      <c r="AS485" s="282"/>
      <c r="AT485" s="281"/>
      <c r="AU485" s="281"/>
      <c r="AV485" s="281"/>
      <c r="AW485" s="281"/>
      <c r="AX485" s="281"/>
      <c r="AY485" s="281"/>
      <c r="AZ485" s="281"/>
    </row>
    <row r="486" spans="1:52" ht="15" customHeight="1" x14ac:dyDescent="0.3">
      <c r="A486" s="294">
        <v>46051</v>
      </c>
      <c r="B486" s="321" t="s">
        <v>47</v>
      </c>
      <c r="C486" s="321" t="s">
        <v>47</v>
      </c>
      <c r="D486" s="294" t="s">
        <v>48</v>
      </c>
      <c r="E486" s="321" t="s">
        <v>49</v>
      </c>
      <c r="F486" s="295">
        <v>17282449</v>
      </c>
      <c r="G486" s="296"/>
      <c r="H486" s="280" t="s">
        <v>84</v>
      </c>
      <c r="I486" s="323" t="s">
        <v>168</v>
      </c>
      <c r="J486" s="323" t="s">
        <v>2593</v>
      </c>
      <c r="K486" s="294">
        <v>46093</v>
      </c>
      <c r="L486" s="294">
        <v>46102</v>
      </c>
      <c r="M486" s="284">
        <f>Table1[[#This Row],[Dep Date]]-Table1[[#This Row],[Arr Date]]</f>
        <v>9</v>
      </c>
      <c r="N486" s="323" t="s">
        <v>52</v>
      </c>
      <c r="O486" s="321">
        <v>1</v>
      </c>
      <c r="P486" s="321">
        <v>2</v>
      </c>
      <c r="Q486" s="321"/>
      <c r="R486" s="321"/>
      <c r="S486" s="321" t="s">
        <v>53</v>
      </c>
      <c r="T486" s="326" t="s">
        <v>2084</v>
      </c>
      <c r="U486" s="297"/>
      <c r="V486" s="294"/>
      <c r="W486" s="297"/>
      <c r="X486" s="294"/>
      <c r="Y486" s="329"/>
      <c r="Z486" s="329"/>
      <c r="AA486" s="332">
        <f>Table1[[#This Row],[Selling USD]]-Table1[[#This Row],[Cost USD]]</f>
        <v>0</v>
      </c>
      <c r="AB486" s="335">
        <f>55*2*9</f>
        <v>990</v>
      </c>
      <c r="AC486" s="298">
        <v>1026</v>
      </c>
      <c r="AD486" s="299">
        <f>Table1[[#This Row],[Selling EUR]]-Table1[[#This Row],[Cost EUR]]</f>
        <v>36</v>
      </c>
      <c r="AE486" s="321" t="s">
        <v>54</v>
      </c>
      <c r="AF486" s="294">
        <v>46086</v>
      </c>
      <c r="AG486" s="294"/>
      <c r="AH486" s="321"/>
      <c r="AI486" s="323"/>
      <c r="AJ486" s="338"/>
      <c r="AK486" s="323"/>
      <c r="AL486" s="338"/>
      <c r="AM486" s="338"/>
      <c r="AN486" s="323"/>
      <c r="AO486" s="282"/>
      <c r="AP486" s="306"/>
      <c r="AQ486" s="282"/>
      <c r="AR486" s="282"/>
      <c r="AS486" s="282"/>
      <c r="AT486" s="281"/>
      <c r="AU486" s="281"/>
      <c r="AV486" s="281"/>
      <c r="AW486" s="281"/>
      <c r="AX486" s="281"/>
      <c r="AY486" s="281"/>
      <c r="AZ486" s="281"/>
    </row>
    <row r="487" spans="1:52" ht="15" customHeight="1" x14ac:dyDescent="0.3">
      <c r="A487" s="294">
        <v>46051</v>
      </c>
      <c r="B487" s="321" t="s">
        <v>47</v>
      </c>
      <c r="C487" s="321" t="s">
        <v>47</v>
      </c>
      <c r="D487" s="294" t="s">
        <v>48</v>
      </c>
      <c r="E487" s="321" t="s">
        <v>61</v>
      </c>
      <c r="F487" s="295">
        <v>17283819</v>
      </c>
      <c r="G487" s="296"/>
      <c r="H487" s="280" t="s">
        <v>84</v>
      </c>
      <c r="I487" s="323" t="s">
        <v>192</v>
      </c>
      <c r="J487" s="323" t="s">
        <v>1402</v>
      </c>
      <c r="K487" s="294">
        <v>46072</v>
      </c>
      <c r="L487" s="294">
        <v>46079</v>
      </c>
      <c r="M487" s="284">
        <f>Table1[[#This Row],[Dep Date]]-Table1[[#This Row],[Arr Date]]</f>
        <v>7</v>
      </c>
      <c r="N487" s="323" t="s">
        <v>52</v>
      </c>
      <c r="O487" s="321">
        <v>1</v>
      </c>
      <c r="P487" s="321">
        <v>2</v>
      </c>
      <c r="Q487" s="321"/>
      <c r="R487" s="321"/>
      <c r="S487" s="321" t="s">
        <v>53</v>
      </c>
      <c r="T487" s="326" t="s">
        <v>2085</v>
      </c>
      <c r="U487" s="297"/>
      <c r="V487" s="294"/>
      <c r="W487" s="297"/>
      <c r="X487" s="294"/>
      <c r="Y487" s="329">
        <f>45*2*7</f>
        <v>630</v>
      </c>
      <c r="Z487" s="329">
        <v>644</v>
      </c>
      <c r="AA487" s="332">
        <f>Table1[[#This Row],[Selling USD]]-Table1[[#This Row],[Cost USD]]</f>
        <v>14</v>
      </c>
      <c r="AB487" s="335"/>
      <c r="AC487" s="298"/>
      <c r="AD487" s="299">
        <f>Table1[[#This Row],[Selling EUR]]-Table1[[#This Row],[Cost EUR]]</f>
        <v>0</v>
      </c>
      <c r="AE487" s="321" t="s">
        <v>54</v>
      </c>
      <c r="AF487" s="294">
        <v>46056</v>
      </c>
      <c r="AG487" s="294"/>
      <c r="AH487" s="321"/>
      <c r="AI487" s="323"/>
      <c r="AJ487" s="338"/>
      <c r="AK487" s="323"/>
      <c r="AL487" s="338"/>
      <c r="AM487" s="338"/>
      <c r="AN487" s="323"/>
      <c r="AO487" s="282"/>
      <c r="AP487" s="306"/>
      <c r="AQ487" s="282"/>
      <c r="AR487" s="282"/>
      <c r="AS487" s="282"/>
      <c r="AT487" s="281"/>
      <c r="AU487" s="281"/>
      <c r="AV487" s="281"/>
      <c r="AW487" s="281"/>
      <c r="AX487" s="281"/>
      <c r="AY487" s="281"/>
      <c r="AZ487" s="281"/>
    </row>
    <row r="488" spans="1:52" ht="15" customHeight="1" x14ac:dyDescent="0.3">
      <c r="A488" s="294">
        <v>46052</v>
      </c>
      <c r="B488" s="321" t="s">
        <v>47</v>
      </c>
      <c r="C488" s="321" t="s">
        <v>47</v>
      </c>
      <c r="D488" s="294" t="s">
        <v>48</v>
      </c>
      <c r="E488" s="321" t="s">
        <v>49</v>
      </c>
      <c r="F488" s="295">
        <v>17284801</v>
      </c>
      <c r="G488" s="296"/>
      <c r="H488" s="280" t="s">
        <v>84</v>
      </c>
      <c r="I488" s="323" t="s">
        <v>168</v>
      </c>
      <c r="J488" s="323" t="s">
        <v>2593</v>
      </c>
      <c r="K488" s="294">
        <v>46103</v>
      </c>
      <c r="L488" s="294">
        <v>46110</v>
      </c>
      <c r="M488" s="284">
        <f>Table1[[#This Row],[Dep Date]]-Table1[[#This Row],[Arr Date]]</f>
        <v>7</v>
      </c>
      <c r="N488" s="323" t="s">
        <v>52</v>
      </c>
      <c r="O488" s="321">
        <v>1</v>
      </c>
      <c r="P488" s="321">
        <v>2</v>
      </c>
      <c r="Q488" s="321"/>
      <c r="R488" s="321"/>
      <c r="S488" s="321" t="s">
        <v>53</v>
      </c>
      <c r="T488" s="326" t="s">
        <v>2086</v>
      </c>
      <c r="U488" s="297"/>
      <c r="V488" s="294"/>
      <c r="W488" s="297"/>
      <c r="X488" s="294"/>
      <c r="Y488" s="329"/>
      <c r="Z488" s="329"/>
      <c r="AA488" s="332">
        <f>Table1[[#This Row],[Selling USD]]-Table1[[#This Row],[Cost USD]]</f>
        <v>0</v>
      </c>
      <c r="AB488" s="335">
        <f>55*2*7</f>
        <v>770</v>
      </c>
      <c r="AC488" s="298">
        <v>798</v>
      </c>
      <c r="AD488" s="299">
        <f>Table1[[#This Row],[Selling EUR]]-Table1[[#This Row],[Cost EUR]]</f>
        <v>28</v>
      </c>
      <c r="AE488" s="321" t="s">
        <v>54</v>
      </c>
      <c r="AF488" s="294">
        <v>46096</v>
      </c>
      <c r="AG488" s="294"/>
      <c r="AH488" s="321"/>
      <c r="AI488" s="323"/>
      <c r="AJ488" s="338"/>
      <c r="AK488" s="323"/>
      <c r="AL488" s="338"/>
      <c r="AM488" s="338"/>
      <c r="AN488" s="323"/>
      <c r="AO488" s="282"/>
      <c r="AP488" s="306"/>
      <c r="AQ488" s="282"/>
      <c r="AR488" s="282"/>
      <c r="AS488" s="282"/>
      <c r="AT488" s="281"/>
      <c r="AU488" s="281"/>
      <c r="AV488" s="281"/>
      <c r="AW488" s="281"/>
      <c r="AX488" s="281"/>
      <c r="AY488" s="281"/>
      <c r="AZ488" s="281"/>
    </row>
    <row r="489" spans="1:52" ht="15" customHeight="1" x14ac:dyDescent="0.3">
      <c r="A489" s="294">
        <v>46052</v>
      </c>
      <c r="B489" s="321" t="s">
        <v>47</v>
      </c>
      <c r="C489" s="321" t="s">
        <v>47</v>
      </c>
      <c r="D489" s="294" t="s">
        <v>79</v>
      </c>
      <c r="E489" s="321" t="s">
        <v>106</v>
      </c>
      <c r="F489" s="295">
        <v>15711586</v>
      </c>
      <c r="G489" s="296">
        <v>20303714</v>
      </c>
      <c r="H489" s="280" t="s">
        <v>84</v>
      </c>
      <c r="I489" s="323" t="s">
        <v>193</v>
      </c>
      <c r="J489" s="323" t="s">
        <v>2473</v>
      </c>
      <c r="K489" s="294">
        <v>46110</v>
      </c>
      <c r="L489" s="294">
        <v>46117</v>
      </c>
      <c r="M489" s="284">
        <f>Table1[[#This Row],[Dep Date]]-Table1[[#This Row],[Arr Date]]</f>
        <v>7</v>
      </c>
      <c r="N489" s="323" t="s">
        <v>52</v>
      </c>
      <c r="O489" s="321">
        <v>1</v>
      </c>
      <c r="P489" s="321">
        <v>2</v>
      </c>
      <c r="Q489" s="321">
        <v>1</v>
      </c>
      <c r="R489" s="321"/>
      <c r="S489" s="321" t="s">
        <v>53</v>
      </c>
      <c r="T489" s="326" t="s">
        <v>2087</v>
      </c>
      <c r="U489" s="297">
        <v>12</v>
      </c>
      <c r="V489" s="294"/>
      <c r="W489" s="297"/>
      <c r="X489" s="294"/>
      <c r="Y489" s="329">
        <f>70*2*3+80*2*4</f>
        <v>1060</v>
      </c>
      <c r="Z489" s="329">
        <v>1074</v>
      </c>
      <c r="AA489" s="332">
        <f>Table1[[#This Row],[Selling USD]]-Table1[[#This Row],[Cost USD]]</f>
        <v>14</v>
      </c>
      <c r="AB489" s="335"/>
      <c r="AC489" s="298"/>
      <c r="AD489" s="299">
        <f>Table1[[#This Row],[Selling EUR]]-Table1[[#This Row],[Cost EUR]]</f>
        <v>0</v>
      </c>
      <c r="AE489" s="321" t="s">
        <v>54</v>
      </c>
      <c r="AF489" s="294">
        <v>46104</v>
      </c>
      <c r="AG489" s="294"/>
      <c r="AH489" s="321"/>
      <c r="AI489" s="323"/>
      <c r="AJ489" s="338"/>
      <c r="AK489" s="323"/>
      <c r="AL489" s="338"/>
      <c r="AM489" s="338"/>
      <c r="AN489" s="323"/>
      <c r="AO489" s="282"/>
      <c r="AP489" s="306"/>
      <c r="AQ489" s="282"/>
      <c r="AR489" s="282"/>
      <c r="AS489" s="282"/>
      <c r="AT489" s="281"/>
      <c r="AU489" s="281"/>
      <c r="AV489" s="281"/>
      <c r="AW489" s="281"/>
      <c r="AX489" s="281"/>
      <c r="AY489" s="281"/>
      <c r="AZ489" s="281"/>
    </row>
    <row r="490" spans="1:52" ht="15" customHeight="1" x14ac:dyDescent="0.3">
      <c r="A490" s="294">
        <v>46052</v>
      </c>
      <c r="B490" s="321" t="s">
        <v>47</v>
      </c>
      <c r="C490" s="321" t="s">
        <v>47</v>
      </c>
      <c r="D490" s="294" t="s">
        <v>79</v>
      </c>
      <c r="E490" s="321" t="s">
        <v>49</v>
      </c>
      <c r="F490" s="295">
        <v>15714738</v>
      </c>
      <c r="G490" s="296">
        <v>20303715</v>
      </c>
      <c r="H490" s="280" t="s">
        <v>50</v>
      </c>
      <c r="I490" s="323" t="s">
        <v>125</v>
      </c>
      <c r="J490" s="323" t="s">
        <v>2516</v>
      </c>
      <c r="K490" s="294">
        <v>46097</v>
      </c>
      <c r="L490" s="294">
        <v>46109</v>
      </c>
      <c r="M490" s="284">
        <f>Table1[[#This Row],[Dep Date]]-Table1[[#This Row],[Arr Date]]</f>
        <v>12</v>
      </c>
      <c r="N490" s="323" t="s">
        <v>65</v>
      </c>
      <c r="O490" s="321">
        <v>1</v>
      </c>
      <c r="P490" s="321">
        <v>1</v>
      </c>
      <c r="Q490" s="321"/>
      <c r="R490" s="321"/>
      <c r="S490" s="321" t="s">
        <v>53</v>
      </c>
      <c r="T490" s="326" t="s">
        <v>2088</v>
      </c>
      <c r="U490" s="297"/>
      <c r="V490" s="294"/>
      <c r="W490" s="297"/>
      <c r="X490" s="294"/>
      <c r="Y490" s="329"/>
      <c r="Z490" s="329"/>
      <c r="AA490" s="332">
        <f>Table1[[#This Row],[Selling USD]]-Table1[[#This Row],[Cost USD]]</f>
        <v>0</v>
      </c>
      <c r="AB490" s="335">
        <f>46*12</f>
        <v>552</v>
      </c>
      <c r="AC490" s="298">
        <v>564</v>
      </c>
      <c r="AD490" s="299">
        <f>Table1[[#This Row],[Selling EUR]]-Table1[[#This Row],[Cost EUR]]</f>
        <v>12</v>
      </c>
      <c r="AE490" s="321" t="s">
        <v>54</v>
      </c>
      <c r="AF490" s="294">
        <v>46093</v>
      </c>
      <c r="AG490" s="294"/>
      <c r="AH490" s="321"/>
      <c r="AI490" s="323"/>
      <c r="AJ490" s="338"/>
      <c r="AK490" s="323"/>
      <c r="AL490" s="338"/>
      <c r="AM490" s="338"/>
      <c r="AN490" s="323"/>
      <c r="AO490" s="282"/>
      <c r="AP490" s="306"/>
      <c r="AQ490" s="282"/>
      <c r="AR490" s="282"/>
      <c r="AS490" s="282"/>
      <c r="AT490" s="281"/>
      <c r="AU490" s="281"/>
      <c r="AV490" s="281"/>
      <c r="AW490" s="281"/>
      <c r="AX490" s="281"/>
      <c r="AY490" s="281"/>
      <c r="AZ490" s="281"/>
    </row>
    <row r="491" spans="1:52" ht="15" customHeight="1" x14ac:dyDescent="0.3">
      <c r="A491" s="294">
        <v>46029</v>
      </c>
      <c r="B491" s="321" t="s">
        <v>47</v>
      </c>
      <c r="C491" s="321" t="s">
        <v>47</v>
      </c>
      <c r="D491" s="294" t="s">
        <v>48</v>
      </c>
      <c r="E491" s="321" t="s">
        <v>49</v>
      </c>
      <c r="F491" s="295">
        <v>17206677</v>
      </c>
      <c r="G491" s="296" t="s">
        <v>1614</v>
      </c>
      <c r="H491" s="280" t="s">
        <v>50</v>
      </c>
      <c r="I491" s="323" t="s">
        <v>96</v>
      </c>
      <c r="J491" s="323" t="s">
        <v>1540</v>
      </c>
      <c r="K491" s="294">
        <v>46117</v>
      </c>
      <c r="L491" s="294">
        <v>46124</v>
      </c>
      <c r="M491" s="284">
        <f>Table1[[#This Row],[Dep Date]]-Table1[[#This Row],[Arr Date]]</f>
        <v>7</v>
      </c>
      <c r="N491" s="323" t="s">
        <v>1618</v>
      </c>
      <c r="O491" s="321">
        <v>2</v>
      </c>
      <c r="P491" s="321">
        <v>3</v>
      </c>
      <c r="Q491" s="321"/>
      <c r="R491" s="321"/>
      <c r="S491" s="321" t="s">
        <v>53</v>
      </c>
      <c r="T491" s="326" t="s">
        <v>2089</v>
      </c>
      <c r="U491" s="297"/>
      <c r="V491" s="294"/>
      <c r="W491" s="297"/>
      <c r="X491" s="294"/>
      <c r="Y491" s="329"/>
      <c r="Z491" s="329"/>
      <c r="AA491" s="332">
        <f>Table1[[#This Row],[Selling USD]]-Table1[[#This Row],[Cost USD]]</f>
        <v>0</v>
      </c>
      <c r="AB491" s="335">
        <f>85*2*4*0.76+75*2*3*0.8+144.5*4*0.76+127.5*3*0.8</f>
        <v>1622.08</v>
      </c>
      <c r="AC491" s="298">
        <v>2077.92</v>
      </c>
      <c r="AD491" s="299">
        <f>Table1[[#This Row],[Selling EUR]]-Table1[[#This Row],[Cost EUR]]</f>
        <v>455.84000000000015</v>
      </c>
      <c r="AE491" s="321" t="s">
        <v>54</v>
      </c>
      <c r="AF491" s="294">
        <v>46107</v>
      </c>
      <c r="AG491" s="294"/>
      <c r="AH491" s="321"/>
      <c r="AI491" s="323"/>
      <c r="AJ491" s="338"/>
      <c r="AK491" s="323"/>
      <c r="AL491" s="338"/>
      <c r="AM491" s="338"/>
      <c r="AN491" s="323"/>
      <c r="AO491" s="282"/>
      <c r="AP491" s="306"/>
      <c r="AQ491" s="282"/>
      <c r="AR491" s="282"/>
      <c r="AS491" s="282"/>
      <c r="AT491" s="281"/>
      <c r="AU491" s="281"/>
      <c r="AV491" s="281"/>
      <c r="AW491" s="281"/>
      <c r="AX491" s="281"/>
      <c r="AY491" s="281"/>
      <c r="AZ491" s="281"/>
    </row>
    <row r="492" spans="1:52" ht="15" customHeight="1" x14ac:dyDescent="0.3">
      <c r="A492" s="294">
        <v>46052</v>
      </c>
      <c r="B492" s="321" t="s">
        <v>47</v>
      </c>
      <c r="C492" s="321" t="s">
        <v>47</v>
      </c>
      <c r="D492" s="294" t="s">
        <v>48</v>
      </c>
      <c r="E492" s="321" t="s">
        <v>138</v>
      </c>
      <c r="F492" s="295">
        <v>17286233</v>
      </c>
      <c r="G492" s="296"/>
      <c r="H492" s="280" t="s">
        <v>84</v>
      </c>
      <c r="I492" s="323" t="s">
        <v>168</v>
      </c>
      <c r="J492" s="323" t="s">
        <v>2593</v>
      </c>
      <c r="K492" s="294">
        <v>46071</v>
      </c>
      <c r="L492" s="294">
        <v>46081</v>
      </c>
      <c r="M492" s="284">
        <f>Table1[[#This Row],[Dep Date]]-Table1[[#This Row],[Arr Date]]</f>
        <v>10</v>
      </c>
      <c r="N492" s="323" t="s">
        <v>70</v>
      </c>
      <c r="O492" s="321">
        <v>2</v>
      </c>
      <c r="P492" s="321">
        <v>6</v>
      </c>
      <c r="Q492" s="321"/>
      <c r="R492" s="321"/>
      <c r="S492" s="321" t="s">
        <v>53</v>
      </c>
      <c r="T492" s="326" t="s">
        <v>2090</v>
      </c>
      <c r="U492" s="297"/>
      <c r="V492" s="294"/>
      <c r="W492" s="297"/>
      <c r="X492" s="294"/>
      <c r="Y492" s="329"/>
      <c r="Z492" s="329"/>
      <c r="AA492" s="332">
        <f>Table1[[#This Row],[Selling USD]]-Table1[[#This Row],[Cost USD]]</f>
        <v>0</v>
      </c>
      <c r="AB492" s="335">
        <f>48*3*10*2</f>
        <v>2880</v>
      </c>
      <c r="AC492" s="298">
        <v>2940</v>
      </c>
      <c r="AD492" s="299">
        <f>Table1[[#This Row],[Selling EUR]]-Table1[[#This Row],[Cost EUR]]</f>
        <v>60</v>
      </c>
      <c r="AE492" s="321" t="s">
        <v>54</v>
      </c>
      <c r="AF492" s="294">
        <v>46063</v>
      </c>
      <c r="AG492" s="294"/>
      <c r="AH492" s="321"/>
      <c r="AI492" s="323"/>
      <c r="AJ492" s="338"/>
      <c r="AK492" s="323"/>
      <c r="AL492" s="338"/>
      <c r="AM492" s="338"/>
      <c r="AN492" s="323"/>
      <c r="AO492" s="282"/>
      <c r="AP492" s="306"/>
      <c r="AQ492" s="282"/>
      <c r="AR492" s="282"/>
      <c r="AS492" s="282"/>
      <c r="AT492" s="281"/>
      <c r="AU492" s="281"/>
      <c r="AV492" s="281"/>
      <c r="AW492" s="281"/>
      <c r="AX492" s="281"/>
      <c r="AY492" s="281"/>
      <c r="AZ492" s="281"/>
    </row>
    <row r="493" spans="1:52" ht="15" customHeight="1" x14ac:dyDescent="0.3">
      <c r="A493" s="294">
        <v>46055</v>
      </c>
      <c r="B493" s="321" t="s">
        <v>47</v>
      </c>
      <c r="C493" s="321" t="s">
        <v>47</v>
      </c>
      <c r="D493" s="294" t="s">
        <v>48</v>
      </c>
      <c r="E493" s="321" t="s">
        <v>49</v>
      </c>
      <c r="F493" s="295">
        <v>17292260</v>
      </c>
      <c r="G493" s="296"/>
      <c r="H493" s="280" t="s">
        <v>58</v>
      </c>
      <c r="I493" s="323" t="s">
        <v>62</v>
      </c>
      <c r="J493" s="323" t="s">
        <v>174</v>
      </c>
      <c r="K493" s="294">
        <v>46122</v>
      </c>
      <c r="L493" s="294">
        <v>46129</v>
      </c>
      <c r="M493" s="284">
        <f>Table1[[#This Row],[Dep Date]]-Table1[[#This Row],[Arr Date]]</f>
        <v>7</v>
      </c>
      <c r="N493" s="323" t="s">
        <v>70</v>
      </c>
      <c r="O493" s="321">
        <v>1</v>
      </c>
      <c r="P493" s="321">
        <v>3</v>
      </c>
      <c r="Q493" s="321">
        <v>1</v>
      </c>
      <c r="R493" s="321"/>
      <c r="S493" s="321" t="s">
        <v>53</v>
      </c>
      <c r="T493" s="326" t="s">
        <v>2091</v>
      </c>
      <c r="U493" s="297">
        <v>4</v>
      </c>
      <c r="V493" s="294"/>
      <c r="W493" s="297"/>
      <c r="X493" s="294"/>
      <c r="Y493" s="329"/>
      <c r="Z493" s="329"/>
      <c r="AA493" s="332">
        <f>Table1[[#This Row],[Selling USD]]-Table1[[#This Row],[Cost USD]]</f>
        <v>0</v>
      </c>
      <c r="AB493" s="335">
        <f>67*3*6+81*3*1</f>
        <v>1449</v>
      </c>
      <c r="AC493" s="298">
        <v>1659</v>
      </c>
      <c r="AD493" s="299">
        <f>Table1[[#This Row],[Selling EUR]]-Table1[[#This Row],[Cost EUR]]</f>
        <v>210</v>
      </c>
      <c r="AE493" s="321" t="s">
        <v>54</v>
      </c>
      <c r="AF493" s="294">
        <v>46114</v>
      </c>
      <c r="AG493" s="294"/>
      <c r="AH493" s="321"/>
      <c r="AI493" s="323"/>
      <c r="AJ493" s="338"/>
      <c r="AK493" s="323"/>
      <c r="AL493" s="338"/>
      <c r="AM493" s="338"/>
      <c r="AN493" s="323"/>
      <c r="AO493" s="282"/>
      <c r="AP493" s="306"/>
      <c r="AQ493" s="282"/>
      <c r="AR493" s="282"/>
      <c r="AS493" s="282"/>
      <c r="AT493" s="281"/>
      <c r="AU493" s="281"/>
      <c r="AV493" s="281"/>
      <c r="AW493" s="281"/>
      <c r="AX493" s="281"/>
      <c r="AY493" s="281"/>
      <c r="AZ493" s="281"/>
    </row>
    <row r="494" spans="1:52" ht="15" customHeight="1" x14ac:dyDescent="0.3">
      <c r="A494" s="294">
        <v>46053</v>
      </c>
      <c r="B494" s="321" t="s">
        <v>47</v>
      </c>
      <c r="C494" s="321" t="s">
        <v>47</v>
      </c>
      <c r="D494" s="294" t="s">
        <v>48</v>
      </c>
      <c r="E494" s="321" t="s">
        <v>138</v>
      </c>
      <c r="F494" s="295">
        <v>17288001</v>
      </c>
      <c r="G494" s="296"/>
      <c r="H494" s="280" t="s">
        <v>84</v>
      </c>
      <c r="I494" s="323" t="s">
        <v>168</v>
      </c>
      <c r="J494" s="323" t="s">
        <v>2601</v>
      </c>
      <c r="K494" s="294">
        <v>46058</v>
      </c>
      <c r="L494" s="294">
        <v>46065</v>
      </c>
      <c r="M494" s="284">
        <f>Table1[[#This Row],[Dep Date]]-Table1[[#This Row],[Arr Date]]</f>
        <v>7</v>
      </c>
      <c r="N494" s="323" t="s">
        <v>52</v>
      </c>
      <c r="O494" s="321">
        <v>1</v>
      </c>
      <c r="P494" s="321">
        <v>2</v>
      </c>
      <c r="Q494" s="321"/>
      <c r="R494" s="321"/>
      <c r="S494" s="321" t="s">
        <v>53</v>
      </c>
      <c r="T494" s="326" t="s">
        <v>2092</v>
      </c>
      <c r="U494" s="297"/>
      <c r="V494" s="294"/>
      <c r="W494" s="297"/>
      <c r="X494" s="294"/>
      <c r="Y494" s="329"/>
      <c r="Z494" s="329"/>
      <c r="AA494" s="332">
        <f>Table1[[#This Row],[Selling USD]]-Table1[[#This Row],[Cost USD]]</f>
        <v>0</v>
      </c>
      <c r="AB494" s="335">
        <f>50*2*7</f>
        <v>700</v>
      </c>
      <c r="AC494" s="298">
        <v>714</v>
      </c>
      <c r="AD494" s="299">
        <f>Table1[[#This Row],[Selling EUR]]-Table1[[#This Row],[Cost EUR]]</f>
        <v>14</v>
      </c>
      <c r="AE494" s="321" t="s">
        <v>54</v>
      </c>
      <c r="AF494" s="294">
        <v>46054</v>
      </c>
      <c r="AG494" s="294"/>
      <c r="AH494" s="321"/>
      <c r="AI494" s="323"/>
      <c r="AJ494" s="338"/>
      <c r="AK494" s="323"/>
      <c r="AL494" s="338"/>
      <c r="AM494" s="338"/>
      <c r="AN494" s="323"/>
      <c r="AO494" s="282"/>
      <c r="AP494" s="306"/>
      <c r="AQ494" s="282"/>
      <c r="AR494" s="282"/>
      <c r="AS494" s="282"/>
      <c r="AT494" s="281"/>
      <c r="AU494" s="281"/>
      <c r="AV494" s="281"/>
      <c r="AW494" s="281"/>
      <c r="AX494" s="281"/>
      <c r="AY494" s="281"/>
      <c r="AZ494" s="281"/>
    </row>
    <row r="495" spans="1:52" ht="15" customHeight="1" x14ac:dyDescent="0.3">
      <c r="A495" s="294">
        <v>46053</v>
      </c>
      <c r="B495" s="321" t="s">
        <v>47</v>
      </c>
      <c r="C495" s="321" t="s">
        <v>47</v>
      </c>
      <c r="D495" s="294" t="s">
        <v>79</v>
      </c>
      <c r="E495" s="321" t="s">
        <v>138</v>
      </c>
      <c r="F495" s="295">
        <v>15731568</v>
      </c>
      <c r="G495" s="296">
        <v>20303716</v>
      </c>
      <c r="H495" s="280" t="s">
        <v>58</v>
      </c>
      <c r="I495" s="323" t="s">
        <v>144</v>
      </c>
      <c r="J495" s="323" t="s">
        <v>2621</v>
      </c>
      <c r="K495" s="294">
        <v>46112</v>
      </c>
      <c r="L495" s="294">
        <v>46119</v>
      </c>
      <c r="M495" s="284">
        <f>Table1[[#This Row],[Dep Date]]-Table1[[#This Row],[Arr Date]]</f>
        <v>7</v>
      </c>
      <c r="N495" s="323" t="s">
        <v>52</v>
      </c>
      <c r="O495" s="321">
        <v>1</v>
      </c>
      <c r="P495" s="321">
        <v>2</v>
      </c>
      <c r="Q495" s="321"/>
      <c r="R495" s="321"/>
      <c r="S495" s="321" t="s">
        <v>53</v>
      </c>
      <c r="T495" s="326" t="s">
        <v>2093</v>
      </c>
      <c r="U495" s="297"/>
      <c r="V495" s="294"/>
      <c r="W495" s="297"/>
      <c r="X495" s="294"/>
      <c r="Y495" s="329"/>
      <c r="Z495" s="329"/>
      <c r="AA495" s="332">
        <f>Table1[[#This Row],[Selling USD]]-Table1[[#This Row],[Cost USD]]</f>
        <v>0</v>
      </c>
      <c r="AB495" s="335">
        <f>45*2*3+53*2*4</f>
        <v>694</v>
      </c>
      <c r="AC495" s="298">
        <v>708</v>
      </c>
      <c r="AD495" s="299">
        <f>Table1[[#This Row],[Selling EUR]]-Table1[[#This Row],[Cost EUR]]</f>
        <v>14</v>
      </c>
      <c r="AE495" s="321" t="s">
        <v>54</v>
      </c>
      <c r="AF495" s="294">
        <v>46105</v>
      </c>
      <c r="AG495" s="294"/>
      <c r="AH495" s="321"/>
      <c r="AI495" s="323"/>
      <c r="AJ495" s="338"/>
      <c r="AK495" s="323"/>
      <c r="AL495" s="338"/>
      <c r="AM495" s="338"/>
      <c r="AN495" s="323"/>
      <c r="AO495" s="282"/>
      <c r="AP495" s="306"/>
      <c r="AQ495" s="282"/>
      <c r="AR495" s="282"/>
      <c r="AS495" s="282"/>
      <c r="AT495" s="281"/>
      <c r="AU495" s="281"/>
      <c r="AV495" s="281"/>
      <c r="AW495" s="281"/>
      <c r="AX495" s="281"/>
      <c r="AY495" s="281"/>
      <c r="AZ495" s="281"/>
    </row>
    <row r="496" spans="1:52" ht="15" customHeight="1" x14ac:dyDescent="0.3">
      <c r="A496" s="294">
        <v>46053</v>
      </c>
      <c r="B496" s="321" t="s">
        <v>47</v>
      </c>
      <c r="C496" s="321" t="s">
        <v>47</v>
      </c>
      <c r="D496" s="294" t="s">
        <v>79</v>
      </c>
      <c r="E496" s="321" t="s">
        <v>138</v>
      </c>
      <c r="F496" s="295">
        <v>15731611</v>
      </c>
      <c r="G496" s="296">
        <v>20303717</v>
      </c>
      <c r="H496" s="280" t="s">
        <v>58</v>
      </c>
      <c r="I496" s="323" t="s">
        <v>144</v>
      </c>
      <c r="J496" s="323" t="s">
        <v>2621</v>
      </c>
      <c r="K496" s="294">
        <v>46112</v>
      </c>
      <c r="L496" s="294">
        <v>46119</v>
      </c>
      <c r="M496" s="284">
        <f>Table1[[#This Row],[Dep Date]]-Table1[[#This Row],[Arr Date]]</f>
        <v>7</v>
      </c>
      <c r="N496" s="323" t="s">
        <v>52</v>
      </c>
      <c r="O496" s="321">
        <v>1</v>
      </c>
      <c r="P496" s="321">
        <v>2</v>
      </c>
      <c r="Q496" s="321"/>
      <c r="R496" s="321"/>
      <c r="S496" s="321" t="s">
        <v>53</v>
      </c>
      <c r="T496" s="326" t="s">
        <v>2094</v>
      </c>
      <c r="U496" s="297"/>
      <c r="V496" s="294"/>
      <c r="W496" s="297"/>
      <c r="X496" s="294"/>
      <c r="Y496" s="329"/>
      <c r="Z496" s="329"/>
      <c r="AA496" s="332">
        <f>Table1[[#This Row],[Selling USD]]-Table1[[#This Row],[Cost USD]]</f>
        <v>0</v>
      </c>
      <c r="AB496" s="335">
        <f>45*2*3+53*2*4</f>
        <v>694</v>
      </c>
      <c r="AC496" s="298">
        <v>708</v>
      </c>
      <c r="AD496" s="299">
        <f>Table1[[#This Row],[Selling EUR]]-Table1[[#This Row],[Cost EUR]]</f>
        <v>14</v>
      </c>
      <c r="AE496" s="321" t="s">
        <v>54</v>
      </c>
      <c r="AF496" s="294">
        <v>46105</v>
      </c>
      <c r="AG496" s="294"/>
      <c r="AH496" s="321"/>
      <c r="AI496" s="323"/>
      <c r="AJ496" s="338"/>
      <c r="AK496" s="323"/>
      <c r="AL496" s="338"/>
      <c r="AM496" s="338"/>
      <c r="AN496" s="323"/>
      <c r="AO496" s="282"/>
      <c r="AP496" s="306"/>
      <c r="AQ496" s="282"/>
      <c r="AR496" s="282"/>
      <c r="AS496" s="282"/>
      <c r="AT496" s="281"/>
      <c r="AU496" s="281"/>
      <c r="AV496" s="281"/>
      <c r="AW496" s="281"/>
      <c r="AX496" s="281"/>
      <c r="AY496" s="281"/>
      <c r="AZ496" s="281"/>
    </row>
    <row r="497" spans="1:52" ht="15" customHeight="1" x14ac:dyDescent="0.3">
      <c r="A497" s="294">
        <v>46053</v>
      </c>
      <c r="B497" s="321" t="s">
        <v>47</v>
      </c>
      <c r="C497" s="321" t="s">
        <v>47</v>
      </c>
      <c r="D497" s="294" t="s">
        <v>79</v>
      </c>
      <c r="E497" s="321" t="s">
        <v>138</v>
      </c>
      <c r="F497" s="295">
        <v>15731637</v>
      </c>
      <c r="G497" s="296">
        <v>20303718</v>
      </c>
      <c r="H497" s="280" t="s">
        <v>58</v>
      </c>
      <c r="I497" s="323" t="s">
        <v>144</v>
      </c>
      <c r="J497" s="323" t="s">
        <v>2621</v>
      </c>
      <c r="K497" s="294">
        <v>46112</v>
      </c>
      <c r="L497" s="294">
        <v>46119</v>
      </c>
      <c r="M497" s="284">
        <f>Table1[[#This Row],[Dep Date]]-Table1[[#This Row],[Arr Date]]</f>
        <v>7</v>
      </c>
      <c r="N497" s="323" t="s">
        <v>52</v>
      </c>
      <c r="O497" s="321">
        <v>1</v>
      </c>
      <c r="P497" s="321">
        <v>2</v>
      </c>
      <c r="Q497" s="321"/>
      <c r="R497" s="321"/>
      <c r="S497" s="321" t="s">
        <v>53</v>
      </c>
      <c r="T497" s="326" t="s">
        <v>2095</v>
      </c>
      <c r="U497" s="297"/>
      <c r="V497" s="294"/>
      <c r="W497" s="297"/>
      <c r="X497" s="294"/>
      <c r="Y497" s="329"/>
      <c r="Z497" s="329"/>
      <c r="AA497" s="332">
        <f>Table1[[#This Row],[Selling USD]]-Table1[[#This Row],[Cost USD]]</f>
        <v>0</v>
      </c>
      <c r="AB497" s="335">
        <f>45*2*3+53*2*4</f>
        <v>694</v>
      </c>
      <c r="AC497" s="298">
        <v>708</v>
      </c>
      <c r="AD497" s="299">
        <f>Table1[[#This Row],[Selling EUR]]-Table1[[#This Row],[Cost EUR]]</f>
        <v>14</v>
      </c>
      <c r="AE497" s="321" t="s">
        <v>54</v>
      </c>
      <c r="AF497" s="294">
        <v>46105</v>
      </c>
      <c r="AG497" s="294"/>
      <c r="AH497" s="321"/>
      <c r="AI497" s="323"/>
      <c r="AJ497" s="338"/>
      <c r="AK497" s="323"/>
      <c r="AL497" s="338"/>
      <c r="AM497" s="338"/>
      <c r="AN497" s="323"/>
      <c r="AO497" s="282"/>
      <c r="AP497" s="306"/>
      <c r="AQ497" s="282"/>
      <c r="AR497" s="282"/>
      <c r="AS497" s="282"/>
      <c r="AT497" s="281"/>
      <c r="AU497" s="281"/>
      <c r="AV497" s="281"/>
      <c r="AW497" s="281"/>
      <c r="AX497" s="281"/>
      <c r="AY497" s="281"/>
      <c r="AZ497" s="281"/>
    </row>
    <row r="498" spans="1:52" ht="15" customHeight="1" x14ac:dyDescent="0.3">
      <c r="A498" s="294">
        <v>46053</v>
      </c>
      <c r="B498" s="321" t="s">
        <v>47</v>
      </c>
      <c r="C498" s="321" t="s">
        <v>47</v>
      </c>
      <c r="D498" s="294" t="s">
        <v>79</v>
      </c>
      <c r="E498" s="321" t="s">
        <v>106</v>
      </c>
      <c r="F498" s="295">
        <v>15734687</v>
      </c>
      <c r="G498" s="296">
        <v>20303719</v>
      </c>
      <c r="H498" s="280" t="s">
        <v>58</v>
      </c>
      <c r="I498" s="323" t="s">
        <v>62</v>
      </c>
      <c r="J498" s="323" t="s">
        <v>146</v>
      </c>
      <c r="K498" s="294">
        <v>46215</v>
      </c>
      <c r="L498" s="294">
        <v>46222</v>
      </c>
      <c r="M498" s="284">
        <f>Table1[[#This Row],[Dep Date]]-Table1[[#This Row],[Arr Date]]</f>
        <v>7</v>
      </c>
      <c r="N498" s="323" t="s">
        <v>70</v>
      </c>
      <c r="O498" s="321">
        <v>1</v>
      </c>
      <c r="P498" s="321">
        <v>3</v>
      </c>
      <c r="Q498" s="321"/>
      <c r="R498" s="321"/>
      <c r="S498" s="321" t="s">
        <v>53</v>
      </c>
      <c r="T498" s="326" t="s">
        <v>2096</v>
      </c>
      <c r="U498" s="297"/>
      <c r="V498" s="294"/>
      <c r="W498" s="297"/>
      <c r="X498" s="294"/>
      <c r="Y498" s="329">
        <f>45*3*7</f>
        <v>945</v>
      </c>
      <c r="Z498" s="329">
        <v>1247.4000000000001</v>
      </c>
      <c r="AA498" s="332">
        <f>Table1[[#This Row],[Selling USD]]-Table1[[#This Row],[Cost USD]]</f>
        <v>302.40000000000009</v>
      </c>
      <c r="AB498" s="335"/>
      <c r="AC498" s="298"/>
      <c r="AD498" s="299">
        <f>Table1[[#This Row],[Selling EUR]]-Table1[[#This Row],[Cost EUR]]</f>
        <v>0</v>
      </c>
      <c r="AE498" s="321" t="s">
        <v>54</v>
      </c>
      <c r="AF498" s="294">
        <v>46208</v>
      </c>
      <c r="AG498" s="294"/>
      <c r="AH498" s="321"/>
      <c r="AI498" s="323"/>
      <c r="AJ498" s="338"/>
      <c r="AK498" s="323"/>
      <c r="AL498" s="338"/>
      <c r="AM498" s="338"/>
      <c r="AN498" s="323"/>
      <c r="AO498" s="282"/>
      <c r="AP498" s="306"/>
      <c r="AQ498" s="282"/>
      <c r="AR498" s="282"/>
      <c r="AS498" s="282"/>
      <c r="AT498" s="281"/>
      <c r="AU498" s="281"/>
      <c r="AV498" s="281"/>
      <c r="AW498" s="281"/>
      <c r="AX498" s="281"/>
      <c r="AY498" s="281"/>
      <c r="AZ498" s="281"/>
    </row>
    <row r="499" spans="1:52" ht="15" customHeight="1" x14ac:dyDescent="0.3">
      <c r="A499" s="294">
        <v>46053</v>
      </c>
      <c r="B499" s="321" t="s">
        <v>47</v>
      </c>
      <c r="C499" s="321" t="s">
        <v>47</v>
      </c>
      <c r="D499" s="294" t="s">
        <v>48</v>
      </c>
      <c r="E499" s="321" t="s">
        <v>61</v>
      </c>
      <c r="F499" s="295">
        <v>17289501</v>
      </c>
      <c r="G499" s="296"/>
      <c r="H499" s="280" t="s">
        <v>84</v>
      </c>
      <c r="I499" s="323" t="s">
        <v>113</v>
      </c>
      <c r="J499" s="323" t="s">
        <v>2622</v>
      </c>
      <c r="K499" s="294">
        <v>46100</v>
      </c>
      <c r="L499" s="294">
        <v>46105</v>
      </c>
      <c r="M499" s="284">
        <f>Table1[[#This Row],[Dep Date]]-Table1[[#This Row],[Arr Date]]</f>
        <v>5</v>
      </c>
      <c r="N499" s="323" t="s">
        <v>52</v>
      </c>
      <c r="O499" s="321">
        <v>1</v>
      </c>
      <c r="P499" s="321">
        <v>2</v>
      </c>
      <c r="Q499" s="321"/>
      <c r="R499" s="321"/>
      <c r="S499" s="321" t="s">
        <v>53</v>
      </c>
      <c r="T499" s="326" t="s">
        <v>2097</v>
      </c>
      <c r="U499" s="297"/>
      <c r="V499" s="294"/>
      <c r="W499" s="297"/>
      <c r="X499" s="294"/>
      <c r="Y499" s="329"/>
      <c r="Z499" s="329"/>
      <c r="AA499" s="332">
        <f>Table1[[#This Row],[Selling USD]]-Table1[[#This Row],[Cost USD]]</f>
        <v>0</v>
      </c>
      <c r="AB499" s="335">
        <f>210*2*0.51*5</f>
        <v>1071</v>
      </c>
      <c r="AC499" s="298">
        <v>1081.2</v>
      </c>
      <c r="AD499" s="299">
        <f>Table1[[#This Row],[Selling EUR]]-Table1[[#This Row],[Cost EUR]]</f>
        <v>10.200000000000045</v>
      </c>
      <c r="AE499" s="321" t="s">
        <v>54</v>
      </c>
      <c r="AF499" s="294">
        <v>46091</v>
      </c>
      <c r="AG499" s="294"/>
      <c r="AH499" s="321"/>
      <c r="AI499" s="323"/>
      <c r="AJ499" s="338"/>
      <c r="AK499" s="323"/>
      <c r="AL499" s="338"/>
      <c r="AM499" s="338"/>
      <c r="AN499" s="323"/>
      <c r="AO499" s="282"/>
      <c r="AP499" s="306"/>
      <c r="AQ499" s="282"/>
      <c r="AR499" s="282"/>
      <c r="AS499" s="282"/>
      <c r="AT499" s="281"/>
      <c r="AU499" s="281"/>
      <c r="AV499" s="281"/>
      <c r="AW499" s="281"/>
      <c r="AX499" s="281"/>
      <c r="AY499" s="281"/>
      <c r="AZ499" s="281"/>
    </row>
    <row r="500" spans="1:52" ht="15" customHeight="1" x14ac:dyDescent="0.3">
      <c r="A500" s="294">
        <v>46054</v>
      </c>
      <c r="B500" s="321" t="s">
        <v>73</v>
      </c>
      <c r="C500" s="321" t="s">
        <v>73</v>
      </c>
      <c r="D500" s="294" t="s">
        <v>48</v>
      </c>
      <c r="E500" s="321" t="s">
        <v>49</v>
      </c>
      <c r="F500" s="295">
        <v>17290396</v>
      </c>
      <c r="G500" s="296"/>
      <c r="H500" s="280" t="s">
        <v>50</v>
      </c>
      <c r="I500" s="323" t="s">
        <v>68</v>
      </c>
      <c r="J500" s="323" t="s">
        <v>195</v>
      </c>
      <c r="K500" s="294">
        <v>46226</v>
      </c>
      <c r="L500" s="294">
        <v>46240</v>
      </c>
      <c r="M500" s="284">
        <f>Table1[[#This Row],[Dep Date]]-Table1[[#This Row],[Arr Date]]</f>
        <v>14</v>
      </c>
      <c r="N500" s="323" t="s">
        <v>52</v>
      </c>
      <c r="O500" s="321">
        <v>2</v>
      </c>
      <c r="P500" s="321">
        <v>4</v>
      </c>
      <c r="Q500" s="321">
        <v>2</v>
      </c>
      <c r="R500" s="321"/>
      <c r="S500" s="321" t="s">
        <v>53</v>
      </c>
      <c r="T500" s="326" t="s">
        <v>196</v>
      </c>
      <c r="U500" s="297">
        <v>6</v>
      </c>
      <c r="V500" s="294"/>
      <c r="W500" s="297">
        <v>6</v>
      </c>
      <c r="X500" s="294"/>
      <c r="Y500" s="329"/>
      <c r="Z500" s="329"/>
      <c r="AA500" s="332">
        <f>Table1[[#This Row],[Selling USD]]-Table1[[#This Row],[Cost USD]]</f>
        <v>0</v>
      </c>
      <c r="AB500" s="335"/>
      <c r="AC500" s="298"/>
      <c r="AD500" s="299">
        <f>Table1[[#This Row],[Selling EUR]]-Table1[[#This Row],[Cost EUR]]</f>
        <v>0</v>
      </c>
      <c r="AE500" s="321"/>
      <c r="AF500" s="294"/>
      <c r="AG500" s="294"/>
      <c r="AH500" s="321"/>
      <c r="AI500" s="323"/>
      <c r="AJ500" s="338"/>
      <c r="AK500" s="323"/>
      <c r="AL500" s="338"/>
      <c r="AM500" s="338"/>
      <c r="AN500" s="323"/>
      <c r="AO500" s="282"/>
      <c r="AP500" s="306"/>
      <c r="AQ500" s="282"/>
      <c r="AR500" s="282"/>
      <c r="AS500" s="282"/>
      <c r="AT500" s="281"/>
      <c r="AU500" s="281"/>
      <c r="AV500" s="281"/>
      <c r="AW500" s="281"/>
      <c r="AX500" s="281"/>
      <c r="AY500" s="281"/>
      <c r="AZ500" s="281"/>
    </row>
    <row r="501" spans="1:52" ht="15" customHeight="1" x14ac:dyDescent="0.3">
      <c r="A501" s="294">
        <v>46054</v>
      </c>
      <c r="B501" s="321" t="s">
        <v>47</v>
      </c>
      <c r="C501" s="321" t="s">
        <v>47</v>
      </c>
      <c r="D501" s="294" t="s">
        <v>48</v>
      </c>
      <c r="E501" s="321" t="s">
        <v>49</v>
      </c>
      <c r="F501" s="295">
        <v>17290313</v>
      </c>
      <c r="G501" s="296"/>
      <c r="H501" s="280" t="s">
        <v>58</v>
      </c>
      <c r="I501" s="323" t="s">
        <v>62</v>
      </c>
      <c r="J501" s="323" t="s">
        <v>146</v>
      </c>
      <c r="K501" s="294">
        <v>46091</v>
      </c>
      <c r="L501" s="294">
        <v>46098</v>
      </c>
      <c r="M501" s="284">
        <f>Table1[[#This Row],[Dep Date]]-Table1[[#This Row],[Arr Date]]</f>
        <v>7</v>
      </c>
      <c r="N501" s="323" t="s">
        <v>52</v>
      </c>
      <c r="O501" s="321">
        <v>1</v>
      </c>
      <c r="P501" s="321">
        <v>2</v>
      </c>
      <c r="Q501" s="321"/>
      <c r="R501" s="321"/>
      <c r="S501" s="321" t="s">
        <v>53</v>
      </c>
      <c r="T501" s="326" t="s">
        <v>2098</v>
      </c>
      <c r="U501" s="297"/>
      <c r="V501" s="294"/>
      <c r="W501" s="297"/>
      <c r="X501" s="294"/>
      <c r="Y501" s="329"/>
      <c r="Z501" s="329"/>
      <c r="AA501" s="332">
        <f>Table1[[#This Row],[Selling USD]]-Table1[[#This Row],[Cost USD]]</f>
        <v>0</v>
      </c>
      <c r="AB501" s="335">
        <f>50*2*7</f>
        <v>700</v>
      </c>
      <c r="AC501" s="298">
        <v>728</v>
      </c>
      <c r="AD501" s="299">
        <f>Table1[[#This Row],[Selling EUR]]-Table1[[#This Row],[Cost EUR]]</f>
        <v>28</v>
      </c>
      <c r="AE501" s="321" t="s">
        <v>54</v>
      </c>
      <c r="AF501" s="294">
        <v>46083</v>
      </c>
      <c r="AG501" s="294"/>
      <c r="AH501" s="321"/>
      <c r="AI501" s="323"/>
      <c r="AJ501" s="338"/>
      <c r="AK501" s="323"/>
      <c r="AL501" s="338"/>
      <c r="AM501" s="338"/>
      <c r="AN501" s="323"/>
      <c r="AO501" s="282"/>
      <c r="AP501" s="306"/>
      <c r="AQ501" s="282"/>
      <c r="AR501" s="282"/>
      <c r="AS501" s="282"/>
      <c r="AT501" s="281"/>
      <c r="AU501" s="281"/>
      <c r="AV501" s="281"/>
      <c r="AW501" s="281"/>
      <c r="AX501" s="281"/>
      <c r="AY501" s="281"/>
      <c r="AZ501" s="281"/>
    </row>
    <row r="502" spans="1:52" ht="15" customHeight="1" x14ac:dyDescent="0.3">
      <c r="A502" s="294">
        <v>46054</v>
      </c>
      <c r="B502" s="321" t="s">
        <v>47</v>
      </c>
      <c r="C502" s="321" t="s">
        <v>47</v>
      </c>
      <c r="D502" s="294" t="s">
        <v>48</v>
      </c>
      <c r="E502" s="321" t="s">
        <v>49</v>
      </c>
      <c r="F502" s="295">
        <v>17290326</v>
      </c>
      <c r="G502" s="296"/>
      <c r="H502" s="280" t="s">
        <v>50</v>
      </c>
      <c r="I502" s="323" t="s">
        <v>111</v>
      </c>
      <c r="J502" s="323" t="s">
        <v>2623</v>
      </c>
      <c r="K502" s="294">
        <v>46066</v>
      </c>
      <c r="L502" s="294">
        <v>46073</v>
      </c>
      <c r="M502" s="284">
        <f>Table1[[#This Row],[Dep Date]]-Table1[[#This Row],[Arr Date]]</f>
        <v>7</v>
      </c>
      <c r="N502" s="323" t="s">
        <v>1618</v>
      </c>
      <c r="O502" s="321">
        <v>2</v>
      </c>
      <c r="P502" s="321">
        <v>2</v>
      </c>
      <c r="Q502" s="321"/>
      <c r="R502" s="321"/>
      <c r="S502" s="321" t="s">
        <v>53</v>
      </c>
      <c r="T502" s="326" t="s">
        <v>2099</v>
      </c>
      <c r="U502" s="297"/>
      <c r="V502" s="294"/>
      <c r="W502" s="297"/>
      <c r="X502" s="294"/>
      <c r="Y502" s="329"/>
      <c r="Z502" s="329"/>
      <c r="AA502" s="332">
        <f>Table1[[#This Row],[Selling USD]]-Table1[[#This Row],[Cost USD]]</f>
        <v>0</v>
      </c>
      <c r="AB502" s="335">
        <f>34*2*7+34*1.6*7</f>
        <v>856.80000000000007</v>
      </c>
      <c r="AC502" s="298">
        <v>877.8</v>
      </c>
      <c r="AD502" s="299">
        <f>Table1[[#This Row],[Selling EUR]]-Table1[[#This Row],[Cost EUR]]</f>
        <v>20.999999999999886</v>
      </c>
      <c r="AE502" s="321" t="s">
        <v>54</v>
      </c>
      <c r="AF502" s="294">
        <v>46061</v>
      </c>
      <c r="AG502" s="294"/>
      <c r="AH502" s="321"/>
      <c r="AI502" s="323"/>
      <c r="AJ502" s="338"/>
      <c r="AK502" s="323"/>
      <c r="AL502" s="338"/>
      <c r="AM502" s="338"/>
      <c r="AN502" s="323"/>
      <c r="AO502" s="282"/>
      <c r="AP502" s="306"/>
      <c r="AQ502" s="282"/>
      <c r="AR502" s="282"/>
      <c r="AS502" s="282"/>
      <c r="AT502" s="281"/>
      <c r="AU502" s="281"/>
      <c r="AV502" s="281"/>
      <c r="AW502" s="281"/>
      <c r="AX502" s="281"/>
      <c r="AY502" s="281"/>
      <c r="AZ502" s="281"/>
    </row>
    <row r="503" spans="1:52" ht="15" customHeight="1" x14ac:dyDescent="0.3">
      <c r="A503" s="294">
        <v>46081</v>
      </c>
      <c r="B503" s="321" t="s">
        <v>47</v>
      </c>
      <c r="C503" s="321" t="s">
        <v>47</v>
      </c>
      <c r="D503" s="294" t="s">
        <v>79</v>
      </c>
      <c r="E503" s="321" t="s">
        <v>49</v>
      </c>
      <c r="F503" s="295">
        <v>16178025</v>
      </c>
      <c r="G503" s="296">
        <v>20303730</v>
      </c>
      <c r="H503" s="280" t="s">
        <v>50</v>
      </c>
      <c r="I503" s="323" t="s">
        <v>76</v>
      </c>
      <c r="J503" s="323" t="s">
        <v>159</v>
      </c>
      <c r="K503" s="294">
        <v>46222</v>
      </c>
      <c r="L503" s="294">
        <v>46229</v>
      </c>
      <c r="M503" s="284">
        <f>Table1[[#This Row],[Dep Date]]-Table1[[#This Row],[Arr Date]]</f>
        <v>7</v>
      </c>
      <c r="N503" s="323" t="s">
        <v>52</v>
      </c>
      <c r="O503" s="321">
        <v>1</v>
      </c>
      <c r="P503" s="321">
        <v>2</v>
      </c>
      <c r="Q503" s="321">
        <v>2</v>
      </c>
      <c r="R503" s="321"/>
      <c r="S503" s="321" t="s">
        <v>53</v>
      </c>
      <c r="T503" s="326" t="s">
        <v>197</v>
      </c>
      <c r="U503" s="297">
        <v>11</v>
      </c>
      <c r="V503" s="294"/>
      <c r="W503" s="297">
        <v>8</v>
      </c>
      <c r="X503" s="294"/>
      <c r="Y503" s="329"/>
      <c r="Z503" s="329"/>
      <c r="AA503" s="332">
        <f>Table1[[#This Row],[Selling USD]]-Table1[[#This Row],[Cost USD]]</f>
        <v>0</v>
      </c>
      <c r="AB503" s="335">
        <f>113*2*0.8*7</f>
        <v>1265.6000000000001</v>
      </c>
      <c r="AC503" s="298">
        <v>1279.5999999999999</v>
      </c>
      <c r="AD503" s="299">
        <f>Table1[[#This Row],[Selling EUR]]-Table1[[#This Row],[Cost EUR]]</f>
        <v>13.999999999999773</v>
      </c>
      <c r="AE503" s="321" t="s">
        <v>54</v>
      </c>
      <c r="AF503" s="294">
        <v>46215</v>
      </c>
      <c r="AG503" s="294" t="s">
        <v>2427</v>
      </c>
      <c r="AH503" s="321"/>
      <c r="AI503" s="323"/>
      <c r="AJ503" s="338"/>
      <c r="AK503" s="323"/>
      <c r="AL503" s="338"/>
      <c r="AM503" s="338"/>
      <c r="AN503" s="323"/>
      <c r="AO503" s="282"/>
      <c r="AP503" s="306"/>
      <c r="AQ503" s="282"/>
      <c r="AR503" s="282"/>
      <c r="AS503" s="282"/>
      <c r="AT503" s="281"/>
      <c r="AU503" s="281"/>
      <c r="AV503" s="281"/>
      <c r="AW503" s="281"/>
      <c r="AX503" s="281"/>
      <c r="AY503" s="281"/>
      <c r="AZ503" s="281"/>
    </row>
    <row r="504" spans="1:52" ht="15" customHeight="1" x14ac:dyDescent="0.3">
      <c r="A504" s="294">
        <v>46054</v>
      </c>
      <c r="B504" s="321" t="s">
        <v>47</v>
      </c>
      <c r="C504" s="321" t="s">
        <v>47</v>
      </c>
      <c r="D504" s="294" t="s">
        <v>48</v>
      </c>
      <c r="E504" s="321" t="s">
        <v>49</v>
      </c>
      <c r="F504" s="295">
        <v>17290713</v>
      </c>
      <c r="G504" s="296"/>
      <c r="H504" s="280" t="s">
        <v>58</v>
      </c>
      <c r="I504" s="323" t="s">
        <v>62</v>
      </c>
      <c r="J504" s="323" t="s">
        <v>146</v>
      </c>
      <c r="K504" s="294">
        <v>46123</v>
      </c>
      <c r="L504" s="294">
        <v>46135</v>
      </c>
      <c r="M504" s="284">
        <f>Table1[[#This Row],[Dep Date]]-Table1[[#This Row],[Arr Date]]</f>
        <v>12</v>
      </c>
      <c r="N504" s="323" t="s">
        <v>52</v>
      </c>
      <c r="O504" s="321">
        <v>1</v>
      </c>
      <c r="P504" s="321">
        <v>2</v>
      </c>
      <c r="Q504" s="321"/>
      <c r="R504" s="321"/>
      <c r="S504" s="321" t="s">
        <v>53</v>
      </c>
      <c r="T504" s="326" t="s">
        <v>2100</v>
      </c>
      <c r="U504" s="297"/>
      <c r="V504" s="294"/>
      <c r="W504" s="297"/>
      <c r="X504" s="294"/>
      <c r="Y504" s="329"/>
      <c r="Z504" s="329"/>
      <c r="AA504" s="332">
        <f>Table1[[#This Row],[Selling USD]]-Table1[[#This Row],[Cost USD]]</f>
        <v>0</v>
      </c>
      <c r="AB504" s="335">
        <f>49*2*6+63*2*6</f>
        <v>1344</v>
      </c>
      <c r="AC504" s="298">
        <v>1464</v>
      </c>
      <c r="AD504" s="299">
        <f>Table1[[#This Row],[Selling EUR]]-Table1[[#This Row],[Cost EUR]]</f>
        <v>120</v>
      </c>
      <c r="AE504" s="321" t="s">
        <v>54</v>
      </c>
      <c r="AF504" s="294">
        <v>46114</v>
      </c>
      <c r="AG504" s="294"/>
      <c r="AH504" s="321"/>
      <c r="AI504" s="323"/>
      <c r="AJ504" s="338"/>
      <c r="AK504" s="323"/>
      <c r="AL504" s="338"/>
      <c r="AM504" s="338"/>
      <c r="AN504" s="323"/>
      <c r="AO504" s="282"/>
      <c r="AP504" s="306"/>
      <c r="AQ504" s="282"/>
      <c r="AR504" s="282"/>
      <c r="AS504" s="282"/>
      <c r="AT504" s="281"/>
      <c r="AU504" s="281"/>
      <c r="AV504" s="281"/>
      <c r="AW504" s="281"/>
      <c r="AX504" s="281"/>
      <c r="AY504" s="281"/>
      <c r="AZ504" s="281"/>
    </row>
    <row r="505" spans="1:52" ht="15" customHeight="1" x14ac:dyDescent="0.3">
      <c r="A505" s="294">
        <v>46054</v>
      </c>
      <c r="B505" s="321" t="s">
        <v>47</v>
      </c>
      <c r="C505" s="321" t="s">
        <v>47</v>
      </c>
      <c r="D505" s="294" t="s">
        <v>79</v>
      </c>
      <c r="E505" s="321" t="s">
        <v>106</v>
      </c>
      <c r="F505" s="295">
        <v>15745869</v>
      </c>
      <c r="G505" s="296">
        <v>20303720</v>
      </c>
      <c r="H505" s="280" t="s">
        <v>50</v>
      </c>
      <c r="I505" s="323" t="s">
        <v>81</v>
      </c>
      <c r="J505" s="323" t="s">
        <v>1519</v>
      </c>
      <c r="K505" s="294">
        <v>46058</v>
      </c>
      <c r="L505" s="294">
        <v>46065</v>
      </c>
      <c r="M505" s="284">
        <f>Table1[[#This Row],[Dep Date]]-Table1[[#This Row],[Arr Date]]</f>
        <v>7</v>
      </c>
      <c r="N505" s="323" t="s">
        <v>1619</v>
      </c>
      <c r="O505" s="321">
        <v>2</v>
      </c>
      <c r="P505" s="321">
        <v>5</v>
      </c>
      <c r="Q505" s="321"/>
      <c r="R505" s="321"/>
      <c r="S505" s="321" t="s">
        <v>53</v>
      </c>
      <c r="T505" s="327" t="s">
        <v>2101</v>
      </c>
      <c r="U505" s="297"/>
      <c r="V505" s="294"/>
      <c r="W505" s="297"/>
      <c r="X505" s="294"/>
      <c r="Y505" s="329">
        <f>58*3*6+85*3*1+30*3+60*2*6+87*2*1+30*2+15*1</f>
        <v>2358</v>
      </c>
      <c r="Z505" s="329">
        <v>2393</v>
      </c>
      <c r="AA505" s="332">
        <f>Table1[[#This Row],[Selling USD]]-Table1[[#This Row],[Cost USD]]</f>
        <v>35</v>
      </c>
      <c r="AB505" s="335"/>
      <c r="AC505" s="298"/>
      <c r="AD505" s="299">
        <f>Table1[[#This Row],[Selling EUR]]-Table1[[#This Row],[Cost EUR]]</f>
        <v>0</v>
      </c>
      <c r="AE505" s="321" t="s">
        <v>54</v>
      </c>
      <c r="AF505" s="294">
        <v>46056</v>
      </c>
      <c r="AG505" s="294"/>
      <c r="AH505" s="321"/>
      <c r="AI505" s="323"/>
      <c r="AJ505" s="338"/>
      <c r="AK505" s="323"/>
      <c r="AL505" s="338"/>
      <c r="AM505" s="338"/>
      <c r="AN505" s="323"/>
      <c r="AO505" s="282"/>
      <c r="AP505" s="306"/>
      <c r="AQ505" s="282"/>
      <c r="AR505" s="282"/>
      <c r="AS505" s="282"/>
      <c r="AT505" s="281"/>
      <c r="AU505" s="281"/>
      <c r="AV505" s="281"/>
      <c r="AW505" s="281"/>
      <c r="AX505" s="281"/>
      <c r="AY505" s="281"/>
      <c r="AZ505" s="281"/>
    </row>
    <row r="506" spans="1:52" ht="15" customHeight="1" x14ac:dyDescent="0.3">
      <c r="A506" s="294">
        <v>46052</v>
      </c>
      <c r="B506" s="321" t="s">
        <v>73</v>
      </c>
      <c r="C506" s="321" t="s">
        <v>73</v>
      </c>
      <c r="D506" s="294" t="s">
        <v>48</v>
      </c>
      <c r="E506" s="321" t="s">
        <v>49</v>
      </c>
      <c r="F506" s="295">
        <v>17286557</v>
      </c>
      <c r="G506" s="296"/>
      <c r="H506" s="280" t="s">
        <v>58</v>
      </c>
      <c r="I506" s="323" t="s">
        <v>62</v>
      </c>
      <c r="J506" s="323" t="s">
        <v>146</v>
      </c>
      <c r="K506" s="294">
        <v>46127</v>
      </c>
      <c r="L506" s="294">
        <v>46137.041666666599</v>
      </c>
      <c r="M506" s="284">
        <f>Table1[[#This Row],[Dep Date]]-Table1[[#This Row],[Arr Date]]</f>
        <v>10.041666666598758</v>
      </c>
      <c r="N506" s="323" t="s">
        <v>52</v>
      </c>
      <c r="O506" s="321">
        <v>1</v>
      </c>
      <c r="P506" s="321">
        <v>2</v>
      </c>
      <c r="Q506" s="321"/>
      <c r="R506" s="321"/>
      <c r="S506" s="321" t="s">
        <v>53</v>
      </c>
      <c r="T506" s="326" t="s">
        <v>2102</v>
      </c>
      <c r="U506" s="297"/>
      <c r="V506" s="294"/>
      <c r="W506" s="297"/>
      <c r="X506" s="294"/>
      <c r="Y506" s="329"/>
      <c r="Z506" s="329"/>
      <c r="AA506" s="332">
        <f>Table1[[#This Row],[Selling USD]]-Table1[[#This Row],[Cost USD]]</f>
        <v>0</v>
      </c>
      <c r="AB506" s="335"/>
      <c r="AC506" s="298"/>
      <c r="AD506" s="299">
        <f>Table1[[#This Row],[Selling EUR]]-Table1[[#This Row],[Cost EUR]]</f>
        <v>0</v>
      </c>
      <c r="AE506" s="321"/>
      <c r="AF506" s="294"/>
      <c r="AG506" s="294"/>
      <c r="AH506" s="321"/>
      <c r="AI506" s="323"/>
      <c r="AJ506" s="338"/>
      <c r="AK506" s="323"/>
      <c r="AL506" s="338"/>
      <c r="AM506" s="338"/>
      <c r="AN506" s="323"/>
      <c r="AO506" s="282"/>
      <c r="AP506" s="306"/>
      <c r="AQ506" s="282"/>
      <c r="AR506" s="282"/>
      <c r="AS506" s="282"/>
      <c r="AT506" s="281"/>
      <c r="AU506" s="281"/>
      <c r="AV506" s="281"/>
      <c r="AW506" s="281"/>
      <c r="AX506" s="281"/>
      <c r="AY506" s="281"/>
      <c r="AZ506" s="281"/>
    </row>
    <row r="507" spans="1:52" ht="15" customHeight="1" x14ac:dyDescent="0.3">
      <c r="A507" s="294">
        <v>46054</v>
      </c>
      <c r="B507" s="321" t="s">
        <v>47</v>
      </c>
      <c r="C507" s="321" t="s">
        <v>47</v>
      </c>
      <c r="D507" s="294" t="s">
        <v>48</v>
      </c>
      <c r="E507" s="321" t="s">
        <v>49</v>
      </c>
      <c r="F507" s="295">
        <v>17291910</v>
      </c>
      <c r="G507" s="296"/>
      <c r="H507" s="280" t="s">
        <v>58</v>
      </c>
      <c r="I507" s="323" t="s">
        <v>62</v>
      </c>
      <c r="J507" s="323" t="s">
        <v>146</v>
      </c>
      <c r="K507" s="294">
        <v>46127</v>
      </c>
      <c r="L507" s="294">
        <v>46134</v>
      </c>
      <c r="M507" s="284">
        <f>Table1[[#This Row],[Dep Date]]-Table1[[#This Row],[Arr Date]]</f>
        <v>7</v>
      </c>
      <c r="N507" s="323" t="s">
        <v>52</v>
      </c>
      <c r="O507" s="321">
        <v>1</v>
      </c>
      <c r="P507" s="321">
        <v>2</v>
      </c>
      <c r="Q507" s="321"/>
      <c r="R507" s="321"/>
      <c r="S507" s="321" t="s">
        <v>53</v>
      </c>
      <c r="T507" s="326" t="s">
        <v>2103</v>
      </c>
      <c r="U507" s="297"/>
      <c r="V507" s="294"/>
      <c r="W507" s="297"/>
      <c r="X507" s="294"/>
      <c r="Y507" s="329"/>
      <c r="Z507" s="329"/>
      <c r="AA507" s="332">
        <f>Table1[[#This Row],[Selling USD]]-Table1[[#This Row],[Cost USD]]</f>
        <v>0</v>
      </c>
      <c r="AB507" s="335">
        <f>59*2*7</f>
        <v>826</v>
      </c>
      <c r="AC507" s="298">
        <v>854</v>
      </c>
      <c r="AD507" s="299">
        <f>Table1[[#This Row],[Selling EUR]]-Table1[[#This Row],[Cost EUR]]</f>
        <v>28</v>
      </c>
      <c r="AE507" s="321" t="s">
        <v>54</v>
      </c>
      <c r="AF507" s="294">
        <v>46119</v>
      </c>
      <c r="AG507" s="294"/>
      <c r="AH507" s="321"/>
      <c r="AI507" s="323"/>
      <c r="AJ507" s="338"/>
      <c r="AK507" s="323"/>
      <c r="AL507" s="338"/>
      <c r="AM507" s="338"/>
      <c r="AN507" s="323"/>
      <c r="AO507" s="282"/>
      <c r="AP507" s="306"/>
      <c r="AQ507" s="282"/>
      <c r="AR507" s="282"/>
      <c r="AS507" s="282"/>
      <c r="AT507" s="281"/>
      <c r="AU507" s="281"/>
      <c r="AV507" s="281"/>
      <c r="AW507" s="281"/>
      <c r="AX507" s="281"/>
      <c r="AY507" s="281"/>
      <c r="AZ507" s="281"/>
    </row>
    <row r="508" spans="1:52" ht="15" customHeight="1" x14ac:dyDescent="0.3">
      <c r="A508" s="294">
        <v>46055</v>
      </c>
      <c r="B508" s="321" t="s">
        <v>73</v>
      </c>
      <c r="C508" s="321" t="s">
        <v>73</v>
      </c>
      <c r="D508" s="294" t="s">
        <v>48</v>
      </c>
      <c r="E508" s="321" t="s">
        <v>49</v>
      </c>
      <c r="F508" s="295">
        <v>17294950</v>
      </c>
      <c r="G508" s="296"/>
      <c r="H508" s="280" t="s">
        <v>58</v>
      </c>
      <c r="I508" s="323" t="s">
        <v>62</v>
      </c>
      <c r="J508" s="323" t="s">
        <v>63</v>
      </c>
      <c r="K508" s="294">
        <v>46093</v>
      </c>
      <c r="L508" s="294">
        <v>46107</v>
      </c>
      <c r="M508" s="284">
        <f>Table1[[#This Row],[Dep Date]]-Table1[[#This Row],[Arr Date]]</f>
        <v>14</v>
      </c>
      <c r="N508" s="323" t="s">
        <v>52</v>
      </c>
      <c r="O508" s="321">
        <v>1</v>
      </c>
      <c r="P508" s="321">
        <v>2</v>
      </c>
      <c r="Q508" s="321"/>
      <c r="R508" s="321"/>
      <c r="S508" s="321" t="s">
        <v>53</v>
      </c>
      <c r="T508" s="326" t="s">
        <v>2104</v>
      </c>
      <c r="U508" s="297"/>
      <c r="V508" s="294"/>
      <c r="W508" s="297"/>
      <c r="X508" s="294"/>
      <c r="Y508" s="329"/>
      <c r="Z508" s="329"/>
      <c r="AA508" s="332">
        <f>Table1[[#This Row],[Selling USD]]-Table1[[#This Row],[Cost USD]]</f>
        <v>0</v>
      </c>
      <c r="AB508" s="335"/>
      <c r="AC508" s="298"/>
      <c r="AD508" s="299">
        <f>Table1[[#This Row],[Selling EUR]]-Table1[[#This Row],[Cost EUR]]</f>
        <v>0</v>
      </c>
      <c r="AE508" s="321"/>
      <c r="AF508" s="294"/>
      <c r="AG508" s="294"/>
      <c r="AH508" s="321"/>
      <c r="AI508" s="323"/>
      <c r="AJ508" s="338"/>
      <c r="AK508" s="323"/>
      <c r="AL508" s="338"/>
      <c r="AM508" s="338"/>
      <c r="AN508" s="323"/>
      <c r="AO508" s="282"/>
      <c r="AP508" s="306"/>
      <c r="AQ508" s="282"/>
      <c r="AR508" s="282"/>
      <c r="AS508" s="282"/>
      <c r="AT508" s="281"/>
      <c r="AU508" s="281"/>
      <c r="AV508" s="281"/>
      <c r="AW508" s="281"/>
      <c r="AX508" s="281"/>
      <c r="AY508" s="281"/>
      <c r="AZ508" s="281"/>
    </row>
    <row r="509" spans="1:52" ht="15" customHeight="1" x14ac:dyDescent="0.3">
      <c r="A509" s="294">
        <v>46025</v>
      </c>
      <c r="B509" s="321" t="s">
        <v>47</v>
      </c>
      <c r="C509" s="321" t="s">
        <v>47</v>
      </c>
      <c r="D509" s="294" t="s">
        <v>79</v>
      </c>
      <c r="E509" s="321" t="s">
        <v>138</v>
      </c>
      <c r="F509" s="295">
        <v>15320563</v>
      </c>
      <c r="G509" s="296">
        <v>20303677</v>
      </c>
      <c r="H509" s="280" t="s">
        <v>84</v>
      </c>
      <c r="I509" s="323" t="s">
        <v>172</v>
      </c>
      <c r="J509" s="323" t="s">
        <v>198</v>
      </c>
      <c r="K509" s="294">
        <v>46229</v>
      </c>
      <c r="L509" s="294">
        <v>46236</v>
      </c>
      <c r="M509" s="284">
        <f>Table1[[#This Row],[Dep Date]]-Table1[[#This Row],[Arr Date]]</f>
        <v>7</v>
      </c>
      <c r="N509" s="323" t="s">
        <v>70</v>
      </c>
      <c r="O509" s="321">
        <v>1</v>
      </c>
      <c r="P509" s="321">
        <v>3</v>
      </c>
      <c r="Q509" s="321">
        <v>2</v>
      </c>
      <c r="R509" s="321"/>
      <c r="S509" s="321" t="s">
        <v>53</v>
      </c>
      <c r="T509" s="326" t="s">
        <v>2624</v>
      </c>
      <c r="U509" s="297">
        <v>11</v>
      </c>
      <c r="V509" s="294"/>
      <c r="W509" s="297">
        <v>5</v>
      </c>
      <c r="X509" s="294"/>
      <c r="Y509" s="329"/>
      <c r="Z509" s="329"/>
      <c r="AA509" s="332">
        <f>Table1[[#This Row],[Selling USD]]-Table1[[#This Row],[Cost USD]]</f>
        <v>0</v>
      </c>
      <c r="AB509" s="335">
        <f>58*3*6+65*3*1</f>
        <v>1239</v>
      </c>
      <c r="AC509" s="298">
        <v>1693.8</v>
      </c>
      <c r="AD509" s="299">
        <f>Table1[[#This Row],[Selling EUR]]-Table1[[#This Row],[Cost EUR]]</f>
        <v>454.79999999999995</v>
      </c>
      <c r="AE509" s="321" t="s">
        <v>54</v>
      </c>
      <c r="AF509" s="294">
        <v>46215</v>
      </c>
      <c r="AG509" s="294"/>
      <c r="AH509" s="321"/>
      <c r="AI509" s="323"/>
      <c r="AJ509" s="338"/>
      <c r="AK509" s="323"/>
      <c r="AL509" s="338"/>
      <c r="AM509" s="338"/>
      <c r="AN509" s="323"/>
      <c r="AO509" s="282"/>
      <c r="AP509" s="306"/>
      <c r="AQ509" s="282"/>
      <c r="AR509" s="282"/>
      <c r="AS509" s="282"/>
      <c r="AT509" s="281"/>
      <c r="AU509" s="281"/>
      <c r="AV509" s="281"/>
      <c r="AW509" s="281"/>
      <c r="AX509" s="281"/>
      <c r="AY509" s="281"/>
      <c r="AZ509" s="281"/>
    </row>
    <row r="510" spans="1:52" ht="15" customHeight="1" x14ac:dyDescent="0.3">
      <c r="A510" s="294">
        <v>46018</v>
      </c>
      <c r="B510" s="321" t="s">
        <v>47</v>
      </c>
      <c r="C510" s="321" t="s">
        <v>47</v>
      </c>
      <c r="D510" s="294" t="s">
        <v>48</v>
      </c>
      <c r="E510" s="321" t="s">
        <v>49</v>
      </c>
      <c r="F510" s="295">
        <v>17181480</v>
      </c>
      <c r="G510" s="296"/>
      <c r="H510" s="280" t="s">
        <v>58</v>
      </c>
      <c r="I510" s="323" t="s">
        <v>64</v>
      </c>
      <c r="J510" s="323" t="s">
        <v>169</v>
      </c>
      <c r="K510" s="294">
        <v>46231</v>
      </c>
      <c r="L510" s="294">
        <v>46241</v>
      </c>
      <c r="M510" s="284">
        <f>Table1[[#This Row],[Dep Date]]-Table1[[#This Row],[Arr Date]]</f>
        <v>10</v>
      </c>
      <c r="N510" s="323" t="s">
        <v>52</v>
      </c>
      <c r="O510" s="321">
        <v>1</v>
      </c>
      <c r="P510" s="321">
        <v>2</v>
      </c>
      <c r="Q510" s="321"/>
      <c r="R510" s="321"/>
      <c r="S510" s="321" t="s">
        <v>53</v>
      </c>
      <c r="T510" s="326" t="s">
        <v>199</v>
      </c>
      <c r="U510" s="297">
        <v>9</v>
      </c>
      <c r="V510" s="294"/>
      <c r="W510" s="297">
        <v>2</v>
      </c>
      <c r="X510" s="294"/>
      <c r="Y510" s="329"/>
      <c r="Z510" s="329"/>
      <c r="AA510" s="332">
        <f>Table1[[#This Row],[Selling USD]]-Table1[[#This Row],[Cost USD]]</f>
        <v>0</v>
      </c>
      <c r="AB510" s="335">
        <f>51*2*10</f>
        <v>1020</v>
      </c>
      <c r="AC510" s="298">
        <v>1260</v>
      </c>
      <c r="AD510" s="299">
        <f>Table1[[#This Row],[Selling EUR]]-Table1[[#This Row],[Cost EUR]]</f>
        <v>240</v>
      </c>
      <c r="AE510" s="321" t="s">
        <v>54</v>
      </c>
      <c r="AF510" s="294">
        <v>46222</v>
      </c>
      <c r="AG510" s="294"/>
      <c r="AH510" s="321"/>
      <c r="AI510" s="323"/>
      <c r="AJ510" s="338"/>
      <c r="AK510" s="323"/>
      <c r="AL510" s="338"/>
      <c r="AM510" s="338"/>
      <c r="AN510" s="323"/>
      <c r="AO510" s="282"/>
      <c r="AP510" s="306"/>
      <c r="AQ510" s="282"/>
      <c r="AR510" s="282"/>
      <c r="AS510" s="282"/>
      <c r="AT510" s="281"/>
      <c r="AU510" s="281"/>
      <c r="AV510" s="281"/>
      <c r="AW510" s="281"/>
      <c r="AX510" s="281"/>
      <c r="AY510" s="281"/>
      <c r="AZ510" s="281"/>
    </row>
    <row r="511" spans="1:52" ht="15" customHeight="1" x14ac:dyDescent="0.3">
      <c r="A511" s="294">
        <v>46056</v>
      </c>
      <c r="B511" s="321" t="s">
        <v>47</v>
      </c>
      <c r="C511" s="321" t="s">
        <v>47</v>
      </c>
      <c r="D511" s="294" t="s">
        <v>48</v>
      </c>
      <c r="E511" s="321" t="s">
        <v>49</v>
      </c>
      <c r="F511" s="295">
        <v>17297586</v>
      </c>
      <c r="G511" s="296"/>
      <c r="H511" s="280" t="s">
        <v>84</v>
      </c>
      <c r="I511" s="323" t="s">
        <v>168</v>
      </c>
      <c r="J511" s="323" t="s">
        <v>2606</v>
      </c>
      <c r="K511" s="294">
        <v>46108</v>
      </c>
      <c r="L511" s="294">
        <v>46115</v>
      </c>
      <c r="M511" s="284">
        <f>Table1[[#This Row],[Dep Date]]-Table1[[#This Row],[Arr Date]]</f>
        <v>7</v>
      </c>
      <c r="N511" s="323" t="s">
        <v>65</v>
      </c>
      <c r="O511" s="321">
        <v>1</v>
      </c>
      <c r="P511" s="321">
        <v>1</v>
      </c>
      <c r="Q511" s="321"/>
      <c r="R511" s="321"/>
      <c r="S511" s="321" t="s">
        <v>53</v>
      </c>
      <c r="T511" s="326" t="s">
        <v>2105</v>
      </c>
      <c r="U511" s="297"/>
      <c r="V511" s="294"/>
      <c r="W511" s="297"/>
      <c r="X511" s="294"/>
      <c r="Y511" s="329"/>
      <c r="Z511" s="329"/>
      <c r="AA511" s="332">
        <f>Table1[[#This Row],[Selling USD]]-Table1[[#This Row],[Cost USD]]</f>
        <v>0</v>
      </c>
      <c r="AB511" s="335">
        <f>95*3+120.5*4</f>
        <v>767</v>
      </c>
      <c r="AC511" s="298">
        <v>869.5</v>
      </c>
      <c r="AD511" s="299">
        <f>Table1[[#This Row],[Selling EUR]]-Table1[[#This Row],[Cost EUR]]</f>
        <v>102.5</v>
      </c>
      <c r="AE511" s="321" t="s">
        <v>54</v>
      </c>
      <c r="AF511" s="294" t="s">
        <v>2276</v>
      </c>
      <c r="AG511" s="294"/>
      <c r="AH511" s="321"/>
      <c r="AI511" s="323"/>
      <c r="AJ511" s="338"/>
      <c r="AK511" s="323"/>
      <c r="AL511" s="338"/>
      <c r="AM511" s="338"/>
      <c r="AN511" s="323"/>
      <c r="AO511" s="282"/>
      <c r="AP511" s="306"/>
      <c r="AQ511" s="282"/>
      <c r="AR511" s="282"/>
      <c r="AS511" s="282"/>
      <c r="AT511" s="281"/>
      <c r="AU511" s="281"/>
      <c r="AV511" s="281"/>
      <c r="AW511" s="281"/>
      <c r="AX511" s="281"/>
      <c r="AY511" s="281"/>
      <c r="AZ511" s="281"/>
    </row>
    <row r="512" spans="1:52" ht="15" customHeight="1" x14ac:dyDescent="0.3">
      <c r="A512" s="294">
        <v>46056</v>
      </c>
      <c r="B512" s="321" t="s">
        <v>73</v>
      </c>
      <c r="C512" s="321" t="s">
        <v>73</v>
      </c>
      <c r="D512" s="294" t="s">
        <v>48</v>
      </c>
      <c r="E512" s="321" t="s">
        <v>138</v>
      </c>
      <c r="F512" s="295">
        <v>17299757</v>
      </c>
      <c r="G512" s="296"/>
      <c r="H512" s="280" t="s">
        <v>84</v>
      </c>
      <c r="I512" s="323" t="s">
        <v>168</v>
      </c>
      <c r="J512" s="323" t="s">
        <v>200</v>
      </c>
      <c r="K512" s="294">
        <v>46253</v>
      </c>
      <c r="L512" s="294">
        <v>46264</v>
      </c>
      <c r="M512" s="284">
        <f>Table1[[#This Row],[Dep Date]]-Table1[[#This Row],[Arr Date]]</f>
        <v>11</v>
      </c>
      <c r="N512" s="323" t="s">
        <v>52</v>
      </c>
      <c r="O512" s="321">
        <v>1</v>
      </c>
      <c r="P512" s="321">
        <v>2</v>
      </c>
      <c r="Q512" s="321">
        <v>2</v>
      </c>
      <c r="R512" s="321"/>
      <c r="S512" s="321" t="s">
        <v>53</v>
      </c>
      <c r="T512" s="326" t="s">
        <v>2106</v>
      </c>
      <c r="U512" s="297"/>
      <c r="V512" s="294"/>
      <c r="W512" s="297"/>
      <c r="X512" s="294"/>
      <c r="Y512" s="329"/>
      <c r="Z512" s="329"/>
      <c r="AA512" s="332">
        <f>Table1[[#This Row],[Selling USD]]-Table1[[#This Row],[Cost USD]]</f>
        <v>0</v>
      </c>
      <c r="AB512" s="335"/>
      <c r="AC512" s="298"/>
      <c r="AD512" s="299">
        <f>Table1[[#This Row],[Selling EUR]]-Table1[[#This Row],[Cost EUR]]</f>
        <v>0</v>
      </c>
      <c r="AE512" s="321"/>
      <c r="AF512" s="294"/>
      <c r="AG512" s="294"/>
      <c r="AH512" s="321"/>
      <c r="AI512" s="323"/>
      <c r="AJ512" s="338"/>
      <c r="AK512" s="323"/>
      <c r="AL512" s="338"/>
      <c r="AM512" s="338"/>
      <c r="AN512" s="323"/>
      <c r="AO512" s="282"/>
      <c r="AP512" s="306"/>
      <c r="AQ512" s="282"/>
      <c r="AR512" s="282"/>
      <c r="AS512" s="282"/>
      <c r="AT512" s="281"/>
      <c r="AU512" s="281"/>
      <c r="AV512" s="281"/>
      <c r="AW512" s="281"/>
      <c r="AX512" s="281"/>
      <c r="AY512" s="281"/>
      <c r="AZ512" s="281"/>
    </row>
    <row r="513" spans="1:52" ht="15" customHeight="1" x14ac:dyDescent="0.3">
      <c r="A513" s="294">
        <v>46057</v>
      </c>
      <c r="B513" s="321" t="s">
        <v>73</v>
      </c>
      <c r="C513" s="321" t="s">
        <v>73</v>
      </c>
      <c r="D513" s="294" t="s">
        <v>48</v>
      </c>
      <c r="E513" s="321" t="s">
        <v>49</v>
      </c>
      <c r="F513" s="295">
        <v>17303077</v>
      </c>
      <c r="G513" s="296"/>
      <c r="H513" s="280" t="s">
        <v>50</v>
      </c>
      <c r="I513" s="323" t="s">
        <v>201</v>
      </c>
      <c r="J513" s="323" t="s">
        <v>2574</v>
      </c>
      <c r="K513" s="294">
        <v>46289</v>
      </c>
      <c r="L513" s="294">
        <v>46299</v>
      </c>
      <c r="M513" s="284">
        <f>Table1[[#This Row],[Dep Date]]-Table1[[#This Row],[Arr Date]]</f>
        <v>10</v>
      </c>
      <c r="N513" s="323" t="s">
        <v>52</v>
      </c>
      <c r="O513" s="321">
        <v>1</v>
      </c>
      <c r="P513" s="321">
        <v>2</v>
      </c>
      <c r="Q513" s="321"/>
      <c r="R513" s="321"/>
      <c r="S513" s="321" t="s">
        <v>53</v>
      </c>
      <c r="T513" s="326" t="s">
        <v>2107</v>
      </c>
      <c r="U513" s="297"/>
      <c r="V513" s="294"/>
      <c r="W513" s="297"/>
      <c r="X513" s="294"/>
      <c r="Y513" s="329"/>
      <c r="Z513" s="329"/>
      <c r="AA513" s="332">
        <f>Table1[[#This Row],[Selling USD]]-Table1[[#This Row],[Cost USD]]</f>
        <v>0</v>
      </c>
      <c r="AB513" s="335"/>
      <c r="AC513" s="298"/>
      <c r="AD513" s="299">
        <f>Table1[[#This Row],[Selling EUR]]-Table1[[#This Row],[Cost EUR]]</f>
        <v>0</v>
      </c>
      <c r="AE513" s="321"/>
      <c r="AF513" s="294"/>
      <c r="AG513" s="294"/>
      <c r="AH513" s="321"/>
      <c r="AI513" s="323"/>
      <c r="AJ513" s="338"/>
      <c r="AK513" s="323"/>
      <c r="AL513" s="338"/>
      <c r="AM513" s="338"/>
      <c r="AN513" s="323"/>
      <c r="AO513" s="282"/>
      <c r="AP513" s="306"/>
      <c r="AQ513" s="282"/>
      <c r="AR513" s="282"/>
      <c r="AS513" s="282"/>
      <c r="AT513" s="281"/>
      <c r="AU513" s="281"/>
      <c r="AV513" s="281"/>
      <c r="AW513" s="281"/>
      <c r="AX513" s="281"/>
      <c r="AY513" s="281"/>
      <c r="AZ513" s="281"/>
    </row>
    <row r="514" spans="1:52" ht="15" customHeight="1" x14ac:dyDescent="0.3">
      <c r="A514" s="294">
        <v>46058</v>
      </c>
      <c r="B514" s="321" t="s">
        <v>47</v>
      </c>
      <c r="C514" s="321" t="s">
        <v>47</v>
      </c>
      <c r="D514" s="294" t="s">
        <v>48</v>
      </c>
      <c r="E514" s="321" t="s">
        <v>138</v>
      </c>
      <c r="F514" s="295">
        <v>17304933</v>
      </c>
      <c r="G514" s="296"/>
      <c r="H514" s="280" t="s">
        <v>84</v>
      </c>
      <c r="I514" s="323" t="s">
        <v>168</v>
      </c>
      <c r="J514" s="323" t="s">
        <v>200</v>
      </c>
      <c r="K514" s="294">
        <v>46166.041666666599</v>
      </c>
      <c r="L514" s="294">
        <v>46173.041666666599</v>
      </c>
      <c r="M514" s="284">
        <f>Table1[[#This Row],[Dep Date]]-Table1[[#This Row],[Arr Date]]</f>
        <v>7</v>
      </c>
      <c r="N514" s="323" t="s">
        <v>52</v>
      </c>
      <c r="O514" s="321">
        <v>1</v>
      </c>
      <c r="P514" s="321">
        <v>2</v>
      </c>
      <c r="Q514" s="321">
        <v>2</v>
      </c>
      <c r="R514" s="321"/>
      <c r="S514" s="321" t="s">
        <v>53</v>
      </c>
      <c r="T514" s="326" t="s">
        <v>2108</v>
      </c>
      <c r="U514" s="297">
        <v>8</v>
      </c>
      <c r="V514" s="294"/>
      <c r="W514" s="297">
        <v>6</v>
      </c>
      <c r="X514" s="294"/>
      <c r="Y514" s="329"/>
      <c r="Z514" s="329"/>
      <c r="AA514" s="332">
        <f>Table1[[#This Row],[Selling USD]]-Table1[[#This Row],[Cost USD]]</f>
        <v>0</v>
      </c>
      <c r="AB514" s="335">
        <f>59*2*7</f>
        <v>826</v>
      </c>
      <c r="AC514" s="298">
        <v>854</v>
      </c>
      <c r="AD514" s="299">
        <f>Table1[[#This Row],[Selling EUR]]-Table1[[#This Row],[Cost EUR]]</f>
        <v>28</v>
      </c>
      <c r="AE514" s="321" t="s">
        <v>54</v>
      </c>
      <c r="AF514" s="294">
        <v>46159.041666666599</v>
      </c>
      <c r="AG514" s="294" t="s">
        <v>2413</v>
      </c>
      <c r="AH514" s="321"/>
      <c r="AI514" s="323"/>
      <c r="AJ514" s="338"/>
      <c r="AK514" s="323"/>
      <c r="AL514" s="338"/>
      <c r="AM514" s="338"/>
      <c r="AN514" s="323"/>
      <c r="AO514" s="282"/>
      <c r="AP514" s="306"/>
      <c r="AQ514" s="282"/>
      <c r="AR514" s="282"/>
      <c r="AS514" s="282"/>
      <c r="AT514" s="281"/>
      <c r="AU514" s="281"/>
      <c r="AV514" s="281"/>
      <c r="AW514" s="281"/>
      <c r="AX514" s="281"/>
      <c r="AY514" s="281"/>
      <c r="AZ514" s="281"/>
    </row>
    <row r="515" spans="1:52" ht="15" customHeight="1" x14ac:dyDescent="0.3">
      <c r="A515" s="294">
        <v>46058</v>
      </c>
      <c r="B515" s="321" t="s">
        <v>47</v>
      </c>
      <c r="C515" s="321" t="s">
        <v>47</v>
      </c>
      <c r="D515" s="294" t="s">
        <v>48</v>
      </c>
      <c r="E515" s="321" t="s">
        <v>138</v>
      </c>
      <c r="F515" s="295">
        <v>17306729</v>
      </c>
      <c r="G515" s="296"/>
      <c r="H515" s="280" t="s">
        <v>84</v>
      </c>
      <c r="I515" s="323" t="s">
        <v>168</v>
      </c>
      <c r="J515" s="323" t="s">
        <v>191</v>
      </c>
      <c r="K515" s="294">
        <v>46256</v>
      </c>
      <c r="L515" s="294">
        <v>46264</v>
      </c>
      <c r="M515" s="284">
        <f>Table1[[#This Row],[Dep Date]]-Table1[[#This Row],[Arr Date]]</f>
        <v>8</v>
      </c>
      <c r="N515" s="323" t="s">
        <v>52</v>
      </c>
      <c r="O515" s="321">
        <v>1</v>
      </c>
      <c r="P515" s="321">
        <v>2</v>
      </c>
      <c r="Q515" s="321">
        <v>1</v>
      </c>
      <c r="R515" s="321"/>
      <c r="S515" s="321" t="s">
        <v>53</v>
      </c>
      <c r="T515" s="326" t="s">
        <v>2109</v>
      </c>
      <c r="U515" s="297">
        <v>11</v>
      </c>
      <c r="V515" s="294"/>
      <c r="W515" s="297"/>
      <c r="X515" s="294"/>
      <c r="Y515" s="329"/>
      <c r="Z515" s="329"/>
      <c r="AA515" s="332">
        <f>Table1[[#This Row],[Selling USD]]-Table1[[#This Row],[Cost USD]]</f>
        <v>0</v>
      </c>
      <c r="AB515" s="335">
        <f>58*2*8</f>
        <v>928</v>
      </c>
      <c r="AC515" s="298">
        <v>1105</v>
      </c>
      <c r="AD515" s="299">
        <f>Table1[[#This Row],[Selling EUR]]-Table1[[#This Row],[Cost EUR]]</f>
        <v>177</v>
      </c>
      <c r="AE515" s="321" t="s">
        <v>54</v>
      </c>
      <c r="AF515" s="294">
        <v>46245</v>
      </c>
      <c r="AG515" s="294"/>
      <c r="AH515" s="321"/>
      <c r="AI515" s="323"/>
      <c r="AJ515" s="338"/>
      <c r="AK515" s="323"/>
      <c r="AL515" s="338"/>
      <c r="AM515" s="338"/>
      <c r="AN515" s="323"/>
      <c r="AO515" s="282"/>
      <c r="AP515" s="306"/>
      <c r="AQ515" s="282"/>
      <c r="AR515" s="282"/>
      <c r="AS515" s="282"/>
      <c r="AT515" s="281"/>
      <c r="AU515" s="281"/>
      <c r="AV515" s="281"/>
      <c r="AW515" s="281"/>
      <c r="AX515" s="281"/>
      <c r="AY515" s="281"/>
      <c r="AZ515" s="281"/>
    </row>
    <row r="516" spans="1:52" ht="15" customHeight="1" x14ac:dyDescent="0.3">
      <c r="A516" s="294">
        <v>46059</v>
      </c>
      <c r="B516" s="321" t="s">
        <v>47</v>
      </c>
      <c r="C516" s="321" t="s">
        <v>47</v>
      </c>
      <c r="D516" s="294" t="s">
        <v>48</v>
      </c>
      <c r="E516" s="321" t="s">
        <v>49</v>
      </c>
      <c r="F516" s="295">
        <v>17308043</v>
      </c>
      <c r="G516" s="296"/>
      <c r="H516" s="280" t="s">
        <v>50</v>
      </c>
      <c r="I516" s="323" t="s">
        <v>68</v>
      </c>
      <c r="J516" s="323" t="s">
        <v>2625</v>
      </c>
      <c r="K516" s="294">
        <v>46139</v>
      </c>
      <c r="L516" s="294">
        <v>46153</v>
      </c>
      <c r="M516" s="284">
        <f>Table1[[#This Row],[Dep Date]]-Table1[[#This Row],[Arr Date]]</f>
        <v>14</v>
      </c>
      <c r="N516" s="323" t="s">
        <v>52</v>
      </c>
      <c r="O516" s="321">
        <v>1</v>
      </c>
      <c r="P516" s="321">
        <v>2</v>
      </c>
      <c r="Q516" s="321"/>
      <c r="R516" s="321"/>
      <c r="S516" s="321" t="s">
        <v>53</v>
      </c>
      <c r="T516" s="326" t="s">
        <v>2110</v>
      </c>
      <c r="U516" s="297"/>
      <c r="V516" s="294"/>
      <c r="W516" s="297"/>
      <c r="X516" s="294"/>
      <c r="Y516" s="329"/>
      <c r="Z516" s="329"/>
      <c r="AA516" s="332">
        <f>Table1[[#This Row],[Selling USD]]-Table1[[#This Row],[Cost USD]]</f>
        <v>0</v>
      </c>
      <c r="AB516" s="335">
        <f>50*2*4+50*2*10*0.9</f>
        <v>1300</v>
      </c>
      <c r="AC516" s="298">
        <v>1352</v>
      </c>
      <c r="AD516" s="299">
        <f>Table1[[#This Row],[Selling EUR]]-Table1[[#This Row],[Cost EUR]]</f>
        <v>52</v>
      </c>
      <c r="AE516" s="321" t="s">
        <v>54</v>
      </c>
      <c r="AF516" s="294">
        <v>46132</v>
      </c>
      <c r="AG516" s="294"/>
      <c r="AH516" s="321"/>
      <c r="AI516" s="323"/>
      <c r="AJ516" s="338"/>
      <c r="AK516" s="323"/>
      <c r="AL516" s="338"/>
      <c r="AM516" s="338"/>
      <c r="AN516" s="323"/>
      <c r="AO516" s="282"/>
      <c r="AP516" s="306"/>
      <c r="AQ516" s="282"/>
      <c r="AR516" s="282"/>
      <c r="AS516" s="282"/>
      <c r="AT516" s="281"/>
      <c r="AU516" s="281"/>
      <c r="AV516" s="281"/>
      <c r="AW516" s="281"/>
      <c r="AX516" s="281"/>
      <c r="AY516" s="281"/>
      <c r="AZ516" s="281"/>
    </row>
    <row r="517" spans="1:52" ht="15" customHeight="1" x14ac:dyDescent="0.3">
      <c r="A517" s="294">
        <v>46059</v>
      </c>
      <c r="B517" s="321" t="s">
        <v>47</v>
      </c>
      <c r="C517" s="321" t="s">
        <v>47</v>
      </c>
      <c r="D517" s="294" t="s">
        <v>48</v>
      </c>
      <c r="E517" s="321" t="s">
        <v>138</v>
      </c>
      <c r="F517" s="295">
        <v>17308538</v>
      </c>
      <c r="G517" s="296"/>
      <c r="H517" s="280" t="s">
        <v>84</v>
      </c>
      <c r="I517" s="323" t="s">
        <v>168</v>
      </c>
      <c r="J517" s="323" t="s">
        <v>191</v>
      </c>
      <c r="K517" s="294">
        <v>46256</v>
      </c>
      <c r="L517" s="294">
        <v>46264</v>
      </c>
      <c r="M517" s="284">
        <f>Table1[[#This Row],[Dep Date]]-Table1[[#This Row],[Arr Date]]</f>
        <v>8</v>
      </c>
      <c r="N517" s="323" t="s">
        <v>52</v>
      </c>
      <c r="O517" s="321">
        <v>1</v>
      </c>
      <c r="P517" s="321">
        <v>2</v>
      </c>
      <c r="Q517" s="321"/>
      <c r="R517" s="321"/>
      <c r="S517" s="321" t="s">
        <v>53</v>
      </c>
      <c r="T517" s="326" t="s">
        <v>2626</v>
      </c>
      <c r="U517" s="297"/>
      <c r="V517" s="294"/>
      <c r="W517" s="297"/>
      <c r="X517" s="294"/>
      <c r="Y517" s="329"/>
      <c r="Z517" s="329"/>
      <c r="AA517" s="332">
        <f>Table1[[#This Row],[Selling USD]]-Table1[[#This Row],[Cost USD]]</f>
        <v>0</v>
      </c>
      <c r="AB517" s="335">
        <f>58*2*8</f>
        <v>928</v>
      </c>
      <c r="AC517" s="298">
        <v>1105</v>
      </c>
      <c r="AD517" s="299">
        <f>Table1[[#This Row],[Selling EUR]]-Table1[[#This Row],[Cost EUR]]</f>
        <v>177</v>
      </c>
      <c r="AE517" s="321" t="s">
        <v>54</v>
      </c>
      <c r="AF517" s="294">
        <v>46245</v>
      </c>
      <c r="AG517" s="294"/>
      <c r="AH517" s="321"/>
      <c r="AI517" s="323"/>
      <c r="AJ517" s="338"/>
      <c r="AK517" s="323"/>
      <c r="AL517" s="338"/>
      <c r="AM517" s="338"/>
      <c r="AN517" s="323"/>
      <c r="AO517" s="282"/>
      <c r="AP517" s="306"/>
      <c r="AQ517" s="282"/>
      <c r="AR517" s="282"/>
      <c r="AS517" s="282"/>
      <c r="AT517" s="281"/>
      <c r="AU517" s="281"/>
      <c r="AV517" s="281"/>
      <c r="AW517" s="281"/>
      <c r="AX517" s="281"/>
      <c r="AY517" s="281"/>
      <c r="AZ517" s="281"/>
    </row>
    <row r="518" spans="1:52" ht="15" customHeight="1" x14ac:dyDescent="0.3">
      <c r="A518" s="294">
        <v>46059</v>
      </c>
      <c r="B518" s="321" t="s">
        <v>47</v>
      </c>
      <c r="C518" s="321" t="s">
        <v>47</v>
      </c>
      <c r="D518" s="294" t="s">
        <v>48</v>
      </c>
      <c r="E518" s="321" t="s">
        <v>138</v>
      </c>
      <c r="F518" s="295">
        <v>17309103</v>
      </c>
      <c r="G518" s="296"/>
      <c r="H518" s="280" t="s">
        <v>84</v>
      </c>
      <c r="I518" s="323" t="s">
        <v>168</v>
      </c>
      <c r="J518" s="323" t="s">
        <v>200</v>
      </c>
      <c r="K518" s="294">
        <v>46166.041666666599</v>
      </c>
      <c r="L518" s="294">
        <v>46173.041666666599</v>
      </c>
      <c r="M518" s="284">
        <f>Table1[[#This Row],[Dep Date]]-Table1[[#This Row],[Arr Date]]</f>
        <v>7</v>
      </c>
      <c r="N518" s="323" t="s">
        <v>52</v>
      </c>
      <c r="O518" s="321">
        <v>1</v>
      </c>
      <c r="P518" s="321">
        <v>2</v>
      </c>
      <c r="Q518" s="321">
        <v>2</v>
      </c>
      <c r="R518" s="321"/>
      <c r="S518" s="321" t="s">
        <v>53</v>
      </c>
      <c r="T518" s="326" t="s">
        <v>2111</v>
      </c>
      <c r="U518" s="297">
        <v>11</v>
      </c>
      <c r="V518" s="294"/>
      <c r="W518" s="297">
        <v>8</v>
      </c>
      <c r="X518" s="294"/>
      <c r="Y518" s="329"/>
      <c r="Z518" s="329"/>
      <c r="AA518" s="332">
        <f>Table1[[#This Row],[Selling USD]]-Table1[[#This Row],[Cost USD]]</f>
        <v>0</v>
      </c>
      <c r="AB518" s="335">
        <f>59*2*7</f>
        <v>826</v>
      </c>
      <c r="AC518" s="298">
        <v>854</v>
      </c>
      <c r="AD518" s="299">
        <f>Table1[[#This Row],[Selling EUR]]-Table1[[#This Row],[Cost EUR]]</f>
        <v>28</v>
      </c>
      <c r="AE518" s="321" t="s">
        <v>54</v>
      </c>
      <c r="AF518" s="294">
        <v>46159.041666666599</v>
      </c>
      <c r="AG518" s="294" t="s">
        <v>2413</v>
      </c>
      <c r="AH518" s="321"/>
      <c r="AI518" s="323"/>
      <c r="AJ518" s="338"/>
      <c r="AK518" s="323"/>
      <c r="AL518" s="338"/>
      <c r="AM518" s="338"/>
      <c r="AN518" s="323"/>
      <c r="AO518" s="282"/>
      <c r="AP518" s="306"/>
      <c r="AQ518" s="282"/>
      <c r="AR518" s="282"/>
      <c r="AS518" s="282"/>
      <c r="AT518" s="281"/>
      <c r="AU518" s="281"/>
      <c r="AV518" s="281"/>
      <c r="AW518" s="281"/>
      <c r="AX518" s="281"/>
      <c r="AY518" s="281"/>
      <c r="AZ518" s="281"/>
    </row>
    <row r="519" spans="1:52" ht="15" customHeight="1" x14ac:dyDescent="0.3">
      <c r="A519" s="294">
        <v>46061</v>
      </c>
      <c r="B519" s="321" t="s">
        <v>47</v>
      </c>
      <c r="C519" s="321" t="s">
        <v>47</v>
      </c>
      <c r="D519" s="294" t="s">
        <v>48</v>
      </c>
      <c r="E519" s="321" t="s">
        <v>138</v>
      </c>
      <c r="F519" s="295">
        <v>17314455</v>
      </c>
      <c r="G519" s="296"/>
      <c r="H519" s="280" t="s">
        <v>84</v>
      </c>
      <c r="I519" s="323" t="s">
        <v>168</v>
      </c>
      <c r="J519" s="323" t="s">
        <v>145</v>
      </c>
      <c r="K519" s="294">
        <v>46134</v>
      </c>
      <c r="L519" s="294">
        <v>46141.041666666599</v>
      </c>
      <c r="M519" s="284">
        <f>Table1[[#This Row],[Dep Date]]-Table1[[#This Row],[Arr Date]]</f>
        <v>7.0416666665987577</v>
      </c>
      <c r="N519" s="323" t="s">
        <v>52</v>
      </c>
      <c r="O519" s="321">
        <v>1</v>
      </c>
      <c r="P519" s="321">
        <v>2</v>
      </c>
      <c r="Q519" s="321"/>
      <c r="R519" s="321"/>
      <c r="S519" s="321" t="s">
        <v>53</v>
      </c>
      <c r="T519" s="326" t="s">
        <v>2112</v>
      </c>
      <c r="U519" s="297"/>
      <c r="V519" s="294"/>
      <c r="W519" s="297"/>
      <c r="X519" s="294"/>
      <c r="Y519" s="329"/>
      <c r="Z519" s="329"/>
      <c r="AA519" s="332">
        <f>Table1[[#This Row],[Selling USD]]-Table1[[#This Row],[Cost USD]]</f>
        <v>0</v>
      </c>
      <c r="AB519" s="335">
        <f>55*2*7</f>
        <v>770</v>
      </c>
      <c r="AC519" s="298">
        <v>868</v>
      </c>
      <c r="AD519" s="299">
        <f>Table1[[#This Row],[Selling EUR]]-Table1[[#This Row],[Cost EUR]]</f>
        <v>98</v>
      </c>
      <c r="AE519" s="321" t="s">
        <v>54</v>
      </c>
      <c r="AF519" s="294">
        <v>46127</v>
      </c>
      <c r="AG519" s="294"/>
      <c r="AH519" s="321"/>
      <c r="AI519" s="323"/>
      <c r="AJ519" s="338"/>
      <c r="AK519" s="323"/>
      <c r="AL519" s="338"/>
      <c r="AM519" s="338"/>
      <c r="AN519" s="323"/>
      <c r="AO519" s="282"/>
      <c r="AP519" s="306"/>
      <c r="AQ519" s="282"/>
      <c r="AR519" s="282"/>
      <c r="AS519" s="282"/>
      <c r="AT519" s="281"/>
      <c r="AU519" s="281"/>
      <c r="AV519" s="281"/>
      <c r="AW519" s="281"/>
      <c r="AX519" s="281"/>
      <c r="AY519" s="281"/>
      <c r="AZ519" s="281"/>
    </row>
    <row r="520" spans="1:52" ht="15" customHeight="1" x14ac:dyDescent="0.3">
      <c r="A520" s="294">
        <v>46080</v>
      </c>
      <c r="B520" s="321" t="s">
        <v>47</v>
      </c>
      <c r="C520" s="321" t="s">
        <v>47</v>
      </c>
      <c r="D520" s="294" t="s">
        <v>48</v>
      </c>
      <c r="E520" s="321" t="s">
        <v>49</v>
      </c>
      <c r="F520" s="295">
        <v>17381256</v>
      </c>
      <c r="G520" s="296"/>
      <c r="H520" s="280" t="s">
        <v>50</v>
      </c>
      <c r="I520" s="323" t="s">
        <v>68</v>
      </c>
      <c r="J520" s="323" t="s">
        <v>202</v>
      </c>
      <c r="K520" s="294">
        <v>46233</v>
      </c>
      <c r="L520" s="294">
        <v>46240</v>
      </c>
      <c r="M520" s="284">
        <f>Table1[[#This Row],[Dep Date]]-Table1[[#This Row],[Arr Date]]</f>
        <v>7</v>
      </c>
      <c r="N520" s="323" t="s">
        <v>52</v>
      </c>
      <c r="O520" s="321">
        <v>1</v>
      </c>
      <c r="P520" s="321">
        <v>2</v>
      </c>
      <c r="Q520" s="321">
        <v>2</v>
      </c>
      <c r="R520" s="321"/>
      <c r="S520" s="321" t="s">
        <v>53</v>
      </c>
      <c r="T520" s="326" t="s">
        <v>203</v>
      </c>
      <c r="U520" s="297">
        <v>15</v>
      </c>
      <c r="V520" s="294"/>
      <c r="W520" s="297">
        <v>13</v>
      </c>
      <c r="X520" s="294"/>
      <c r="Y520" s="329"/>
      <c r="Z520" s="329"/>
      <c r="AA520" s="332">
        <f>Table1[[#This Row],[Selling USD]]-Table1[[#This Row],[Cost USD]]</f>
        <v>0</v>
      </c>
      <c r="AB520" s="335">
        <f>(73*2*7)*0.9</f>
        <v>919.80000000000007</v>
      </c>
      <c r="AC520" s="298">
        <v>945</v>
      </c>
      <c r="AD520" s="299">
        <f>Table1[[#This Row],[Selling EUR]]-Table1[[#This Row],[Cost EUR]]</f>
        <v>25.199999999999932</v>
      </c>
      <c r="AE520" s="321" t="s">
        <v>54</v>
      </c>
      <c r="AF520" s="294">
        <v>46225</v>
      </c>
      <c r="AG520" s="294" t="s">
        <v>2424</v>
      </c>
      <c r="AH520" s="321"/>
      <c r="AI520" s="323"/>
      <c r="AJ520" s="338"/>
      <c r="AK520" s="323"/>
      <c r="AL520" s="338"/>
      <c r="AM520" s="338"/>
      <c r="AN520" s="323"/>
      <c r="AO520" s="282"/>
      <c r="AP520" s="306"/>
      <c r="AQ520" s="282"/>
      <c r="AR520" s="282"/>
      <c r="AS520" s="282"/>
      <c r="AT520" s="281"/>
      <c r="AU520" s="281"/>
      <c r="AV520" s="281"/>
      <c r="AW520" s="281"/>
      <c r="AX520" s="281"/>
      <c r="AY520" s="281"/>
      <c r="AZ520" s="281"/>
    </row>
    <row r="521" spans="1:52" ht="15" customHeight="1" x14ac:dyDescent="0.3">
      <c r="A521" s="294">
        <v>46063</v>
      </c>
      <c r="B521" s="321" t="s">
        <v>73</v>
      </c>
      <c r="C521" s="321" t="s">
        <v>73</v>
      </c>
      <c r="D521" s="294" t="s">
        <v>48</v>
      </c>
      <c r="E521" s="321" t="s">
        <v>49</v>
      </c>
      <c r="F521" s="295">
        <v>17321439</v>
      </c>
      <c r="G521" s="296"/>
      <c r="H521" s="280" t="s">
        <v>58</v>
      </c>
      <c r="I521" s="323" t="s">
        <v>62</v>
      </c>
      <c r="J521" s="323" t="s">
        <v>63</v>
      </c>
      <c r="K521" s="294">
        <v>46221</v>
      </c>
      <c r="L521" s="294">
        <v>46228</v>
      </c>
      <c r="M521" s="284">
        <f>Table1[[#This Row],[Dep Date]]-Table1[[#This Row],[Arr Date]]</f>
        <v>7</v>
      </c>
      <c r="N521" s="323" t="s">
        <v>52</v>
      </c>
      <c r="O521" s="321">
        <v>1</v>
      </c>
      <c r="P521" s="321">
        <v>2</v>
      </c>
      <c r="Q521" s="321"/>
      <c r="R521" s="321"/>
      <c r="S521" s="321" t="s">
        <v>53</v>
      </c>
      <c r="T521" s="326" t="s">
        <v>204</v>
      </c>
      <c r="U521" s="297">
        <v>10</v>
      </c>
      <c r="V521" s="294"/>
      <c r="W521" s="297"/>
      <c r="X521" s="294"/>
      <c r="Y521" s="329"/>
      <c r="Z521" s="329"/>
      <c r="AA521" s="332">
        <f>Table1[[#This Row],[Selling USD]]-Table1[[#This Row],[Cost USD]]</f>
        <v>0</v>
      </c>
      <c r="AB521" s="335"/>
      <c r="AC521" s="298"/>
      <c r="AD521" s="299">
        <f>Table1[[#This Row],[Selling EUR]]-Table1[[#This Row],[Cost EUR]]</f>
        <v>0</v>
      </c>
      <c r="AE521" s="321"/>
      <c r="AF521" s="294"/>
      <c r="AG521" s="294"/>
      <c r="AH521" s="321"/>
      <c r="AI521" s="323"/>
      <c r="AJ521" s="338"/>
      <c r="AK521" s="323"/>
      <c r="AL521" s="338"/>
      <c r="AM521" s="338"/>
      <c r="AN521" s="323"/>
      <c r="AO521" s="282"/>
      <c r="AP521" s="306"/>
      <c r="AQ521" s="282"/>
      <c r="AR521" s="282"/>
      <c r="AS521" s="282"/>
      <c r="AT521" s="281"/>
      <c r="AU521" s="281"/>
      <c r="AV521" s="281"/>
      <c r="AW521" s="281"/>
      <c r="AX521" s="281"/>
      <c r="AY521" s="281"/>
      <c r="AZ521" s="281"/>
    </row>
    <row r="522" spans="1:52" ht="15" customHeight="1" x14ac:dyDescent="0.3">
      <c r="A522" s="294">
        <v>46080</v>
      </c>
      <c r="B522" s="321" t="s">
        <v>47</v>
      </c>
      <c r="C522" s="321" t="s">
        <v>47</v>
      </c>
      <c r="D522" s="294" t="s">
        <v>48</v>
      </c>
      <c r="E522" s="321" t="s">
        <v>49</v>
      </c>
      <c r="F522" s="295">
        <v>17378842</v>
      </c>
      <c r="G522" s="296"/>
      <c r="H522" s="280" t="s">
        <v>50</v>
      </c>
      <c r="I522" s="323" t="s">
        <v>68</v>
      </c>
      <c r="J522" s="323" t="s">
        <v>202</v>
      </c>
      <c r="K522" s="294">
        <v>46237</v>
      </c>
      <c r="L522" s="294">
        <v>46244</v>
      </c>
      <c r="M522" s="284">
        <f>Table1[[#This Row],[Dep Date]]-Table1[[#This Row],[Arr Date]]</f>
        <v>7</v>
      </c>
      <c r="N522" s="323" t="s">
        <v>52</v>
      </c>
      <c r="O522" s="321">
        <v>1</v>
      </c>
      <c r="P522" s="321">
        <v>2</v>
      </c>
      <c r="Q522" s="321">
        <v>2</v>
      </c>
      <c r="R522" s="321"/>
      <c r="S522" s="321" t="s">
        <v>53</v>
      </c>
      <c r="T522" s="326" t="s">
        <v>2113</v>
      </c>
      <c r="U522" s="297">
        <v>15</v>
      </c>
      <c r="V522" s="294"/>
      <c r="W522" s="297">
        <v>15</v>
      </c>
      <c r="X522" s="294"/>
      <c r="Y522" s="329"/>
      <c r="Z522" s="329"/>
      <c r="AA522" s="332">
        <f>Table1[[#This Row],[Selling USD]]-Table1[[#This Row],[Cost USD]]</f>
        <v>0</v>
      </c>
      <c r="AB522" s="335">
        <f>(73*2*7)*0.9</f>
        <v>919.80000000000007</v>
      </c>
      <c r="AC522" s="298">
        <v>945</v>
      </c>
      <c r="AD522" s="299">
        <f>Table1[[#This Row],[Selling EUR]]-Table1[[#This Row],[Cost EUR]]</f>
        <v>25.199999999999932</v>
      </c>
      <c r="AE522" s="321" t="s">
        <v>54</v>
      </c>
      <c r="AF522" s="294">
        <v>46229</v>
      </c>
      <c r="AG522" s="294" t="s">
        <v>2424</v>
      </c>
      <c r="AH522" s="321"/>
      <c r="AI522" s="323"/>
      <c r="AJ522" s="338"/>
      <c r="AK522" s="323"/>
      <c r="AL522" s="338"/>
      <c r="AM522" s="338"/>
      <c r="AN522" s="323"/>
      <c r="AO522" s="282"/>
      <c r="AP522" s="306"/>
      <c r="AQ522" s="282"/>
      <c r="AR522" s="282"/>
      <c r="AS522" s="282"/>
      <c r="AT522" s="281"/>
      <c r="AU522" s="281"/>
      <c r="AV522" s="281"/>
      <c r="AW522" s="281"/>
      <c r="AX522" s="281"/>
      <c r="AY522" s="281"/>
      <c r="AZ522" s="281"/>
    </row>
    <row r="523" spans="1:52" ht="15" customHeight="1" x14ac:dyDescent="0.3">
      <c r="A523" s="294">
        <v>46064</v>
      </c>
      <c r="B523" s="321" t="s">
        <v>73</v>
      </c>
      <c r="C523" s="321" t="s">
        <v>73</v>
      </c>
      <c r="D523" s="294" t="s">
        <v>79</v>
      </c>
      <c r="E523" s="321" t="s">
        <v>138</v>
      </c>
      <c r="F523" s="295">
        <v>15910230</v>
      </c>
      <c r="G523" s="296">
        <v>20303722</v>
      </c>
      <c r="H523" s="280" t="s">
        <v>84</v>
      </c>
      <c r="I523" s="323" t="s">
        <v>177</v>
      </c>
      <c r="J523" s="323" t="s">
        <v>178</v>
      </c>
      <c r="K523" s="294">
        <v>46176</v>
      </c>
      <c r="L523" s="294">
        <v>46183</v>
      </c>
      <c r="M523" s="284">
        <f>Table1[[#This Row],[Dep Date]]-Table1[[#This Row],[Arr Date]]</f>
        <v>7</v>
      </c>
      <c r="N523" s="323" t="s">
        <v>52</v>
      </c>
      <c r="O523" s="321">
        <v>1</v>
      </c>
      <c r="P523" s="321">
        <v>2</v>
      </c>
      <c r="Q523" s="321">
        <v>1</v>
      </c>
      <c r="R523" s="321">
        <v>1</v>
      </c>
      <c r="S523" s="321" t="s">
        <v>53</v>
      </c>
      <c r="T523" s="326" t="s">
        <v>205</v>
      </c>
      <c r="U523" s="297">
        <v>7</v>
      </c>
      <c r="V523" s="294"/>
      <c r="W523" s="297">
        <v>2</v>
      </c>
      <c r="X523" s="294"/>
      <c r="Y523" s="329"/>
      <c r="Z523" s="329"/>
      <c r="AA523" s="332">
        <f>Table1[[#This Row],[Selling USD]]-Table1[[#This Row],[Cost USD]]</f>
        <v>0</v>
      </c>
      <c r="AB523" s="335"/>
      <c r="AC523" s="298"/>
      <c r="AD523" s="299">
        <f>Table1[[#This Row],[Selling EUR]]-Table1[[#This Row],[Cost EUR]]</f>
        <v>0</v>
      </c>
      <c r="AE523" s="321"/>
      <c r="AF523" s="294"/>
      <c r="AG523" s="294"/>
      <c r="AH523" s="321"/>
      <c r="AI523" s="323"/>
      <c r="AJ523" s="338"/>
      <c r="AK523" s="323"/>
      <c r="AL523" s="338"/>
      <c r="AM523" s="338"/>
      <c r="AN523" s="323"/>
      <c r="AO523" s="282"/>
      <c r="AP523" s="306"/>
      <c r="AQ523" s="282"/>
      <c r="AR523" s="282"/>
      <c r="AS523" s="282"/>
      <c r="AT523" s="281"/>
      <c r="AU523" s="281"/>
      <c r="AV523" s="281"/>
      <c r="AW523" s="281"/>
      <c r="AX523" s="281"/>
      <c r="AY523" s="281"/>
      <c r="AZ523" s="281"/>
    </row>
    <row r="524" spans="1:52" ht="15" customHeight="1" x14ac:dyDescent="0.3">
      <c r="A524" s="294">
        <v>46062</v>
      </c>
      <c r="B524" s="321" t="s">
        <v>47</v>
      </c>
      <c r="C524" s="321" t="s">
        <v>47</v>
      </c>
      <c r="D524" s="294" t="s">
        <v>48</v>
      </c>
      <c r="E524" s="321" t="s">
        <v>49</v>
      </c>
      <c r="F524" s="295">
        <v>17315959</v>
      </c>
      <c r="G524" s="296"/>
      <c r="H524" s="280" t="s">
        <v>50</v>
      </c>
      <c r="I524" s="323" t="s">
        <v>68</v>
      </c>
      <c r="J524" s="323" t="s">
        <v>2627</v>
      </c>
      <c r="K524" s="294">
        <v>46246</v>
      </c>
      <c r="L524" s="294">
        <v>46253</v>
      </c>
      <c r="M524" s="284">
        <f>Table1[[#This Row],[Dep Date]]-Table1[[#This Row],[Arr Date]]</f>
        <v>7</v>
      </c>
      <c r="N524" s="323" t="s">
        <v>52</v>
      </c>
      <c r="O524" s="321">
        <v>1</v>
      </c>
      <c r="P524" s="321">
        <v>2</v>
      </c>
      <c r="Q524" s="321">
        <v>2</v>
      </c>
      <c r="R524" s="321"/>
      <c r="S524" s="321" t="s">
        <v>53</v>
      </c>
      <c r="T524" s="326" t="s">
        <v>2114</v>
      </c>
      <c r="U524" s="297">
        <v>15</v>
      </c>
      <c r="V524" s="294"/>
      <c r="W524" s="297">
        <v>12</v>
      </c>
      <c r="X524" s="294"/>
      <c r="Y524" s="329"/>
      <c r="Z524" s="329"/>
      <c r="AA524" s="332">
        <f>Table1[[#This Row],[Selling USD]]-Table1[[#This Row],[Cost USD]]</f>
        <v>0</v>
      </c>
      <c r="AB524" s="335">
        <f>73*2*0.9*7</f>
        <v>919.80000000000007</v>
      </c>
      <c r="AC524" s="298">
        <v>945</v>
      </c>
      <c r="AD524" s="299">
        <f>Table1[[#This Row],[Selling EUR]]-Table1[[#This Row],[Cost EUR]]</f>
        <v>25.199999999999932</v>
      </c>
      <c r="AE524" s="321" t="s">
        <v>54</v>
      </c>
      <c r="AF524" s="294">
        <v>46236</v>
      </c>
      <c r="AG524" s="294" t="s">
        <v>2424</v>
      </c>
      <c r="AH524" s="321"/>
      <c r="AI524" s="323"/>
      <c r="AJ524" s="338"/>
      <c r="AK524" s="323"/>
      <c r="AL524" s="338"/>
      <c r="AM524" s="338"/>
      <c r="AN524" s="323"/>
      <c r="AO524" s="282"/>
      <c r="AP524" s="306"/>
      <c r="AQ524" s="282"/>
      <c r="AR524" s="282"/>
      <c r="AS524" s="282"/>
      <c r="AT524" s="281"/>
      <c r="AU524" s="281"/>
      <c r="AV524" s="281"/>
      <c r="AW524" s="281"/>
      <c r="AX524" s="281"/>
      <c r="AY524" s="281"/>
      <c r="AZ524" s="281"/>
    </row>
    <row r="525" spans="1:52" ht="15" customHeight="1" x14ac:dyDescent="0.3">
      <c r="A525" s="294">
        <v>46065</v>
      </c>
      <c r="B525" s="321" t="s">
        <v>47</v>
      </c>
      <c r="C525" s="321" t="s">
        <v>47</v>
      </c>
      <c r="D525" s="294" t="s">
        <v>79</v>
      </c>
      <c r="E525" s="321" t="s">
        <v>49</v>
      </c>
      <c r="F525" s="295">
        <v>15930535</v>
      </c>
      <c r="G525" s="296" t="s">
        <v>1615</v>
      </c>
      <c r="H525" s="280" t="s">
        <v>84</v>
      </c>
      <c r="I525" s="323" t="s">
        <v>206</v>
      </c>
      <c r="J525" s="323" t="s">
        <v>2473</v>
      </c>
      <c r="K525" s="294">
        <v>46097</v>
      </c>
      <c r="L525" s="294">
        <v>46110</v>
      </c>
      <c r="M525" s="284">
        <f>Table1[[#This Row],[Dep Date]]-Table1[[#This Row],[Arr Date]]</f>
        <v>13</v>
      </c>
      <c r="N525" s="323" t="s">
        <v>52</v>
      </c>
      <c r="O525" s="321">
        <v>1</v>
      </c>
      <c r="P525" s="321">
        <v>2</v>
      </c>
      <c r="Q525" s="321"/>
      <c r="R525" s="321"/>
      <c r="S525" s="321" t="s">
        <v>53</v>
      </c>
      <c r="T525" s="326" t="s">
        <v>2115</v>
      </c>
      <c r="U525" s="297"/>
      <c r="V525" s="294"/>
      <c r="W525" s="297"/>
      <c r="X525" s="294"/>
      <c r="Y525" s="329"/>
      <c r="Z525" s="329"/>
      <c r="AA525" s="332">
        <f>Table1[[#This Row],[Selling USD]]-Table1[[#This Row],[Cost USD]]</f>
        <v>0</v>
      </c>
      <c r="AB525" s="335">
        <f>142*13</f>
        <v>1846</v>
      </c>
      <c r="AC525" s="298">
        <v>1872</v>
      </c>
      <c r="AD525" s="299">
        <f>Table1[[#This Row],[Selling EUR]]-Table1[[#This Row],[Cost EUR]]</f>
        <v>26</v>
      </c>
      <c r="AE525" s="321" t="s">
        <v>54</v>
      </c>
      <c r="AF525" s="294">
        <v>46086</v>
      </c>
      <c r="AG525" s="294"/>
      <c r="AH525" s="321"/>
      <c r="AI525" s="323"/>
      <c r="AJ525" s="338"/>
      <c r="AK525" s="323"/>
      <c r="AL525" s="338"/>
      <c r="AM525" s="338"/>
      <c r="AN525" s="323"/>
      <c r="AO525" s="282"/>
      <c r="AP525" s="306"/>
      <c r="AQ525" s="282"/>
      <c r="AR525" s="282"/>
      <c r="AS525" s="282"/>
      <c r="AT525" s="281"/>
      <c r="AU525" s="281"/>
      <c r="AV525" s="281"/>
      <c r="AW525" s="281"/>
      <c r="AX525" s="281"/>
      <c r="AY525" s="281"/>
      <c r="AZ525" s="281"/>
    </row>
    <row r="526" spans="1:52" ht="15" customHeight="1" x14ac:dyDescent="0.3">
      <c r="A526" s="294">
        <v>46065</v>
      </c>
      <c r="B526" s="321" t="s">
        <v>73</v>
      </c>
      <c r="C526" s="321" t="s">
        <v>73</v>
      </c>
      <c r="D526" s="294" t="s">
        <v>48</v>
      </c>
      <c r="E526" s="321" t="s">
        <v>138</v>
      </c>
      <c r="F526" s="295">
        <v>17329478</v>
      </c>
      <c r="G526" s="296"/>
      <c r="H526" s="280" t="s">
        <v>84</v>
      </c>
      <c r="I526" s="323" t="s">
        <v>168</v>
      </c>
      <c r="J526" s="323" t="s">
        <v>200</v>
      </c>
      <c r="K526" s="294">
        <v>46238</v>
      </c>
      <c r="L526" s="294">
        <v>46245</v>
      </c>
      <c r="M526" s="284">
        <f>Table1[[#This Row],[Dep Date]]-Table1[[#This Row],[Arr Date]]</f>
        <v>7</v>
      </c>
      <c r="N526" s="323" t="s">
        <v>52</v>
      </c>
      <c r="O526" s="321">
        <v>1</v>
      </c>
      <c r="P526" s="321">
        <v>2</v>
      </c>
      <c r="Q526" s="321">
        <v>2</v>
      </c>
      <c r="R526" s="321"/>
      <c r="S526" s="321" t="s">
        <v>53</v>
      </c>
      <c r="T526" s="326" t="s">
        <v>2116</v>
      </c>
      <c r="U526" s="297">
        <v>10</v>
      </c>
      <c r="V526" s="294"/>
      <c r="W526" s="297">
        <v>7</v>
      </c>
      <c r="X526" s="294"/>
      <c r="Y526" s="329"/>
      <c r="Z526" s="329"/>
      <c r="AA526" s="332">
        <f>Table1[[#This Row],[Selling USD]]-Table1[[#This Row],[Cost USD]]</f>
        <v>0</v>
      </c>
      <c r="AB526" s="335"/>
      <c r="AC526" s="298"/>
      <c r="AD526" s="299">
        <f>Table1[[#This Row],[Selling EUR]]-Table1[[#This Row],[Cost EUR]]</f>
        <v>0</v>
      </c>
      <c r="AE526" s="321"/>
      <c r="AF526" s="294"/>
      <c r="AG526" s="294"/>
      <c r="AH526" s="321"/>
      <c r="AI526" s="323"/>
      <c r="AJ526" s="338"/>
      <c r="AK526" s="323"/>
      <c r="AL526" s="338"/>
      <c r="AM526" s="338"/>
      <c r="AN526" s="323"/>
      <c r="AO526" s="282"/>
      <c r="AP526" s="306"/>
      <c r="AQ526" s="282"/>
      <c r="AR526" s="282"/>
      <c r="AS526" s="282"/>
      <c r="AT526" s="281"/>
      <c r="AU526" s="281"/>
      <c r="AV526" s="281"/>
      <c r="AW526" s="281"/>
      <c r="AX526" s="281"/>
      <c r="AY526" s="281"/>
      <c r="AZ526" s="281"/>
    </row>
    <row r="527" spans="1:52" ht="15" customHeight="1" x14ac:dyDescent="0.3">
      <c r="A527" s="294">
        <v>46069</v>
      </c>
      <c r="B527" s="321" t="s">
        <v>47</v>
      </c>
      <c r="C527" s="321" t="s">
        <v>47</v>
      </c>
      <c r="D527" s="294" t="s">
        <v>48</v>
      </c>
      <c r="E527" s="321" t="s">
        <v>49</v>
      </c>
      <c r="F527" s="295">
        <v>17338961</v>
      </c>
      <c r="G527" s="296"/>
      <c r="H527" s="280" t="s">
        <v>50</v>
      </c>
      <c r="I527" s="323" t="s">
        <v>64</v>
      </c>
      <c r="J527" s="323" t="s">
        <v>2620</v>
      </c>
      <c r="K527" s="294">
        <v>46122</v>
      </c>
      <c r="L527" s="294">
        <v>46129</v>
      </c>
      <c r="M527" s="284">
        <f>Table1[[#This Row],[Dep Date]]-Table1[[#This Row],[Arr Date]]</f>
        <v>7</v>
      </c>
      <c r="N527" s="323" t="s">
        <v>52</v>
      </c>
      <c r="O527" s="321">
        <v>1</v>
      </c>
      <c r="P527" s="321">
        <v>2</v>
      </c>
      <c r="Q527" s="321">
        <v>1</v>
      </c>
      <c r="R527" s="321"/>
      <c r="S527" s="321" t="s">
        <v>53</v>
      </c>
      <c r="T527" s="326" t="s">
        <v>2117</v>
      </c>
      <c r="U527" s="297">
        <v>12</v>
      </c>
      <c r="V527" s="294"/>
      <c r="W527" s="297"/>
      <c r="X527" s="294"/>
      <c r="Y527" s="329"/>
      <c r="Z527" s="329"/>
      <c r="AA527" s="332">
        <f>Table1[[#This Row],[Selling USD]]-Table1[[#This Row],[Cost USD]]</f>
        <v>0</v>
      </c>
      <c r="AB527" s="335">
        <f>42*2*7</f>
        <v>588</v>
      </c>
      <c r="AC527" s="298">
        <v>630</v>
      </c>
      <c r="AD527" s="299">
        <f>Table1[[#This Row],[Selling EUR]]-Table1[[#This Row],[Cost EUR]]</f>
        <v>42</v>
      </c>
      <c r="AE527" s="321" t="s">
        <v>54</v>
      </c>
      <c r="AF527" s="294">
        <v>46114</v>
      </c>
      <c r="AG527" s="294"/>
      <c r="AH527" s="321"/>
      <c r="AI527" s="323"/>
      <c r="AJ527" s="338"/>
      <c r="AK527" s="323"/>
      <c r="AL527" s="338"/>
      <c r="AM527" s="338"/>
      <c r="AN527" s="323"/>
      <c r="AO527" s="282"/>
      <c r="AP527" s="306"/>
      <c r="AQ527" s="282"/>
      <c r="AR527" s="282"/>
      <c r="AS527" s="282"/>
      <c r="AT527" s="281"/>
      <c r="AU527" s="281"/>
      <c r="AV527" s="281"/>
      <c r="AW527" s="281"/>
      <c r="AX527" s="281"/>
      <c r="AY527" s="281"/>
      <c r="AZ527" s="281"/>
    </row>
    <row r="528" spans="1:52" ht="15" customHeight="1" x14ac:dyDescent="0.3">
      <c r="A528" s="294">
        <v>46069</v>
      </c>
      <c r="B528" s="321" t="s">
        <v>73</v>
      </c>
      <c r="C528" s="321" t="s">
        <v>73</v>
      </c>
      <c r="D528" s="294" t="s">
        <v>48</v>
      </c>
      <c r="E528" s="321" t="s">
        <v>49</v>
      </c>
      <c r="F528" s="295">
        <v>17342831</v>
      </c>
      <c r="G528" s="296"/>
      <c r="H528" s="280" t="s">
        <v>58</v>
      </c>
      <c r="I528" s="323" t="s">
        <v>62</v>
      </c>
      <c r="J528" s="323" t="s">
        <v>63</v>
      </c>
      <c r="K528" s="294">
        <v>46134</v>
      </c>
      <c r="L528" s="294">
        <v>46148.041666666664</v>
      </c>
      <c r="M528" s="284">
        <f>Table1[[#This Row],[Dep Date]]-Table1[[#This Row],[Arr Date]]</f>
        <v>14.041666666664241</v>
      </c>
      <c r="N528" s="323" t="s">
        <v>52</v>
      </c>
      <c r="O528" s="321">
        <v>1</v>
      </c>
      <c r="P528" s="321">
        <v>2</v>
      </c>
      <c r="Q528" s="321"/>
      <c r="R528" s="321"/>
      <c r="S528" s="321" t="s">
        <v>53</v>
      </c>
      <c r="T528" s="326" t="s">
        <v>2118</v>
      </c>
      <c r="U528" s="297"/>
      <c r="V528" s="294"/>
      <c r="W528" s="297"/>
      <c r="X528" s="294"/>
      <c r="Y528" s="329"/>
      <c r="Z528" s="329"/>
      <c r="AA528" s="332">
        <f>Table1[[#This Row],[Selling USD]]-Table1[[#This Row],[Cost USD]]</f>
        <v>0</v>
      </c>
      <c r="AB528" s="335"/>
      <c r="AC528" s="298"/>
      <c r="AD528" s="299">
        <f>Table1[[#This Row],[Selling EUR]]-Table1[[#This Row],[Cost EUR]]</f>
        <v>0</v>
      </c>
      <c r="AE528" s="321"/>
      <c r="AF528" s="294"/>
      <c r="AG528" s="294"/>
      <c r="AH528" s="321"/>
      <c r="AI528" s="323"/>
      <c r="AJ528" s="338"/>
      <c r="AK528" s="323"/>
      <c r="AL528" s="338"/>
      <c r="AM528" s="338"/>
      <c r="AN528" s="323"/>
      <c r="AO528" s="282"/>
      <c r="AP528" s="306"/>
      <c r="AQ528" s="282"/>
      <c r="AR528" s="282"/>
      <c r="AS528" s="282"/>
      <c r="AT528" s="281"/>
      <c r="AU528" s="281"/>
      <c r="AV528" s="281"/>
      <c r="AW528" s="281"/>
      <c r="AX528" s="281"/>
      <c r="AY528" s="281"/>
      <c r="AZ528" s="281"/>
    </row>
    <row r="529" spans="1:52" ht="15" customHeight="1" x14ac:dyDescent="0.3">
      <c r="A529" s="294">
        <v>46069</v>
      </c>
      <c r="B529" s="321" t="s">
        <v>47</v>
      </c>
      <c r="C529" s="321" t="s">
        <v>47</v>
      </c>
      <c r="D529" s="294" t="s">
        <v>48</v>
      </c>
      <c r="E529" s="321" t="s">
        <v>49</v>
      </c>
      <c r="F529" s="295">
        <v>17340983</v>
      </c>
      <c r="G529" s="296"/>
      <c r="H529" s="280" t="s">
        <v>50</v>
      </c>
      <c r="I529" s="323" t="s">
        <v>68</v>
      </c>
      <c r="J529" s="323" t="s">
        <v>2628</v>
      </c>
      <c r="K529" s="294">
        <v>46124</v>
      </c>
      <c r="L529" s="294">
        <v>46131</v>
      </c>
      <c r="M529" s="284">
        <f>Table1[[#This Row],[Dep Date]]-Table1[[#This Row],[Arr Date]]</f>
        <v>7</v>
      </c>
      <c r="N529" s="323" t="s">
        <v>52</v>
      </c>
      <c r="O529" s="321">
        <v>1</v>
      </c>
      <c r="P529" s="321">
        <v>2</v>
      </c>
      <c r="Q529" s="321"/>
      <c r="R529" s="321"/>
      <c r="S529" s="321" t="s">
        <v>53</v>
      </c>
      <c r="T529" s="326" t="s">
        <v>2119</v>
      </c>
      <c r="U529" s="297">
        <v>15</v>
      </c>
      <c r="V529" s="294"/>
      <c r="W529" s="297">
        <v>13</v>
      </c>
      <c r="X529" s="294"/>
      <c r="Y529" s="329"/>
      <c r="Z529" s="329"/>
      <c r="AA529" s="332">
        <f>Table1[[#This Row],[Selling USD]]-Table1[[#This Row],[Cost USD]]</f>
        <v>0</v>
      </c>
      <c r="AB529" s="335">
        <f>65*2*7</f>
        <v>910</v>
      </c>
      <c r="AC529" s="298">
        <v>966</v>
      </c>
      <c r="AD529" s="299">
        <f>Table1[[#This Row],[Selling EUR]]-Table1[[#This Row],[Cost EUR]]</f>
        <v>56</v>
      </c>
      <c r="AE529" s="321" t="s">
        <v>54</v>
      </c>
      <c r="AF529" s="294">
        <v>46117</v>
      </c>
      <c r="AG529" s="294"/>
      <c r="AH529" s="321"/>
      <c r="AI529" s="323"/>
      <c r="AJ529" s="338"/>
      <c r="AK529" s="323"/>
      <c r="AL529" s="338"/>
      <c r="AM529" s="338"/>
      <c r="AN529" s="323"/>
      <c r="AO529" s="282"/>
      <c r="AP529" s="306"/>
      <c r="AQ529" s="282"/>
      <c r="AR529" s="282"/>
      <c r="AS529" s="282"/>
      <c r="AT529" s="281"/>
      <c r="AU529" s="281"/>
      <c r="AV529" s="281"/>
      <c r="AW529" s="281"/>
      <c r="AX529" s="281"/>
      <c r="AY529" s="281"/>
      <c r="AZ529" s="281"/>
    </row>
    <row r="530" spans="1:52" ht="15" customHeight="1" x14ac:dyDescent="0.3">
      <c r="A530" s="294">
        <v>46070</v>
      </c>
      <c r="B530" s="321" t="s">
        <v>73</v>
      </c>
      <c r="C530" s="321" t="s">
        <v>73</v>
      </c>
      <c r="D530" s="294" t="s">
        <v>79</v>
      </c>
      <c r="E530" s="321" t="s">
        <v>138</v>
      </c>
      <c r="F530" s="295">
        <v>16004983</v>
      </c>
      <c r="G530" s="296">
        <v>20303725</v>
      </c>
      <c r="H530" s="280" t="s">
        <v>84</v>
      </c>
      <c r="I530" s="323" t="s">
        <v>177</v>
      </c>
      <c r="J530" s="323" t="s">
        <v>98</v>
      </c>
      <c r="K530" s="294">
        <v>46140.041666666599</v>
      </c>
      <c r="L530" s="294">
        <v>46147.041666666599</v>
      </c>
      <c r="M530" s="284">
        <f>Table1[[#This Row],[Dep Date]]-Table1[[#This Row],[Arr Date]]</f>
        <v>7</v>
      </c>
      <c r="N530" s="323" t="s">
        <v>52</v>
      </c>
      <c r="O530" s="321">
        <v>1</v>
      </c>
      <c r="P530" s="321">
        <v>2</v>
      </c>
      <c r="Q530" s="321"/>
      <c r="R530" s="321"/>
      <c r="S530" s="321" t="s">
        <v>53</v>
      </c>
      <c r="T530" s="326" t="s">
        <v>2120</v>
      </c>
      <c r="U530" s="297"/>
      <c r="V530" s="294"/>
      <c r="W530" s="297"/>
      <c r="X530" s="294"/>
      <c r="Y530" s="329"/>
      <c r="Z530" s="329"/>
      <c r="AA530" s="332">
        <f>Table1[[#This Row],[Selling USD]]-Table1[[#This Row],[Cost USD]]</f>
        <v>0</v>
      </c>
      <c r="AB530" s="335"/>
      <c r="AC530" s="298"/>
      <c r="AD530" s="299">
        <f>Table1[[#This Row],[Selling EUR]]-Table1[[#This Row],[Cost EUR]]</f>
        <v>0</v>
      </c>
      <c r="AE530" s="321"/>
      <c r="AF530" s="294"/>
      <c r="AG530" s="294"/>
      <c r="AH530" s="321"/>
      <c r="AI530" s="323"/>
      <c r="AJ530" s="338"/>
      <c r="AK530" s="323"/>
      <c r="AL530" s="338"/>
      <c r="AM530" s="338"/>
      <c r="AN530" s="323"/>
      <c r="AO530" s="282"/>
      <c r="AP530" s="306"/>
      <c r="AQ530" s="282"/>
      <c r="AR530" s="282"/>
      <c r="AS530" s="282"/>
      <c r="AT530" s="281"/>
      <c r="AU530" s="281"/>
      <c r="AV530" s="281"/>
      <c r="AW530" s="281"/>
      <c r="AX530" s="281"/>
      <c r="AY530" s="281"/>
      <c r="AZ530" s="281"/>
    </row>
    <row r="531" spans="1:52" ht="15" customHeight="1" x14ac:dyDescent="0.3">
      <c r="A531" s="294">
        <v>46071</v>
      </c>
      <c r="B531" s="321" t="s">
        <v>73</v>
      </c>
      <c r="C531" s="321" t="s">
        <v>73</v>
      </c>
      <c r="D531" s="294" t="s">
        <v>48</v>
      </c>
      <c r="E531" s="321" t="s">
        <v>49</v>
      </c>
      <c r="F531" s="295">
        <v>17347316</v>
      </c>
      <c r="G531" s="296"/>
      <c r="H531" s="280" t="s">
        <v>58</v>
      </c>
      <c r="I531" s="323" t="s">
        <v>189</v>
      </c>
      <c r="J531" s="323" t="s">
        <v>2620</v>
      </c>
      <c r="K531" s="294">
        <v>46160.041666666599</v>
      </c>
      <c r="L531" s="294">
        <v>46174</v>
      </c>
      <c r="M531" s="284">
        <f>Table1[[#This Row],[Dep Date]]-Table1[[#This Row],[Arr Date]]</f>
        <v>13.958333333401242</v>
      </c>
      <c r="N531" s="323" t="s">
        <v>52</v>
      </c>
      <c r="O531" s="321">
        <v>1</v>
      </c>
      <c r="P531" s="321">
        <v>2</v>
      </c>
      <c r="Q531" s="321"/>
      <c r="R531" s="321"/>
      <c r="S531" s="321" t="s">
        <v>53</v>
      </c>
      <c r="T531" s="326" t="s">
        <v>2121</v>
      </c>
      <c r="U531" s="297"/>
      <c r="V531" s="294"/>
      <c r="W531" s="297"/>
      <c r="X531" s="294"/>
      <c r="Y531" s="329"/>
      <c r="Z531" s="329"/>
      <c r="AA531" s="332">
        <f>Table1[[#This Row],[Selling USD]]-Table1[[#This Row],[Cost USD]]</f>
        <v>0</v>
      </c>
      <c r="AB531" s="335"/>
      <c r="AC531" s="298"/>
      <c r="AD531" s="299">
        <f>Table1[[#This Row],[Selling EUR]]-Table1[[#This Row],[Cost EUR]]</f>
        <v>0</v>
      </c>
      <c r="AE531" s="321"/>
      <c r="AF531" s="294"/>
      <c r="AG531" s="294"/>
      <c r="AH531" s="321"/>
      <c r="AI531" s="323"/>
      <c r="AJ531" s="338"/>
      <c r="AK531" s="323"/>
      <c r="AL531" s="338"/>
      <c r="AM531" s="338"/>
      <c r="AN531" s="323"/>
      <c r="AO531" s="282"/>
      <c r="AP531" s="306"/>
      <c r="AQ531" s="282"/>
      <c r="AR531" s="282"/>
      <c r="AS531" s="282"/>
      <c r="AT531" s="281"/>
      <c r="AU531" s="281"/>
      <c r="AV531" s="281"/>
      <c r="AW531" s="281"/>
      <c r="AX531" s="281"/>
      <c r="AY531" s="281"/>
      <c r="AZ531" s="281"/>
    </row>
    <row r="532" spans="1:52" ht="15" customHeight="1" x14ac:dyDescent="0.3">
      <c r="A532" s="294">
        <v>46071</v>
      </c>
      <c r="B532" s="321" t="s">
        <v>47</v>
      </c>
      <c r="C532" s="321" t="s">
        <v>47</v>
      </c>
      <c r="D532" s="294" t="s">
        <v>48</v>
      </c>
      <c r="E532" s="321" t="s">
        <v>138</v>
      </c>
      <c r="F532" s="295">
        <v>17348098</v>
      </c>
      <c r="G532" s="296"/>
      <c r="H532" s="280" t="s">
        <v>84</v>
      </c>
      <c r="I532" s="323" t="s">
        <v>168</v>
      </c>
      <c r="J532" s="323" t="s">
        <v>145</v>
      </c>
      <c r="K532" s="294">
        <v>46238</v>
      </c>
      <c r="L532" s="294">
        <v>46245</v>
      </c>
      <c r="M532" s="284">
        <f>Table1[[#This Row],[Dep Date]]-Table1[[#This Row],[Arr Date]]</f>
        <v>7</v>
      </c>
      <c r="N532" s="323" t="s">
        <v>52</v>
      </c>
      <c r="O532" s="321">
        <v>1</v>
      </c>
      <c r="P532" s="321">
        <v>2</v>
      </c>
      <c r="Q532" s="321"/>
      <c r="R532" s="321"/>
      <c r="S532" s="321" t="s">
        <v>53</v>
      </c>
      <c r="T532" s="326" t="s">
        <v>2122</v>
      </c>
      <c r="U532" s="297"/>
      <c r="V532" s="294"/>
      <c r="W532" s="297"/>
      <c r="X532" s="294"/>
      <c r="Y532" s="329"/>
      <c r="Z532" s="329"/>
      <c r="AA532" s="332">
        <f>Table1[[#This Row],[Selling USD]]-Table1[[#This Row],[Cost USD]]</f>
        <v>0</v>
      </c>
      <c r="AB532" s="335">
        <f>58*2*7</f>
        <v>812</v>
      </c>
      <c r="AC532" s="298">
        <v>1064</v>
      </c>
      <c r="AD532" s="299">
        <f>Table1[[#This Row],[Selling EUR]]-Table1[[#This Row],[Cost EUR]]</f>
        <v>252</v>
      </c>
      <c r="AE532" s="321" t="s">
        <v>54</v>
      </c>
      <c r="AF532" s="294">
        <v>46232</v>
      </c>
      <c r="AG532" s="294"/>
      <c r="AH532" s="321"/>
      <c r="AI532" s="323"/>
      <c r="AJ532" s="338"/>
      <c r="AK532" s="323"/>
      <c r="AL532" s="338"/>
      <c r="AM532" s="338"/>
      <c r="AN532" s="323"/>
      <c r="AO532" s="282"/>
      <c r="AP532" s="306"/>
      <c r="AQ532" s="282"/>
      <c r="AR532" s="282"/>
      <c r="AS532" s="282"/>
      <c r="AT532" s="281"/>
      <c r="AU532" s="281"/>
      <c r="AV532" s="281"/>
      <c r="AW532" s="281"/>
      <c r="AX532" s="281"/>
      <c r="AY532" s="281"/>
      <c r="AZ532" s="281"/>
    </row>
    <row r="533" spans="1:52" ht="15" customHeight="1" x14ac:dyDescent="0.3">
      <c r="A533" s="294">
        <v>46071</v>
      </c>
      <c r="B533" s="321" t="s">
        <v>73</v>
      </c>
      <c r="C533" s="321" t="s">
        <v>73</v>
      </c>
      <c r="D533" s="294" t="s">
        <v>48</v>
      </c>
      <c r="E533" s="321" t="s">
        <v>49</v>
      </c>
      <c r="F533" s="295">
        <v>17349786</v>
      </c>
      <c r="G533" s="296"/>
      <c r="H533" s="280" t="s">
        <v>58</v>
      </c>
      <c r="I533" s="323" t="s">
        <v>189</v>
      </c>
      <c r="J533" s="323" t="s">
        <v>2620</v>
      </c>
      <c r="K533" s="294">
        <v>46160.041666666599</v>
      </c>
      <c r="L533" s="294">
        <v>46174</v>
      </c>
      <c r="M533" s="284">
        <f>Table1[[#This Row],[Dep Date]]-Table1[[#This Row],[Arr Date]]</f>
        <v>13.958333333401242</v>
      </c>
      <c r="N533" s="323" t="s">
        <v>52</v>
      </c>
      <c r="O533" s="321">
        <v>1</v>
      </c>
      <c r="P533" s="321">
        <v>2</v>
      </c>
      <c r="Q533" s="321"/>
      <c r="R533" s="321"/>
      <c r="S533" s="321" t="s">
        <v>53</v>
      </c>
      <c r="T533" s="326" t="s">
        <v>2123</v>
      </c>
      <c r="U533" s="297"/>
      <c r="V533" s="294"/>
      <c r="W533" s="297"/>
      <c r="X533" s="294"/>
      <c r="Y533" s="329"/>
      <c r="Z533" s="329"/>
      <c r="AA533" s="332">
        <f>Table1[[#This Row],[Selling USD]]-Table1[[#This Row],[Cost USD]]</f>
        <v>0</v>
      </c>
      <c r="AB533" s="335"/>
      <c r="AC533" s="298"/>
      <c r="AD533" s="299">
        <f>Table1[[#This Row],[Selling EUR]]-Table1[[#This Row],[Cost EUR]]</f>
        <v>0</v>
      </c>
      <c r="AE533" s="321"/>
      <c r="AF533" s="294"/>
      <c r="AG533" s="294"/>
      <c r="AH533" s="321"/>
      <c r="AI533" s="323"/>
      <c r="AJ533" s="338"/>
      <c r="AK533" s="323"/>
      <c r="AL533" s="338"/>
      <c r="AM533" s="338"/>
      <c r="AN533" s="323"/>
      <c r="AO533" s="282"/>
      <c r="AP533" s="306"/>
      <c r="AQ533" s="282"/>
      <c r="AR533" s="282"/>
      <c r="AS533" s="282"/>
      <c r="AT533" s="281"/>
      <c r="AU533" s="281"/>
      <c r="AV533" s="281"/>
      <c r="AW533" s="281"/>
      <c r="AX533" s="281"/>
      <c r="AY533" s="281"/>
      <c r="AZ533" s="281"/>
    </row>
    <row r="534" spans="1:52" ht="15" customHeight="1" x14ac:dyDescent="0.3">
      <c r="A534" s="294">
        <v>46111</v>
      </c>
      <c r="B534" s="321" t="s">
        <v>47</v>
      </c>
      <c r="C534" s="321" t="s">
        <v>47</v>
      </c>
      <c r="D534" s="294" t="s">
        <v>48</v>
      </c>
      <c r="E534" s="321" t="s">
        <v>49</v>
      </c>
      <c r="F534" s="295">
        <v>17471493</v>
      </c>
      <c r="G534" s="296"/>
      <c r="H534" s="280" t="s">
        <v>58</v>
      </c>
      <c r="I534" s="323" t="s">
        <v>62</v>
      </c>
      <c r="J534" s="323" t="s">
        <v>63</v>
      </c>
      <c r="K534" s="294">
        <v>46147.041666666599</v>
      </c>
      <c r="L534" s="294">
        <v>46160.041666666599</v>
      </c>
      <c r="M534" s="284">
        <f>Table1[[#This Row],[Dep Date]]-Table1[[#This Row],[Arr Date]]</f>
        <v>13</v>
      </c>
      <c r="N534" s="323" t="s">
        <v>52</v>
      </c>
      <c r="O534" s="321">
        <v>1</v>
      </c>
      <c r="P534" s="321">
        <v>2</v>
      </c>
      <c r="Q534" s="321"/>
      <c r="R534" s="321"/>
      <c r="S534" s="321" t="s">
        <v>53</v>
      </c>
      <c r="T534" s="326" t="s">
        <v>2124</v>
      </c>
      <c r="U534" s="297"/>
      <c r="V534" s="294"/>
      <c r="W534" s="297"/>
      <c r="X534" s="294"/>
      <c r="Y534" s="329"/>
      <c r="Z534" s="329"/>
      <c r="AA534" s="332">
        <f>Table1[[#This Row],[Selling USD]]-Table1[[#This Row],[Cost USD]]</f>
        <v>0</v>
      </c>
      <c r="AB534" s="335">
        <f>47*2*13</f>
        <v>1222</v>
      </c>
      <c r="AC534" s="298">
        <v>1274</v>
      </c>
      <c r="AD534" s="299">
        <f>Table1[[#This Row],[Selling EUR]]-Table1[[#This Row],[Cost EUR]]</f>
        <v>52</v>
      </c>
      <c r="AE534" s="321" t="s">
        <v>54</v>
      </c>
      <c r="AF534" s="294">
        <v>46139.041666666599</v>
      </c>
      <c r="AG534" s="294"/>
      <c r="AH534" s="321"/>
      <c r="AI534" s="323"/>
      <c r="AJ534" s="338"/>
      <c r="AK534" s="323"/>
      <c r="AL534" s="338"/>
      <c r="AM534" s="338"/>
      <c r="AN534" s="323"/>
      <c r="AO534" s="282"/>
      <c r="AP534" s="306"/>
      <c r="AQ534" s="282"/>
      <c r="AR534" s="282"/>
      <c r="AS534" s="282"/>
      <c r="AT534" s="281"/>
      <c r="AU534" s="281"/>
      <c r="AV534" s="281"/>
      <c r="AW534" s="281"/>
      <c r="AX534" s="281"/>
      <c r="AY534" s="281"/>
      <c r="AZ534" s="281"/>
    </row>
    <row r="535" spans="1:52" ht="15" customHeight="1" x14ac:dyDescent="0.3">
      <c r="A535" s="294">
        <v>46072</v>
      </c>
      <c r="B535" s="321" t="s">
        <v>47</v>
      </c>
      <c r="C535" s="321" t="s">
        <v>47</v>
      </c>
      <c r="D535" s="294" t="s">
        <v>79</v>
      </c>
      <c r="E535" s="321" t="s">
        <v>106</v>
      </c>
      <c r="F535" s="295">
        <v>16038768</v>
      </c>
      <c r="G535" s="296">
        <v>20303726</v>
      </c>
      <c r="H535" s="280" t="s">
        <v>50</v>
      </c>
      <c r="I535" s="323" t="s">
        <v>67</v>
      </c>
      <c r="J535" s="323" t="s">
        <v>164</v>
      </c>
      <c r="K535" s="294">
        <v>46137.041666666599</v>
      </c>
      <c r="L535" s="294">
        <v>46144.041666666599</v>
      </c>
      <c r="M535" s="284">
        <f>Table1[[#This Row],[Dep Date]]-Table1[[#This Row],[Arr Date]]</f>
        <v>7</v>
      </c>
      <c r="N535" s="323" t="s">
        <v>65</v>
      </c>
      <c r="O535" s="321">
        <v>1</v>
      </c>
      <c r="P535" s="321">
        <v>1</v>
      </c>
      <c r="Q535" s="321"/>
      <c r="R535" s="321"/>
      <c r="S535" s="321" t="s">
        <v>53</v>
      </c>
      <c r="T535" s="326" t="s">
        <v>2125</v>
      </c>
      <c r="U535" s="297"/>
      <c r="V535" s="294"/>
      <c r="W535" s="297"/>
      <c r="X535" s="294"/>
      <c r="Y535" s="329">
        <f>99*6+92*0.9*1</f>
        <v>676.8</v>
      </c>
      <c r="Z535" s="329">
        <v>683.8</v>
      </c>
      <c r="AA535" s="332">
        <f>Table1[[#This Row],[Selling USD]]-Table1[[#This Row],[Cost USD]]</f>
        <v>7</v>
      </c>
      <c r="AB535" s="335"/>
      <c r="AC535" s="298"/>
      <c r="AD535" s="299">
        <f>Table1[[#This Row],[Selling EUR]]-Table1[[#This Row],[Cost EUR]]</f>
        <v>0</v>
      </c>
      <c r="AE535" s="321" t="s">
        <v>54</v>
      </c>
      <c r="AF535" s="294">
        <v>46128</v>
      </c>
      <c r="AG535" s="294"/>
      <c r="AH535" s="321"/>
      <c r="AI535" s="323"/>
      <c r="AJ535" s="338"/>
      <c r="AK535" s="323"/>
      <c r="AL535" s="338"/>
      <c r="AM535" s="338"/>
      <c r="AN535" s="323"/>
      <c r="AO535" s="282"/>
      <c r="AP535" s="306"/>
      <c r="AQ535" s="282"/>
      <c r="AR535" s="282"/>
      <c r="AS535" s="282"/>
      <c r="AT535" s="281"/>
      <c r="AU535" s="281"/>
      <c r="AV535" s="281"/>
      <c r="AW535" s="281"/>
      <c r="AX535" s="281"/>
      <c r="AY535" s="281"/>
      <c r="AZ535" s="281"/>
    </row>
    <row r="536" spans="1:52" ht="15" customHeight="1" x14ac:dyDescent="0.3">
      <c r="A536" s="294">
        <v>46073</v>
      </c>
      <c r="B536" s="321" t="s">
        <v>47</v>
      </c>
      <c r="C536" s="321" t="s">
        <v>47</v>
      </c>
      <c r="D536" s="294" t="s">
        <v>48</v>
      </c>
      <c r="E536" s="321" t="s">
        <v>138</v>
      </c>
      <c r="F536" s="295">
        <v>17357305</v>
      </c>
      <c r="G536" s="296"/>
      <c r="H536" s="280" t="s">
        <v>84</v>
      </c>
      <c r="I536" s="323" t="s">
        <v>168</v>
      </c>
      <c r="J536" s="323" t="s">
        <v>200</v>
      </c>
      <c r="K536" s="294">
        <v>46166.041666666599</v>
      </c>
      <c r="L536" s="294">
        <v>46173.041666666599</v>
      </c>
      <c r="M536" s="284">
        <f>Table1[[#This Row],[Dep Date]]-Table1[[#This Row],[Arr Date]]</f>
        <v>7</v>
      </c>
      <c r="N536" s="323" t="s">
        <v>52</v>
      </c>
      <c r="O536" s="321">
        <v>1</v>
      </c>
      <c r="P536" s="321">
        <v>2</v>
      </c>
      <c r="Q536" s="321">
        <v>2</v>
      </c>
      <c r="R536" s="321"/>
      <c r="S536" s="321" t="s">
        <v>53</v>
      </c>
      <c r="T536" s="326" t="s">
        <v>2126</v>
      </c>
      <c r="U536" s="297">
        <v>9</v>
      </c>
      <c r="V536" s="294"/>
      <c r="W536" s="297">
        <v>7</v>
      </c>
      <c r="X536" s="294"/>
      <c r="Y536" s="329"/>
      <c r="Z536" s="329"/>
      <c r="AA536" s="332">
        <f>Table1[[#This Row],[Selling USD]]-Table1[[#This Row],[Cost USD]]</f>
        <v>0</v>
      </c>
      <c r="AB536" s="335">
        <f>58*2*7</f>
        <v>812</v>
      </c>
      <c r="AC536" s="298">
        <v>1050</v>
      </c>
      <c r="AD536" s="299">
        <f>Table1[[#This Row],[Selling EUR]]-Table1[[#This Row],[Cost EUR]]</f>
        <v>238</v>
      </c>
      <c r="AE536" s="321" t="s">
        <v>54</v>
      </c>
      <c r="AF536" s="294">
        <v>46159.041666666599</v>
      </c>
      <c r="AG536" s="294" t="s">
        <v>2413</v>
      </c>
      <c r="AH536" s="321"/>
      <c r="AI536" s="323"/>
      <c r="AJ536" s="338"/>
      <c r="AK536" s="323"/>
      <c r="AL536" s="338"/>
      <c r="AM536" s="338"/>
      <c r="AN536" s="323"/>
      <c r="AO536" s="282"/>
      <c r="AP536" s="306"/>
      <c r="AQ536" s="282"/>
      <c r="AR536" s="282"/>
      <c r="AS536" s="282"/>
      <c r="AT536" s="281"/>
      <c r="AU536" s="281"/>
      <c r="AV536" s="281"/>
      <c r="AW536" s="281"/>
      <c r="AX536" s="281"/>
      <c r="AY536" s="281"/>
      <c r="AZ536" s="281"/>
    </row>
    <row r="537" spans="1:52" ht="15" customHeight="1" x14ac:dyDescent="0.3">
      <c r="A537" s="294">
        <v>46073</v>
      </c>
      <c r="B537" s="321" t="s">
        <v>47</v>
      </c>
      <c r="C537" s="321" t="s">
        <v>47</v>
      </c>
      <c r="D537" s="294" t="s">
        <v>48</v>
      </c>
      <c r="E537" s="321" t="s">
        <v>49</v>
      </c>
      <c r="F537" s="295">
        <v>17357215</v>
      </c>
      <c r="G537" s="296"/>
      <c r="H537" s="280" t="s">
        <v>58</v>
      </c>
      <c r="I537" s="323" t="s">
        <v>62</v>
      </c>
      <c r="J537" s="323" t="s">
        <v>75</v>
      </c>
      <c r="K537" s="294">
        <v>46217</v>
      </c>
      <c r="L537" s="294">
        <v>46230</v>
      </c>
      <c r="M537" s="284">
        <f>Table1[[#This Row],[Dep Date]]-Table1[[#This Row],[Arr Date]]</f>
        <v>13</v>
      </c>
      <c r="N537" s="323" t="s">
        <v>70</v>
      </c>
      <c r="O537" s="321">
        <v>1</v>
      </c>
      <c r="P537" s="321">
        <v>3</v>
      </c>
      <c r="Q537" s="321"/>
      <c r="R537" s="321"/>
      <c r="S537" s="321" t="s">
        <v>53</v>
      </c>
      <c r="T537" s="326" t="s">
        <v>2127</v>
      </c>
      <c r="U537" s="297"/>
      <c r="V537" s="294"/>
      <c r="W537" s="297"/>
      <c r="X537" s="294"/>
      <c r="Y537" s="329"/>
      <c r="Z537" s="329"/>
      <c r="AA537" s="332">
        <f>Table1[[#This Row],[Selling USD]]-Table1[[#This Row],[Cost USD]]</f>
        <v>0</v>
      </c>
      <c r="AB537" s="335">
        <f>45*3*13</f>
        <v>1755</v>
      </c>
      <c r="AC537" s="298">
        <v>2305.8000000000002</v>
      </c>
      <c r="AD537" s="299">
        <f>Table1[[#This Row],[Selling EUR]]-Table1[[#This Row],[Cost EUR]]</f>
        <v>550.80000000000018</v>
      </c>
      <c r="AE537" s="321" t="s">
        <v>54</v>
      </c>
      <c r="AF537" s="294">
        <v>46208</v>
      </c>
      <c r="AG537" s="294"/>
      <c r="AH537" s="321"/>
      <c r="AI537" s="323"/>
      <c r="AJ537" s="338"/>
      <c r="AK537" s="323"/>
      <c r="AL537" s="338"/>
      <c r="AM537" s="338"/>
      <c r="AN537" s="323"/>
      <c r="AO537" s="282"/>
      <c r="AP537" s="306"/>
      <c r="AQ537" s="282"/>
      <c r="AR537" s="282"/>
      <c r="AS537" s="282"/>
      <c r="AT537" s="281"/>
      <c r="AU537" s="281"/>
      <c r="AV537" s="281"/>
      <c r="AW537" s="281"/>
      <c r="AX537" s="281"/>
      <c r="AY537" s="281"/>
      <c r="AZ537" s="281"/>
    </row>
    <row r="538" spans="1:52" ht="15" customHeight="1" x14ac:dyDescent="0.3">
      <c r="A538" s="294">
        <v>46073</v>
      </c>
      <c r="B538" s="321" t="s">
        <v>73</v>
      </c>
      <c r="C538" s="321" t="s">
        <v>73</v>
      </c>
      <c r="D538" s="294" t="s">
        <v>48</v>
      </c>
      <c r="E538" s="321" t="s">
        <v>138</v>
      </c>
      <c r="F538" s="295">
        <v>17359260</v>
      </c>
      <c r="G538" s="296"/>
      <c r="H538" s="280" t="s">
        <v>84</v>
      </c>
      <c r="I538" s="323" t="s">
        <v>168</v>
      </c>
      <c r="J538" s="323" t="s">
        <v>200</v>
      </c>
      <c r="K538" s="294">
        <v>46185</v>
      </c>
      <c r="L538" s="294">
        <v>46194</v>
      </c>
      <c r="M538" s="284">
        <f>Table1[[#This Row],[Dep Date]]-Table1[[#This Row],[Arr Date]]</f>
        <v>9</v>
      </c>
      <c r="N538" s="323" t="s">
        <v>52</v>
      </c>
      <c r="O538" s="321">
        <v>1</v>
      </c>
      <c r="P538" s="321">
        <v>2</v>
      </c>
      <c r="Q538" s="321">
        <v>2</v>
      </c>
      <c r="R538" s="321"/>
      <c r="S538" s="321" t="s">
        <v>53</v>
      </c>
      <c r="T538" s="326" t="s">
        <v>207</v>
      </c>
      <c r="U538" s="297">
        <v>11</v>
      </c>
      <c r="V538" s="294"/>
      <c r="W538" s="297">
        <v>8</v>
      </c>
      <c r="X538" s="294"/>
      <c r="Y538" s="329"/>
      <c r="Z538" s="329"/>
      <c r="AA538" s="332">
        <f>Table1[[#This Row],[Selling USD]]-Table1[[#This Row],[Cost USD]]</f>
        <v>0</v>
      </c>
      <c r="AB538" s="335"/>
      <c r="AC538" s="298"/>
      <c r="AD538" s="299">
        <f>Table1[[#This Row],[Selling EUR]]-Table1[[#This Row],[Cost EUR]]</f>
        <v>0</v>
      </c>
      <c r="AE538" s="321"/>
      <c r="AF538" s="294"/>
      <c r="AG538" s="294"/>
      <c r="AH538" s="321"/>
      <c r="AI538" s="323"/>
      <c r="AJ538" s="338"/>
      <c r="AK538" s="323"/>
      <c r="AL538" s="338"/>
      <c r="AM538" s="338"/>
      <c r="AN538" s="323"/>
      <c r="AO538" s="282"/>
      <c r="AP538" s="306"/>
      <c r="AQ538" s="282"/>
      <c r="AR538" s="282"/>
      <c r="AS538" s="282"/>
      <c r="AT538" s="281"/>
      <c r="AU538" s="281"/>
      <c r="AV538" s="281"/>
      <c r="AW538" s="281"/>
      <c r="AX538" s="281"/>
      <c r="AY538" s="281"/>
      <c r="AZ538" s="281"/>
    </row>
    <row r="539" spans="1:52" ht="15" customHeight="1" x14ac:dyDescent="0.3">
      <c r="A539" s="294">
        <v>46074</v>
      </c>
      <c r="B539" s="321" t="s">
        <v>73</v>
      </c>
      <c r="C539" s="321" t="s">
        <v>73</v>
      </c>
      <c r="D539" s="294" t="s">
        <v>48</v>
      </c>
      <c r="E539" s="321" t="s">
        <v>138</v>
      </c>
      <c r="F539" s="295">
        <v>17361116</v>
      </c>
      <c r="G539" s="296"/>
      <c r="H539" s="280" t="s">
        <v>84</v>
      </c>
      <c r="I539" s="323" t="s">
        <v>168</v>
      </c>
      <c r="J539" s="323" t="s">
        <v>191</v>
      </c>
      <c r="K539" s="294">
        <v>46211</v>
      </c>
      <c r="L539" s="294">
        <v>46218</v>
      </c>
      <c r="M539" s="284">
        <f>Table1[[#This Row],[Dep Date]]-Table1[[#This Row],[Arr Date]]</f>
        <v>7</v>
      </c>
      <c r="N539" s="323" t="s">
        <v>52</v>
      </c>
      <c r="O539" s="321">
        <v>1</v>
      </c>
      <c r="P539" s="321">
        <v>2</v>
      </c>
      <c r="Q539" s="321">
        <v>1</v>
      </c>
      <c r="R539" s="321"/>
      <c r="S539" s="321" t="s">
        <v>53</v>
      </c>
      <c r="T539" s="326" t="s">
        <v>208</v>
      </c>
      <c r="U539" s="297">
        <v>10</v>
      </c>
      <c r="V539" s="294"/>
      <c r="W539" s="297"/>
      <c r="X539" s="294"/>
      <c r="Y539" s="329"/>
      <c r="Z539" s="329"/>
      <c r="AA539" s="332">
        <f>Table1[[#This Row],[Selling USD]]-Table1[[#This Row],[Cost USD]]</f>
        <v>0</v>
      </c>
      <c r="AB539" s="335"/>
      <c r="AC539" s="298"/>
      <c r="AD539" s="299">
        <f>Table1[[#This Row],[Selling EUR]]-Table1[[#This Row],[Cost EUR]]</f>
        <v>0</v>
      </c>
      <c r="AE539" s="321"/>
      <c r="AF539" s="294"/>
      <c r="AG539" s="294"/>
      <c r="AH539" s="321"/>
      <c r="AI539" s="323"/>
      <c r="AJ539" s="338"/>
      <c r="AK539" s="323"/>
      <c r="AL539" s="338"/>
      <c r="AM539" s="338"/>
      <c r="AN539" s="323"/>
      <c r="AO539" s="282"/>
      <c r="AP539" s="306"/>
      <c r="AQ539" s="282"/>
      <c r="AR539" s="282"/>
      <c r="AS539" s="282"/>
      <c r="AT539" s="281"/>
      <c r="AU539" s="281"/>
      <c r="AV539" s="281"/>
      <c r="AW539" s="281"/>
      <c r="AX539" s="281"/>
      <c r="AY539" s="281"/>
      <c r="AZ539" s="281"/>
    </row>
    <row r="540" spans="1:52" ht="15" customHeight="1" x14ac:dyDescent="0.3">
      <c r="A540" s="294">
        <v>46076</v>
      </c>
      <c r="B540" s="321" t="s">
        <v>73</v>
      </c>
      <c r="C540" s="321" t="s">
        <v>73</v>
      </c>
      <c r="D540" s="294" t="s">
        <v>79</v>
      </c>
      <c r="E540" s="321" t="s">
        <v>106</v>
      </c>
      <c r="F540" s="295">
        <v>16095326</v>
      </c>
      <c r="G540" s="296">
        <v>20303727</v>
      </c>
      <c r="H540" s="280" t="s">
        <v>50</v>
      </c>
      <c r="I540" s="323" t="s">
        <v>2629</v>
      </c>
      <c r="J540" s="323" t="s">
        <v>164</v>
      </c>
      <c r="K540" s="294">
        <v>46170.041666666599</v>
      </c>
      <c r="L540" s="294">
        <v>46177</v>
      </c>
      <c r="M540" s="284">
        <f>Table1[[#This Row],[Dep Date]]-Table1[[#This Row],[Arr Date]]</f>
        <v>6.9583333334012423</v>
      </c>
      <c r="N540" s="323" t="s">
        <v>52</v>
      </c>
      <c r="O540" s="321">
        <v>1</v>
      </c>
      <c r="P540" s="321">
        <v>2</v>
      </c>
      <c r="Q540" s="321"/>
      <c r="R540" s="321"/>
      <c r="S540" s="321" t="s">
        <v>53</v>
      </c>
      <c r="T540" s="326" t="s">
        <v>2128</v>
      </c>
      <c r="U540" s="297"/>
      <c r="V540" s="294"/>
      <c r="W540" s="297"/>
      <c r="X540" s="294"/>
      <c r="Y540" s="329"/>
      <c r="Z540" s="329"/>
      <c r="AA540" s="332">
        <f>Table1[[#This Row],[Selling USD]]-Table1[[#This Row],[Cost USD]]</f>
        <v>0</v>
      </c>
      <c r="AB540" s="335"/>
      <c r="AC540" s="298"/>
      <c r="AD540" s="299">
        <f>Table1[[#This Row],[Selling EUR]]-Table1[[#This Row],[Cost EUR]]</f>
        <v>0</v>
      </c>
      <c r="AE540" s="321"/>
      <c r="AF540" s="294"/>
      <c r="AG540" s="294"/>
      <c r="AH540" s="321"/>
      <c r="AI540" s="323"/>
      <c r="AJ540" s="338"/>
      <c r="AK540" s="323"/>
      <c r="AL540" s="338"/>
      <c r="AM540" s="338"/>
      <c r="AN540" s="323"/>
      <c r="AO540" s="282"/>
      <c r="AP540" s="306"/>
      <c r="AQ540" s="282"/>
      <c r="AR540" s="282"/>
      <c r="AS540" s="282"/>
      <c r="AT540" s="281"/>
      <c r="AU540" s="281"/>
      <c r="AV540" s="281"/>
      <c r="AW540" s="281"/>
      <c r="AX540" s="281"/>
      <c r="AY540" s="281"/>
      <c r="AZ540" s="281"/>
    </row>
    <row r="541" spans="1:52" ht="15" customHeight="1" x14ac:dyDescent="0.3">
      <c r="A541" s="294">
        <v>46027</v>
      </c>
      <c r="B541" s="321" t="s">
        <v>47</v>
      </c>
      <c r="C541" s="321" t="s">
        <v>47</v>
      </c>
      <c r="D541" s="294" t="s">
        <v>48</v>
      </c>
      <c r="E541" s="321" t="s">
        <v>49</v>
      </c>
      <c r="F541" s="295">
        <v>17200614</v>
      </c>
      <c r="G541" s="296"/>
      <c r="H541" s="280" t="s">
        <v>58</v>
      </c>
      <c r="I541" s="323" t="s">
        <v>64</v>
      </c>
      <c r="J541" s="323" t="s">
        <v>169</v>
      </c>
      <c r="K541" s="294">
        <v>46249</v>
      </c>
      <c r="L541" s="294">
        <v>46261</v>
      </c>
      <c r="M541" s="284">
        <f>Table1[[#This Row],[Dep Date]]-Table1[[#This Row],[Arr Date]]</f>
        <v>12</v>
      </c>
      <c r="N541" s="323" t="s">
        <v>70</v>
      </c>
      <c r="O541" s="321">
        <v>1</v>
      </c>
      <c r="P541" s="321">
        <v>3</v>
      </c>
      <c r="Q541" s="321">
        <v>1</v>
      </c>
      <c r="R541" s="321"/>
      <c r="S541" s="321" t="s">
        <v>53</v>
      </c>
      <c r="T541" s="326" t="s">
        <v>2129</v>
      </c>
      <c r="U541" s="297">
        <v>12</v>
      </c>
      <c r="V541" s="294"/>
      <c r="W541" s="297"/>
      <c r="X541" s="294"/>
      <c r="Y541" s="329"/>
      <c r="Z541" s="329"/>
      <c r="AA541" s="332">
        <f>Table1[[#This Row],[Selling USD]]-Table1[[#This Row],[Cost USD]]</f>
        <v>0</v>
      </c>
      <c r="AB541" s="335">
        <f>49*3*12</f>
        <v>1764</v>
      </c>
      <c r="AC541" s="298">
        <v>2170.8000000000002</v>
      </c>
      <c r="AD541" s="299">
        <f>Table1[[#This Row],[Selling EUR]]-Table1[[#This Row],[Cost EUR]]</f>
        <v>406.80000000000018</v>
      </c>
      <c r="AE541" s="321" t="s">
        <v>54</v>
      </c>
      <c r="AF541" s="294">
        <v>46239</v>
      </c>
      <c r="AG541" s="294"/>
      <c r="AH541" s="321"/>
      <c r="AI541" s="323"/>
      <c r="AJ541" s="338"/>
      <c r="AK541" s="323"/>
      <c r="AL541" s="338"/>
      <c r="AM541" s="338"/>
      <c r="AN541" s="323"/>
      <c r="AO541" s="282"/>
      <c r="AP541" s="306"/>
      <c r="AQ541" s="282"/>
      <c r="AR541" s="282"/>
      <c r="AS541" s="282"/>
      <c r="AT541" s="281"/>
      <c r="AU541" s="281"/>
      <c r="AV541" s="281"/>
      <c r="AW541" s="281"/>
      <c r="AX541" s="281"/>
      <c r="AY541" s="281"/>
      <c r="AZ541" s="281"/>
    </row>
    <row r="542" spans="1:52" ht="15" customHeight="1" x14ac:dyDescent="0.3">
      <c r="A542" s="294">
        <v>46034</v>
      </c>
      <c r="B542" s="321" t="s">
        <v>47</v>
      </c>
      <c r="C542" s="321" t="s">
        <v>47</v>
      </c>
      <c r="D542" s="294" t="s">
        <v>79</v>
      </c>
      <c r="E542" s="321" t="s">
        <v>138</v>
      </c>
      <c r="F542" s="295">
        <v>15439141</v>
      </c>
      <c r="G542" s="296">
        <v>20303693</v>
      </c>
      <c r="H542" s="280" t="s">
        <v>84</v>
      </c>
      <c r="I542" s="323" t="s">
        <v>227</v>
      </c>
      <c r="J542" s="323" t="s">
        <v>1402</v>
      </c>
      <c r="K542" s="294">
        <v>46249</v>
      </c>
      <c r="L542" s="294">
        <v>46256</v>
      </c>
      <c r="M542" s="284">
        <f>Table1[[#This Row],[Dep Date]]-Table1[[#This Row],[Arr Date]]</f>
        <v>7</v>
      </c>
      <c r="N542" s="323" t="s">
        <v>52</v>
      </c>
      <c r="O542" s="321">
        <v>1</v>
      </c>
      <c r="P542" s="321">
        <v>2</v>
      </c>
      <c r="Q542" s="321"/>
      <c r="R542" s="321"/>
      <c r="S542" s="321" t="s">
        <v>53</v>
      </c>
      <c r="T542" s="326" t="s">
        <v>2130</v>
      </c>
      <c r="U542" s="297"/>
      <c r="V542" s="294"/>
      <c r="W542" s="297"/>
      <c r="X542" s="294"/>
      <c r="Y542" s="329"/>
      <c r="Z542" s="329"/>
      <c r="AA542" s="332">
        <f>Table1[[#This Row],[Selling USD]]-Table1[[#This Row],[Cost USD]]</f>
        <v>0</v>
      </c>
      <c r="AB542" s="335">
        <f>60*2*0.75*1+52*2*0.75*6+30*2</f>
        <v>618</v>
      </c>
      <c r="AC542" s="298">
        <v>638</v>
      </c>
      <c r="AD542" s="299">
        <f>Table1[[#This Row],[Selling EUR]]-Table1[[#This Row],[Cost EUR]]</f>
        <v>20</v>
      </c>
      <c r="AE542" s="321" t="s">
        <v>54</v>
      </c>
      <c r="AF542" s="294">
        <v>46240</v>
      </c>
      <c r="AG542" s="294" t="s">
        <v>2428</v>
      </c>
      <c r="AH542" s="321"/>
      <c r="AI542" s="323"/>
      <c r="AJ542" s="338"/>
      <c r="AK542" s="323"/>
      <c r="AL542" s="338"/>
      <c r="AM542" s="338"/>
      <c r="AN542" s="323"/>
      <c r="AO542" s="282"/>
      <c r="AP542" s="306"/>
      <c r="AQ542" s="282"/>
      <c r="AR542" s="282"/>
      <c r="AS542" s="282"/>
      <c r="AT542" s="281"/>
      <c r="AU542" s="281"/>
      <c r="AV542" s="281"/>
      <c r="AW542" s="281"/>
      <c r="AX542" s="281"/>
      <c r="AY542" s="281"/>
      <c r="AZ542" s="281"/>
    </row>
    <row r="543" spans="1:52" ht="15" customHeight="1" x14ac:dyDescent="0.3">
      <c r="A543" s="294">
        <v>46109</v>
      </c>
      <c r="B543" s="321" t="s">
        <v>47</v>
      </c>
      <c r="C543" s="321" t="s">
        <v>47</v>
      </c>
      <c r="D543" s="294" t="s">
        <v>48</v>
      </c>
      <c r="E543" s="321" t="s">
        <v>49</v>
      </c>
      <c r="F543" s="295">
        <v>17467768</v>
      </c>
      <c r="G543" s="296"/>
      <c r="H543" s="280" t="s">
        <v>58</v>
      </c>
      <c r="I543" s="323" t="s">
        <v>115</v>
      </c>
      <c r="J543" s="323" t="s">
        <v>2618</v>
      </c>
      <c r="K543" s="294">
        <v>46273</v>
      </c>
      <c r="L543" s="294">
        <v>46287</v>
      </c>
      <c r="M543" s="284">
        <f>Table1[[#This Row],[Dep Date]]-Table1[[#This Row],[Arr Date]]</f>
        <v>14</v>
      </c>
      <c r="N543" s="323" t="s">
        <v>52</v>
      </c>
      <c r="O543" s="321">
        <v>1</v>
      </c>
      <c r="P543" s="321">
        <v>2</v>
      </c>
      <c r="Q543" s="321"/>
      <c r="R543" s="321"/>
      <c r="S543" s="321" t="s">
        <v>53</v>
      </c>
      <c r="T543" s="326" t="s">
        <v>2131</v>
      </c>
      <c r="U543" s="297"/>
      <c r="V543" s="294"/>
      <c r="W543" s="297"/>
      <c r="X543" s="294"/>
      <c r="Y543" s="329"/>
      <c r="Z543" s="329"/>
      <c r="AA543" s="332">
        <f>Table1[[#This Row],[Selling USD]]-Table1[[#This Row],[Cost USD]]</f>
        <v>0</v>
      </c>
      <c r="AB543" s="335">
        <f>38*2*14</f>
        <v>1064</v>
      </c>
      <c r="AC543" s="298">
        <v>1097.5999999999999</v>
      </c>
      <c r="AD543" s="299">
        <f>Table1[[#This Row],[Selling EUR]]-Table1[[#This Row],[Cost EUR]]</f>
        <v>33.599999999999909</v>
      </c>
      <c r="AE543" s="321" t="s">
        <v>54</v>
      </c>
      <c r="AF543" s="294">
        <v>46266</v>
      </c>
      <c r="AG543" s="294"/>
      <c r="AH543" s="321"/>
      <c r="AI543" s="323"/>
      <c r="AJ543" s="338"/>
      <c r="AK543" s="323"/>
      <c r="AL543" s="338"/>
      <c r="AM543" s="338"/>
      <c r="AN543" s="323"/>
      <c r="AO543" s="282"/>
      <c r="AP543" s="306"/>
      <c r="AQ543" s="282"/>
      <c r="AR543" s="282"/>
      <c r="AS543" s="282"/>
      <c r="AT543" s="281"/>
      <c r="AU543" s="281"/>
      <c r="AV543" s="281"/>
      <c r="AW543" s="281"/>
      <c r="AX543" s="281"/>
      <c r="AY543" s="281"/>
      <c r="AZ543" s="281"/>
    </row>
    <row r="544" spans="1:52" ht="15" customHeight="1" x14ac:dyDescent="0.3">
      <c r="A544" s="294">
        <v>46080</v>
      </c>
      <c r="B544" s="321" t="s">
        <v>73</v>
      </c>
      <c r="C544" s="321" t="s">
        <v>73</v>
      </c>
      <c r="D544" s="294" t="s">
        <v>48</v>
      </c>
      <c r="E544" s="321" t="s">
        <v>49</v>
      </c>
      <c r="F544" s="295">
        <v>17381497</v>
      </c>
      <c r="G544" s="296"/>
      <c r="H544" s="280" t="s">
        <v>50</v>
      </c>
      <c r="I544" s="323" t="s">
        <v>68</v>
      </c>
      <c r="J544" s="323" t="s">
        <v>202</v>
      </c>
      <c r="K544" s="294">
        <v>46169.041666666599</v>
      </c>
      <c r="L544" s="294">
        <v>46176</v>
      </c>
      <c r="M544" s="284">
        <f>Table1[[#This Row],[Dep Date]]-Table1[[#This Row],[Arr Date]]</f>
        <v>6.9583333334012423</v>
      </c>
      <c r="N544" s="323" t="s">
        <v>52</v>
      </c>
      <c r="O544" s="321">
        <v>1</v>
      </c>
      <c r="P544" s="321">
        <v>2</v>
      </c>
      <c r="Q544" s="321">
        <v>2</v>
      </c>
      <c r="R544" s="321"/>
      <c r="S544" s="321" t="s">
        <v>53</v>
      </c>
      <c r="T544" s="326" t="s">
        <v>2132</v>
      </c>
      <c r="U544" s="297">
        <v>13</v>
      </c>
      <c r="V544" s="294"/>
      <c r="W544" s="297">
        <v>7</v>
      </c>
      <c r="X544" s="294"/>
      <c r="Y544" s="329"/>
      <c r="Z544" s="329"/>
      <c r="AA544" s="332">
        <f>Table1[[#This Row],[Selling USD]]-Table1[[#This Row],[Cost USD]]</f>
        <v>0</v>
      </c>
      <c r="AB544" s="335"/>
      <c r="AC544" s="298"/>
      <c r="AD544" s="299">
        <f>Table1[[#This Row],[Selling EUR]]-Table1[[#This Row],[Cost EUR]]</f>
        <v>0</v>
      </c>
      <c r="AE544" s="321"/>
      <c r="AF544" s="294"/>
      <c r="AG544" s="294"/>
      <c r="AH544" s="321"/>
      <c r="AI544" s="323"/>
      <c r="AJ544" s="338"/>
      <c r="AK544" s="323"/>
      <c r="AL544" s="338"/>
      <c r="AM544" s="338"/>
      <c r="AN544" s="323"/>
      <c r="AO544" s="282"/>
      <c r="AP544" s="306"/>
      <c r="AQ544" s="282"/>
      <c r="AR544" s="282"/>
      <c r="AS544" s="282"/>
      <c r="AT544" s="281"/>
      <c r="AU544" s="281"/>
      <c r="AV544" s="281"/>
      <c r="AW544" s="281"/>
      <c r="AX544" s="281"/>
      <c r="AY544" s="281"/>
      <c r="AZ544" s="281"/>
    </row>
    <row r="545" spans="1:52" ht="15" customHeight="1" x14ac:dyDescent="0.3">
      <c r="A545" s="294">
        <v>46080</v>
      </c>
      <c r="B545" s="321" t="s">
        <v>73</v>
      </c>
      <c r="C545" s="321" t="s">
        <v>73</v>
      </c>
      <c r="D545" s="294" t="s">
        <v>48</v>
      </c>
      <c r="E545" s="321" t="s">
        <v>61</v>
      </c>
      <c r="F545" s="295">
        <v>17380269</v>
      </c>
      <c r="G545" s="296"/>
      <c r="H545" s="280" t="s">
        <v>50</v>
      </c>
      <c r="I545" s="323" t="s">
        <v>2630</v>
      </c>
      <c r="J545" s="323" t="s">
        <v>69</v>
      </c>
      <c r="K545" s="294">
        <v>46119</v>
      </c>
      <c r="L545" s="294">
        <v>46127</v>
      </c>
      <c r="M545" s="284">
        <f>Table1[[#This Row],[Dep Date]]-Table1[[#This Row],[Arr Date]]</f>
        <v>8</v>
      </c>
      <c r="N545" s="323" t="s">
        <v>52</v>
      </c>
      <c r="O545" s="321">
        <v>1</v>
      </c>
      <c r="P545" s="321">
        <v>2</v>
      </c>
      <c r="Q545" s="321">
        <v>2</v>
      </c>
      <c r="R545" s="321"/>
      <c r="S545" s="321" t="s">
        <v>53</v>
      </c>
      <c r="T545" s="326" t="s">
        <v>2133</v>
      </c>
      <c r="U545" s="297">
        <v>11</v>
      </c>
      <c r="V545" s="294"/>
      <c r="W545" s="297">
        <v>8</v>
      </c>
      <c r="X545" s="294"/>
      <c r="Y545" s="329"/>
      <c r="Z545" s="329"/>
      <c r="AA545" s="332">
        <f>Table1[[#This Row],[Selling USD]]-Table1[[#This Row],[Cost USD]]</f>
        <v>0</v>
      </c>
      <c r="AB545" s="335"/>
      <c r="AC545" s="298"/>
      <c r="AD545" s="299">
        <f>Table1[[#This Row],[Selling EUR]]-Table1[[#This Row],[Cost EUR]]</f>
        <v>0</v>
      </c>
      <c r="AE545" s="321"/>
      <c r="AF545" s="294"/>
      <c r="AG545" s="294"/>
      <c r="AH545" s="321"/>
      <c r="AI545" s="323"/>
      <c r="AJ545" s="338"/>
      <c r="AK545" s="323"/>
      <c r="AL545" s="338"/>
      <c r="AM545" s="338"/>
      <c r="AN545" s="323"/>
      <c r="AO545" s="282"/>
      <c r="AP545" s="306"/>
      <c r="AQ545" s="282"/>
      <c r="AR545" s="282"/>
      <c r="AS545" s="282"/>
      <c r="AT545" s="281"/>
      <c r="AU545" s="281"/>
      <c r="AV545" s="281"/>
      <c r="AW545" s="281"/>
      <c r="AX545" s="281"/>
      <c r="AY545" s="281"/>
      <c r="AZ545" s="281"/>
    </row>
    <row r="546" spans="1:52" ht="15" customHeight="1" x14ac:dyDescent="0.3">
      <c r="A546" s="294">
        <v>45981</v>
      </c>
      <c r="B546" s="321" t="s">
        <v>47</v>
      </c>
      <c r="C546" s="321" t="s">
        <v>47</v>
      </c>
      <c r="D546" s="294" t="s">
        <v>48</v>
      </c>
      <c r="E546" s="321" t="s">
        <v>61</v>
      </c>
      <c r="F546" s="295">
        <v>17103496</v>
      </c>
      <c r="G546" s="296"/>
      <c r="H546" s="280" t="s">
        <v>50</v>
      </c>
      <c r="I546" s="323" t="s">
        <v>121</v>
      </c>
      <c r="J546" s="323" t="s">
        <v>2573</v>
      </c>
      <c r="K546" s="294">
        <v>46287</v>
      </c>
      <c r="L546" s="294">
        <v>46293</v>
      </c>
      <c r="M546" s="284">
        <f>Table1[[#This Row],[Dep Date]]-Table1[[#This Row],[Arr Date]]</f>
        <v>6</v>
      </c>
      <c r="N546" s="323" t="s">
        <v>65</v>
      </c>
      <c r="O546" s="321">
        <v>1</v>
      </c>
      <c r="P546" s="321">
        <v>1</v>
      </c>
      <c r="Q546" s="321"/>
      <c r="R546" s="321"/>
      <c r="S546" s="321" t="s">
        <v>53</v>
      </c>
      <c r="T546" s="326" t="s">
        <v>2134</v>
      </c>
      <c r="U546" s="297">
        <v>0</v>
      </c>
      <c r="V546" s="294"/>
      <c r="W546" s="297">
        <v>0</v>
      </c>
      <c r="X546" s="294"/>
      <c r="Y546" s="329">
        <f>96*6*0.7</f>
        <v>403.2</v>
      </c>
      <c r="Z546" s="329">
        <v>319.2</v>
      </c>
      <c r="AA546" s="332">
        <f>Table1[[#This Row],[Selling USD]]-Table1[[#This Row],[Cost USD]]</f>
        <v>-84</v>
      </c>
      <c r="AB546" s="335"/>
      <c r="AC546" s="298"/>
      <c r="AD546" s="299">
        <f>Table1[[#This Row],[Selling EUR]]-Table1[[#This Row],[Cost EUR]]</f>
        <v>0</v>
      </c>
      <c r="AE546" s="321" t="s">
        <v>54</v>
      </c>
      <c r="AF546" s="294">
        <v>46147.041666666599</v>
      </c>
      <c r="AG546" s="294" t="s">
        <v>2429</v>
      </c>
      <c r="AH546" s="321"/>
      <c r="AI546" s="323"/>
      <c r="AJ546" s="338"/>
      <c r="AK546" s="323"/>
      <c r="AL546" s="338"/>
      <c r="AM546" s="338"/>
      <c r="AN546" s="323"/>
      <c r="AO546" s="282"/>
      <c r="AP546" s="306"/>
      <c r="AQ546" s="282"/>
      <c r="AR546" s="282"/>
      <c r="AS546" s="282"/>
      <c r="AT546" s="281"/>
      <c r="AU546" s="281"/>
      <c r="AV546" s="281"/>
      <c r="AW546" s="281"/>
      <c r="AX546" s="281"/>
      <c r="AY546" s="281"/>
      <c r="AZ546" s="281"/>
    </row>
    <row r="547" spans="1:52" ht="15" customHeight="1" x14ac:dyDescent="0.3">
      <c r="A547" s="294">
        <v>46133</v>
      </c>
      <c r="B547" s="321" t="s">
        <v>47</v>
      </c>
      <c r="C547" s="321" t="s">
        <v>47</v>
      </c>
      <c r="D547" s="294" t="s">
        <v>48</v>
      </c>
      <c r="E547" s="321" t="s">
        <v>49</v>
      </c>
      <c r="F547" s="295">
        <v>17534235</v>
      </c>
      <c r="G547" s="296"/>
      <c r="H547" s="280" t="s">
        <v>58</v>
      </c>
      <c r="I547" s="323" t="s">
        <v>62</v>
      </c>
      <c r="J547" s="323" t="s">
        <v>63</v>
      </c>
      <c r="K547" s="294">
        <v>46294</v>
      </c>
      <c r="L547" s="294">
        <v>46301</v>
      </c>
      <c r="M547" s="284">
        <f>Table1[[#This Row],[Dep Date]]-Table1[[#This Row],[Arr Date]]</f>
        <v>7</v>
      </c>
      <c r="N547" s="323" t="s">
        <v>70</v>
      </c>
      <c r="O547" s="321">
        <v>1</v>
      </c>
      <c r="P547" s="321">
        <v>3</v>
      </c>
      <c r="Q547" s="321"/>
      <c r="R547" s="321"/>
      <c r="S547" s="321" t="s">
        <v>53</v>
      </c>
      <c r="T547" s="326" t="s">
        <v>2135</v>
      </c>
      <c r="U547" s="297"/>
      <c r="V547" s="294"/>
      <c r="W547" s="297"/>
      <c r="X547" s="294"/>
      <c r="Y547" s="329"/>
      <c r="Z547" s="329"/>
      <c r="AA547" s="332">
        <f>Table1[[#This Row],[Selling USD]]-Table1[[#This Row],[Cost USD]]</f>
        <v>0</v>
      </c>
      <c r="AB547" s="335">
        <f>55*3*2+63*3*5</f>
        <v>1275</v>
      </c>
      <c r="AC547" s="298">
        <v>1363.5</v>
      </c>
      <c r="AD547" s="299">
        <f>Table1[[#This Row],[Selling EUR]]-Table1[[#This Row],[Cost EUR]]</f>
        <v>88.5</v>
      </c>
      <c r="AE547" s="321" t="s">
        <v>54</v>
      </c>
      <c r="AF547" s="294">
        <v>46285</v>
      </c>
      <c r="AG547" s="294"/>
      <c r="AH547" s="321"/>
      <c r="AI547" s="323"/>
      <c r="AJ547" s="338"/>
      <c r="AK547" s="323"/>
      <c r="AL547" s="338"/>
      <c r="AM547" s="338"/>
      <c r="AN547" s="323"/>
      <c r="AO547" s="282"/>
      <c r="AP547" s="306"/>
      <c r="AQ547" s="282"/>
      <c r="AR547" s="282"/>
      <c r="AS547" s="282"/>
      <c r="AT547" s="281"/>
      <c r="AU547" s="281"/>
      <c r="AV547" s="281"/>
      <c r="AW547" s="281"/>
      <c r="AX547" s="281"/>
      <c r="AY547" s="281"/>
      <c r="AZ547" s="281"/>
    </row>
    <row r="548" spans="1:52" ht="15" customHeight="1" x14ac:dyDescent="0.3">
      <c r="A548" s="294">
        <v>46080</v>
      </c>
      <c r="B548" s="321" t="s">
        <v>47</v>
      </c>
      <c r="C548" s="321" t="s">
        <v>47</v>
      </c>
      <c r="D548" s="294" t="s">
        <v>48</v>
      </c>
      <c r="E548" s="321" t="s">
        <v>138</v>
      </c>
      <c r="F548" s="295">
        <v>17383304</v>
      </c>
      <c r="G548" s="296"/>
      <c r="H548" s="280" t="s">
        <v>84</v>
      </c>
      <c r="I548" s="323" t="s">
        <v>168</v>
      </c>
      <c r="J548" s="323" t="s">
        <v>145</v>
      </c>
      <c r="K548" s="294">
        <v>46285</v>
      </c>
      <c r="L548" s="294">
        <v>46293</v>
      </c>
      <c r="M548" s="284">
        <f>Table1[[#This Row],[Dep Date]]-Table1[[#This Row],[Arr Date]]</f>
        <v>8</v>
      </c>
      <c r="N548" s="323" t="s">
        <v>52</v>
      </c>
      <c r="O548" s="321">
        <v>1</v>
      </c>
      <c r="P548" s="321">
        <v>2</v>
      </c>
      <c r="Q548" s="321"/>
      <c r="R548" s="321"/>
      <c r="S548" s="321" t="s">
        <v>53</v>
      </c>
      <c r="T548" s="326" t="s">
        <v>2136</v>
      </c>
      <c r="U548" s="297"/>
      <c r="V548" s="294"/>
      <c r="W548" s="297"/>
      <c r="X548" s="294"/>
      <c r="Y548" s="329"/>
      <c r="Z548" s="329"/>
      <c r="AA548" s="332">
        <f>Table1[[#This Row],[Selling USD]]-Table1[[#This Row],[Cost USD]]</f>
        <v>0</v>
      </c>
      <c r="AB548" s="335">
        <f>55*2*8</f>
        <v>880</v>
      </c>
      <c r="AC548" s="298">
        <v>1184</v>
      </c>
      <c r="AD548" s="299">
        <f>Table1[[#This Row],[Selling EUR]]-Table1[[#This Row],[Cost EUR]]</f>
        <v>304</v>
      </c>
      <c r="AE548" s="321" t="s">
        <v>54</v>
      </c>
      <c r="AF548" s="294">
        <v>46275</v>
      </c>
      <c r="AG548" s="294"/>
      <c r="AH548" s="321"/>
      <c r="AI548" s="323"/>
      <c r="AJ548" s="338"/>
      <c r="AK548" s="323"/>
      <c r="AL548" s="338"/>
      <c r="AM548" s="338"/>
      <c r="AN548" s="323"/>
      <c r="AO548" s="282"/>
      <c r="AP548" s="306"/>
      <c r="AQ548" s="282"/>
      <c r="AR548" s="282"/>
      <c r="AS548" s="282"/>
      <c r="AT548" s="281"/>
      <c r="AU548" s="281"/>
      <c r="AV548" s="281"/>
      <c r="AW548" s="281"/>
      <c r="AX548" s="281"/>
      <c r="AY548" s="281"/>
      <c r="AZ548" s="281"/>
    </row>
    <row r="549" spans="1:52" ht="15" customHeight="1" x14ac:dyDescent="0.3">
      <c r="A549" s="294">
        <v>46163</v>
      </c>
      <c r="B549" s="321" t="s">
        <v>47</v>
      </c>
      <c r="C549" s="321" t="s">
        <v>47</v>
      </c>
      <c r="D549" s="294" t="s">
        <v>48</v>
      </c>
      <c r="E549" s="321" t="s">
        <v>49</v>
      </c>
      <c r="F549" s="295">
        <v>17634653</v>
      </c>
      <c r="G549" s="296"/>
      <c r="H549" s="280" t="s">
        <v>58</v>
      </c>
      <c r="I549" s="323" t="s">
        <v>62</v>
      </c>
      <c r="J549" s="323" t="s">
        <v>146</v>
      </c>
      <c r="K549" s="294">
        <v>46297</v>
      </c>
      <c r="L549" s="294">
        <v>46310</v>
      </c>
      <c r="M549" s="284">
        <f>Table1[[#This Row],[Dep Date]]-Table1[[#This Row],[Arr Date]]</f>
        <v>13</v>
      </c>
      <c r="N549" s="323" t="s">
        <v>52</v>
      </c>
      <c r="O549" s="321">
        <v>1</v>
      </c>
      <c r="P549" s="321">
        <v>2</v>
      </c>
      <c r="Q549" s="321">
        <v>1</v>
      </c>
      <c r="R549" s="321"/>
      <c r="S549" s="321" t="s">
        <v>53</v>
      </c>
      <c r="T549" s="326" t="s">
        <v>2137</v>
      </c>
      <c r="U549" s="297"/>
      <c r="V549" s="294"/>
      <c r="W549" s="297"/>
      <c r="X549" s="294"/>
      <c r="Y549" s="329"/>
      <c r="Z549" s="329"/>
      <c r="AA549" s="332">
        <f>Table1[[#This Row],[Selling USD]]-Table1[[#This Row],[Cost USD]]</f>
        <v>0</v>
      </c>
      <c r="AB549" s="335">
        <f>65*2*13</f>
        <v>1690</v>
      </c>
      <c r="AC549" s="298">
        <v>1742</v>
      </c>
      <c r="AD549" s="299">
        <f>Table1[[#This Row],[Selling EUR]]-Table1[[#This Row],[Cost EUR]]</f>
        <v>52</v>
      </c>
      <c r="AE549" s="321" t="s">
        <v>54</v>
      </c>
      <c r="AF549" s="294">
        <v>46289</v>
      </c>
      <c r="AG549" s="294"/>
      <c r="AH549" s="321"/>
      <c r="AI549" s="323"/>
      <c r="AJ549" s="338"/>
      <c r="AK549" s="323"/>
      <c r="AL549" s="338"/>
      <c r="AM549" s="338"/>
      <c r="AN549" s="323"/>
      <c r="AO549" s="282"/>
      <c r="AP549" s="306"/>
      <c r="AQ549" s="282"/>
      <c r="AR549" s="282"/>
      <c r="AS549" s="282"/>
      <c r="AT549" s="281"/>
      <c r="AU549" s="281"/>
      <c r="AV549" s="281"/>
      <c r="AW549" s="281"/>
      <c r="AX549" s="281"/>
      <c r="AY549" s="281"/>
      <c r="AZ549" s="281"/>
    </row>
    <row r="550" spans="1:52" ht="15" customHeight="1" x14ac:dyDescent="0.3">
      <c r="A550" s="294">
        <v>46082</v>
      </c>
      <c r="B550" s="321" t="s">
        <v>47</v>
      </c>
      <c r="C550" s="321" t="s">
        <v>47</v>
      </c>
      <c r="D550" s="294" t="s">
        <v>48</v>
      </c>
      <c r="E550" s="321" t="s">
        <v>49</v>
      </c>
      <c r="F550" s="295">
        <v>17387953</v>
      </c>
      <c r="G550" s="296"/>
      <c r="H550" s="280" t="s">
        <v>58</v>
      </c>
      <c r="I550" s="323" t="s">
        <v>62</v>
      </c>
      <c r="J550" s="323" t="s">
        <v>63</v>
      </c>
      <c r="K550" s="294">
        <v>46233</v>
      </c>
      <c r="L550" s="294">
        <v>46240</v>
      </c>
      <c r="M550" s="284">
        <f>Table1[[#This Row],[Dep Date]]-Table1[[#This Row],[Arr Date]]</f>
        <v>7</v>
      </c>
      <c r="N550" s="323" t="s">
        <v>52</v>
      </c>
      <c r="O550" s="321">
        <v>1</v>
      </c>
      <c r="P550" s="321">
        <v>2</v>
      </c>
      <c r="Q550" s="321">
        <v>1</v>
      </c>
      <c r="R550" s="321"/>
      <c r="S550" s="321" t="s">
        <v>53</v>
      </c>
      <c r="T550" s="326" t="s">
        <v>2138</v>
      </c>
      <c r="U550" s="297">
        <v>10</v>
      </c>
      <c r="V550" s="294"/>
      <c r="W550" s="297"/>
      <c r="X550" s="294"/>
      <c r="Y550" s="329"/>
      <c r="Z550" s="329"/>
      <c r="AA550" s="332">
        <f>Table1[[#This Row],[Selling USD]]-Table1[[#This Row],[Cost USD]]</f>
        <v>0</v>
      </c>
      <c r="AB550" s="335">
        <f>47*2*7</f>
        <v>658</v>
      </c>
      <c r="AC550" s="298">
        <v>907.2</v>
      </c>
      <c r="AD550" s="299">
        <f>Table1[[#This Row],[Selling EUR]]-Table1[[#This Row],[Cost EUR]]</f>
        <v>249.20000000000005</v>
      </c>
      <c r="AE550" s="321" t="s">
        <v>54</v>
      </c>
      <c r="AF550" s="294">
        <v>46223</v>
      </c>
      <c r="AG550" s="294"/>
      <c r="AH550" s="321"/>
      <c r="AI550" s="323"/>
      <c r="AJ550" s="338"/>
      <c r="AK550" s="323"/>
      <c r="AL550" s="338"/>
      <c r="AM550" s="338"/>
      <c r="AN550" s="323"/>
      <c r="AO550" s="282"/>
      <c r="AP550" s="306"/>
      <c r="AQ550" s="282"/>
      <c r="AR550" s="282"/>
      <c r="AS550" s="282"/>
      <c r="AT550" s="281"/>
      <c r="AU550" s="281"/>
      <c r="AV550" s="281"/>
      <c r="AW550" s="281"/>
      <c r="AX550" s="281"/>
      <c r="AY550" s="281"/>
      <c r="AZ550" s="281"/>
    </row>
    <row r="551" spans="1:52" ht="15" customHeight="1" x14ac:dyDescent="0.3">
      <c r="A551" s="294">
        <v>46083</v>
      </c>
      <c r="B551" s="321" t="s">
        <v>47</v>
      </c>
      <c r="C551" s="321" t="s">
        <v>47</v>
      </c>
      <c r="D551" s="294" t="s">
        <v>48</v>
      </c>
      <c r="E551" s="321" t="s">
        <v>138</v>
      </c>
      <c r="F551" s="295">
        <v>17391018</v>
      </c>
      <c r="G551" s="296"/>
      <c r="H551" s="280" t="s">
        <v>84</v>
      </c>
      <c r="I551" s="323" t="s">
        <v>168</v>
      </c>
      <c r="J551" s="323" t="s">
        <v>145</v>
      </c>
      <c r="K551" s="294">
        <v>46249</v>
      </c>
      <c r="L551" s="294">
        <v>46256</v>
      </c>
      <c r="M551" s="284">
        <f>Table1[[#This Row],[Dep Date]]-Table1[[#This Row],[Arr Date]]</f>
        <v>7</v>
      </c>
      <c r="N551" s="323" t="s">
        <v>52</v>
      </c>
      <c r="O551" s="321">
        <v>1</v>
      </c>
      <c r="P551" s="321">
        <v>2</v>
      </c>
      <c r="Q551" s="321">
        <v>1</v>
      </c>
      <c r="R551" s="321"/>
      <c r="S551" s="321" t="s">
        <v>53</v>
      </c>
      <c r="T551" s="326" t="s">
        <v>2139</v>
      </c>
      <c r="U551" s="297">
        <v>4</v>
      </c>
      <c r="V551" s="294"/>
      <c r="W551" s="297"/>
      <c r="X551" s="294"/>
      <c r="Y551" s="329"/>
      <c r="Z551" s="329"/>
      <c r="AA551" s="332">
        <f>Table1[[#This Row],[Selling USD]]-Table1[[#This Row],[Cost USD]]</f>
        <v>0</v>
      </c>
      <c r="AB551" s="335">
        <f>58*2*7+40*2</f>
        <v>892</v>
      </c>
      <c r="AC551" s="298">
        <v>1186</v>
      </c>
      <c r="AD551" s="299">
        <f>Table1[[#This Row],[Selling EUR]]-Table1[[#This Row],[Cost EUR]]</f>
        <v>294</v>
      </c>
      <c r="AE551" s="321" t="s">
        <v>54</v>
      </c>
      <c r="AF551" s="294">
        <v>46239</v>
      </c>
      <c r="AG551" s="294"/>
      <c r="AH551" s="321"/>
      <c r="AI551" s="323"/>
      <c r="AJ551" s="338"/>
      <c r="AK551" s="323"/>
      <c r="AL551" s="338"/>
      <c r="AM551" s="338"/>
      <c r="AN551" s="323"/>
      <c r="AO551" s="282"/>
      <c r="AP551" s="306"/>
      <c r="AQ551" s="282"/>
      <c r="AR551" s="282"/>
      <c r="AS551" s="282"/>
      <c r="AT551" s="281"/>
      <c r="AU551" s="281"/>
      <c r="AV551" s="281"/>
      <c r="AW551" s="281"/>
      <c r="AX551" s="281"/>
      <c r="AY551" s="281"/>
      <c r="AZ551" s="281"/>
    </row>
    <row r="552" spans="1:52" ht="15" customHeight="1" x14ac:dyDescent="0.3">
      <c r="A552" s="294">
        <v>46090</v>
      </c>
      <c r="B552" s="321" t="s">
        <v>47</v>
      </c>
      <c r="C552" s="321" t="s">
        <v>47</v>
      </c>
      <c r="D552" s="294" t="s">
        <v>48</v>
      </c>
      <c r="E552" s="321" t="s">
        <v>49</v>
      </c>
      <c r="F552" s="295">
        <v>17409599</v>
      </c>
      <c r="G552" s="296"/>
      <c r="H552" s="280" t="s">
        <v>50</v>
      </c>
      <c r="I552" s="323" t="s">
        <v>67</v>
      </c>
      <c r="J552" s="323" t="s">
        <v>63</v>
      </c>
      <c r="K552" s="294">
        <v>46114</v>
      </c>
      <c r="L552" s="294">
        <v>46121</v>
      </c>
      <c r="M552" s="284">
        <f>Table1[[#This Row],[Dep Date]]-Table1[[#This Row],[Arr Date]]</f>
        <v>7</v>
      </c>
      <c r="N552" s="323" t="s">
        <v>52</v>
      </c>
      <c r="O552" s="321">
        <v>1</v>
      </c>
      <c r="P552" s="321">
        <v>2</v>
      </c>
      <c r="Q552" s="321"/>
      <c r="R552" s="321"/>
      <c r="S552" s="321" t="s">
        <v>53</v>
      </c>
      <c r="T552" s="326" t="s">
        <v>2140</v>
      </c>
      <c r="U552" s="297"/>
      <c r="V552" s="294"/>
      <c r="W552" s="297"/>
      <c r="X552" s="294"/>
      <c r="Y552" s="329"/>
      <c r="Z552" s="329"/>
      <c r="AA552" s="332">
        <f>Table1[[#This Row],[Selling USD]]-Table1[[#This Row],[Cost USD]]</f>
        <v>0</v>
      </c>
      <c r="AB552" s="335">
        <f>92*2*7</f>
        <v>1288</v>
      </c>
      <c r="AC552" s="298">
        <v>1316</v>
      </c>
      <c r="AD552" s="299">
        <f>Table1[[#This Row],[Selling EUR]]-Table1[[#This Row],[Cost EUR]]</f>
        <v>28</v>
      </c>
      <c r="AE552" s="321" t="s">
        <v>54</v>
      </c>
      <c r="AF552" s="294">
        <v>46107</v>
      </c>
      <c r="AG552" s="294"/>
      <c r="AH552" s="321"/>
      <c r="AI552" s="323"/>
      <c r="AJ552" s="338"/>
      <c r="AK552" s="323"/>
      <c r="AL552" s="338"/>
      <c r="AM552" s="338"/>
      <c r="AN552" s="323"/>
      <c r="AO552" s="282"/>
      <c r="AP552" s="306"/>
      <c r="AQ552" s="282"/>
      <c r="AR552" s="282"/>
      <c r="AS552" s="282"/>
      <c r="AT552" s="281"/>
      <c r="AU552" s="281"/>
      <c r="AV552" s="281"/>
      <c r="AW552" s="281"/>
      <c r="AX552" s="281"/>
      <c r="AY552" s="281"/>
      <c r="AZ552" s="281"/>
    </row>
    <row r="553" spans="1:52" ht="15" customHeight="1" x14ac:dyDescent="0.3">
      <c r="A553" s="294">
        <v>46090</v>
      </c>
      <c r="B553" s="321" t="s">
        <v>47</v>
      </c>
      <c r="C553" s="321" t="s">
        <v>47</v>
      </c>
      <c r="D553" s="294" t="s">
        <v>79</v>
      </c>
      <c r="E553" s="321" t="s">
        <v>49</v>
      </c>
      <c r="F553" s="295">
        <v>16286903</v>
      </c>
      <c r="G553" s="296">
        <v>20303731</v>
      </c>
      <c r="H553" s="280" t="s">
        <v>50</v>
      </c>
      <c r="I553" s="323" t="s">
        <v>111</v>
      </c>
      <c r="J553" s="323" t="s">
        <v>2480</v>
      </c>
      <c r="K553" s="294">
        <v>46104</v>
      </c>
      <c r="L553" s="294">
        <v>46111</v>
      </c>
      <c r="M553" s="284">
        <f>Table1[[#This Row],[Dep Date]]-Table1[[#This Row],[Arr Date]]</f>
        <v>7</v>
      </c>
      <c r="N553" s="323" t="s">
        <v>52</v>
      </c>
      <c r="O553" s="321">
        <v>1</v>
      </c>
      <c r="P553" s="321">
        <v>2</v>
      </c>
      <c r="Q553" s="321"/>
      <c r="R553" s="321"/>
      <c r="S553" s="321" t="s">
        <v>53</v>
      </c>
      <c r="T553" s="326" t="s">
        <v>2141</v>
      </c>
      <c r="U553" s="297"/>
      <c r="V553" s="294"/>
      <c r="W553" s="297"/>
      <c r="X553" s="294"/>
      <c r="Y553" s="329"/>
      <c r="Z553" s="329"/>
      <c r="AA553" s="332">
        <f>Table1[[#This Row],[Selling USD]]-Table1[[#This Row],[Cost USD]]</f>
        <v>0</v>
      </c>
      <c r="AB553" s="335">
        <f>50*2*7</f>
        <v>700</v>
      </c>
      <c r="AC553" s="298">
        <v>840</v>
      </c>
      <c r="AD553" s="299">
        <f>Table1[[#This Row],[Selling EUR]]-Table1[[#This Row],[Cost EUR]]</f>
        <v>140</v>
      </c>
      <c r="AE553" s="321" t="s">
        <v>54</v>
      </c>
      <c r="AF553" s="294">
        <v>46099</v>
      </c>
      <c r="AG553" s="294"/>
      <c r="AH553" s="321"/>
      <c r="AI553" s="323"/>
      <c r="AJ553" s="338"/>
      <c r="AK553" s="323"/>
      <c r="AL553" s="338"/>
      <c r="AM553" s="338"/>
      <c r="AN553" s="323"/>
      <c r="AO553" s="282"/>
      <c r="AP553" s="306"/>
      <c r="AQ553" s="282"/>
      <c r="AR553" s="282"/>
      <c r="AS553" s="282"/>
      <c r="AT553" s="281"/>
      <c r="AU553" s="281"/>
      <c r="AV553" s="281"/>
      <c r="AW553" s="281"/>
      <c r="AX553" s="281"/>
      <c r="AY553" s="281"/>
      <c r="AZ553" s="281"/>
    </row>
    <row r="554" spans="1:52" ht="15" customHeight="1" x14ac:dyDescent="0.3">
      <c r="A554" s="294">
        <v>46091</v>
      </c>
      <c r="B554" s="321" t="s">
        <v>73</v>
      </c>
      <c r="C554" s="321" t="s">
        <v>73</v>
      </c>
      <c r="D554" s="294" t="s">
        <v>48</v>
      </c>
      <c r="E554" s="321" t="s">
        <v>49</v>
      </c>
      <c r="F554" s="295">
        <v>17412202</v>
      </c>
      <c r="G554" s="296"/>
      <c r="H554" s="280" t="s">
        <v>50</v>
      </c>
      <c r="I554" s="323" t="s">
        <v>82</v>
      </c>
      <c r="J554" s="323" t="s">
        <v>2631</v>
      </c>
      <c r="K554" s="294">
        <v>46126</v>
      </c>
      <c r="L554" s="294">
        <v>46133</v>
      </c>
      <c r="M554" s="284">
        <f>Table1[[#This Row],[Dep Date]]-Table1[[#This Row],[Arr Date]]</f>
        <v>7</v>
      </c>
      <c r="N554" s="323" t="s">
        <v>65</v>
      </c>
      <c r="O554" s="321">
        <v>2</v>
      </c>
      <c r="P554" s="321">
        <v>2</v>
      </c>
      <c r="Q554" s="321">
        <v>3</v>
      </c>
      <c r="R554" s="321"/>
      <c r="S554" s="321" t="s">
        <v>53</v>
      </c>
      <c r="T554" s="326" t="s">
        <v>2142</v>
      </c>
      <c r="U554" s="297"/>
      <c r="V554" s="294"/>
      <c r="W554" s="297"/>
      <c r="X554" s="294"/>
      <c r="Y554" s="329"/>
      <c r="Z554" s="329"/>
      <c r="AA554" s="332">
        <f>Table1[[#This Row],[Selling USD]]-Table1[[#This Row],[Cost USD]]</f>
        <v>0</v>
      </c>
      <c r="AB554" s="335"/>
      <c r="AC554" s="298"/>
      <c r="AD554" s="299">
        <f>Table1[[#This Row],[Selling EUR]]-Table1[[#This Row],[Cost EUR]]</f>
        <v>0</v>
      </c>
      <c r="AE554" s="321"/>
      <c r="AF554" s="294"/>
      <c r="AG554" s="294"/>
      <c r="AH554" s="321"/>
      <c r="AI554" s="323"/>
      <c r="AJ554" s="338"/>
      <c r="AK554" s="323"/>
      <c r="AL554" s="338"/>
      <c r="AM554" s="338"/>
      <c r="AN554" s="323"/>
      <c r="AO554" s="282"/>
      <c r="AP554" s="306"/>
      <c r="AQ554" s="282"/>
      <c r="AR554" s="282"/>
      <c r="AS554" s="282"/>
      <c r="AT554" s="281"/>
      <c r="AU554" s="281"/>
      <c r="AV554" s="281"/>
      <c r="AW554" s="281"/>
      <c r="AX554" s="281"/>
      <c r="AY554" s="281"/>
      <c r="AZ554" s="281"/>
    </row>
    <row r="555" spans="1:52" ht="15" customHeight="1" x14ac:dyDescent="0.3">
      <c r="A555" s="294">
        <v>46092</v>
      </c>
      <c r="B555" s="321" t="s">
        <v>47</v>
      </c>
      <c r="C555" s="321" t="s">
        <v>47</v>
      </c>
      <c r="D555" s="294" t="s">
        <v>48</v>
      </c>
      <c r="E555" s="321" t="s">
        <v>138</v>
      </c>
      <c r="F555" s="295">
        <v>17417340</v>
      </c>
      <c r="G555" s="296"/>
      <c r="H555" s="280" t="s">
        <v>84</v>
      </c>
      <c r="I555" s="323" t="s">
        <v>168</v>
      </c>
      <c r="J555" s="323" t="s">
        <v>2632</v>
      </c>
      <c r="K555" s="294">
        <v>46287</v>
      </c>
      <c r="L555" s="294">
        <v>46296</v>
      </c>
      <c r="M555" s="284">
        <f>Table1[[#This Row],[Dep Date]]-Table1[[#This Row],[Arr Date]]</f>
        <v>9</v>
      </c>
      <c r="N555" s="323" t="s">
        <v>1618</v>
      </c>
      <c r="O555" s="321">
        <v>2</v>
      </c>
      <c r="P555" s="321">
        <v>3</v>
      </c>
      <c r="Q555" s="321">
        <v>2</v>
      </c>
      <c r="R555" s="321"/>
      <c r="S555" s="321" t="s">
        <v>53</v>
      </c>
      <c r="T555" s="326" t="s">
        <v>2633</v>
      </c>
      <c r="U555" s="297">
        <v>11</v>
      </c>
      <c r="V555" s="294"/>
      <c r="W555" s="297">
        <v>9</v>
      </c>
      <c r="X555" s="294"/>
      <c r="Y555" s="329"/>
      <c r="Z555" s="329"/>
      <c r="AA555" s="332">
        <f>Table1[[#This Row],[Selling USD]]-Table1[[#This Row],[Cost USD]]</f>
        <v>0</v>
      </c>
      <c r="AB555" s="335">
        <f>55*2*9+55*1.5*9</f>
        <v>1732.5</v>
      </c>
      <c r="AC555" s="298">
        <v>2331</v>
      </c>
      <c r="AD555" s="299">
        <f>Table1[[#This Row],[Selling EUR]]-Table1[[#This Row],[Cost EUR]]</f>
        <v>598.5</v>
      </c>
      <c r="AE555" s="321" t="s">
        <v>54</v>
      </c>
      <c r="AF555" s="294">
        <v>46275</v>
      </c>
      <c r="AG555" s="294"/>
      <c r="AH555" s="321"/>
      <c r="AI555" s="323"/>
      <c r="AJ555" s="338"/>
      <c r="AK555" s="323"/>
      <c r="AL555" s="338"/>
      <c r="AM555" s="338"/>
      <c r="AN555" s="323"/>
      <c r="AO555" s="282"/>
      <c r="AP555" s="306"/>
      <c r="AQ555" s="282"/>
      <c r="AR555" s="282"/>
      <c r="AS555" s="282"/>
      <c r="AT555" s="281"/>
      <c r="AU555" s="281"/>
      <c r="AV555" s="281"/>
      <c r="AW555" s="281"/>
      <c r="AX555" s="281"/>
      <c r="AY555" s="281"/>
      <c r="AZ555" s="281"/>
    </row>
    <row r="556" spans="1:52" ht="15" customHeight="1" x14ac:dyDescent="0.3">
      <c r="A556" s="294">
        <v>46099</v>
      </c>
      <c r="B556" s="321" t="s">
        <v>47</v>
      </c>
      <c r="C556" s="321" t="s">
        <v>47</v>
      </c>
      <c r="D556" s="294" t="s">
        <v>48</v>
      </c>
      <c r="E556" s="321" t="s">
        <v>49</v>
      </c>
      <c r="F556" s="295">
        <v>17439715</v>
      </c>
      <c r="G556" s="296"/>
      <c r="H556" s="280" t="s">
        <v>58</v>
      </c>
      <c r="I556" s="323" t="s">
        <v>115</v>
      </c>
      <c r="J556" s="323" t="s">
        <v>2634</v>
      </c>
      <c r="K556" s="294">
        <v>46124</v>
      </c>
      <c r="L556" s="294">
        <v>46131</v>
      </c>
      <c r="M556" s="284">
        <f>Table1[[#This Row],[Dep Date]]-Table1[[#This Row],[Arr Date]]</f>
        <v>7</v>
      </c>
      <c r="N556" s="323" t="s">
        <v>52</v>
      </c>
      <c r="O556" s="321">
        <v>1</v>
      </c>
      <c r="P556" s="321">
        <v>2</v>
      </c>
      <c r="Q556" s="321"/>
      <c r="R556" s="321"/>
      <c r="S556" s="321" t="s">
        <v>53</v>
      </c>
      <c r="T556" s="326" t="s">
        <v>2143</v>
      </c>
      <c r="U556" s="297"/>
      <c r="V556" s="294"/>
      <c r="W556" s="297"/>
      <c r="X556" s="294"/>
      <c r="Y556" s="329"/>
      <c r="Z556" s="329"/>
      <c r="AA556" s="332">
        <f>Table1[[#This Row],[Selling USD]]-Table1[[#This Row],[Cost USD]]</f>
        <v>0</v>
      </c>
      <c r="AB556" s="335">
        <f>35*2*7</f>
        <v>490</v>
      </c>
      <c r="AC556" s="298">
        <v>518</v>
      </c>
      <c r="AD556" s="299">
        <f>Table1[[#This Row],[Selling EUR]]-Table1[[#This Row],[Cost EUR]]</f>
        <v>28</v>
      </c>
      <c r="AE556" s="321" t="s">
        <v>54</v>
      </c>
      <c r="AF556" s="294">
        <v>46117</v>
      </c>
      <c r="AG556" s="294"/>
      <c r="AH556" s="321"/>
      <c r="AI556" s="323"/>
      <c r="AJ556" s="338"/>
      <c r="AK556" s="323"/>
      <c r="AL556" s="338"/>
      <c r="AM556" s="338"/>
      <c r="AN556" s="323"/>
      <c r="AO556" s="282"/>
      <c r="AP556" s="306"/>
      <c r="AQ556" s="282"/>
      <c r="AR556" s="282"/>
      <c r="AS556" s="282"/>
      <c r="AT556" s="281"/>
      <c r="AU556" s="281"/>
      <c r="AV556" s="281"/>
      <c r="AW556" s="281"/>
      <c r="AX556" s="281"/>
      <c r="AY556" s="281"/>
      <c r="AZ556" s="281"/>
    </row>
    <row r="557" spans="1:52" ht="15" customHeight="1" x14ac:dyDescent="0.3">
      <c r="A557" s="294">
        <v>46101</v>
      </c>
      <c r="B557" s="321" t="s">
        <v>47</v>
      </c>
      <c r="C557" s="321" t="s">
        <v>47</v>
      </c>
      <c r="D557" s="294" t="s">
        <v>48</v>
      </c>
      <c r="E557" s="321" t="s">
        <v>61</v>
      </c>
      <c r="F557" s="295">
        <v>17445935</v>
      </c>
      <c r="G557" s="296"/>
      <c r="H557" s="280" t="s">
        <v>50</v>
      </c>
      <c r="I557" s="323" t="s">
        <v>80</v>
      </c>
      <c r="J557" s="323" t="s">
        <v>155</v>
      </c>
      <c r="K557" s="294">
        <v>46116</v>
      </c>
      <c r="L557" s="294">
        <v>46124</v>
      </c>
      <c r="M557" s="284">
        <f>Table1[[#This Row],[Dep Date]]-Table1[[#This Row],[Arr Date]]</f>
        <v>8</v>
      </c>
      <c r="N557" s="323" t="s">
        <v>52</v>
      </c>
      <c r="O557" s="321">
        <v>1</v>
      </c>
      <c r="P557" s="321">
        <v>2</v>
      </c>
      <c r="Q557" s="321">
        <v>2</v>
      </c>
      <c r="R557" s="321">
        <v>1</v>
      </c>
      <c r="S557" s="321" t="s">
        <v>53</v>
      </c>
      <c r="T557" s="326" t="s">
        <v>2144</v>
      </c>
      <c r="U557" s="297">
        <v>8</v>
      </c>
      <c r="V557" s="294"/>
      <c r="W557" s="297">
        <v>7</v>
      </c>
      <c r="X557" s="294"/>
      <c r="Y557" s="329">
        <f>121*2.5*0.65*7+112*2.5*0.65*1</f>
        <v>1558.375</v>
      </c>
      <c r="Z557" s="329">
        <v>1584.38</v>
      </c>
      <c r="AA557" s="332">
        <f>Table1[[#This Row],[Selling USD]]-Table1[[#This Row],[Cost USD]]</f>
        <v>26.005000000000109</v>
      </c>
      <c r="AB557" s="335"/>
      <c r="AC557" s="298"/>
      <c r="AD557" s="299">
        <f>Table1[[#This Row],[Selling EUR]]-Table1[[#This Row],[Cost EUR]]</f>
        <v>0</v>
      </c>
      <c r="AE557" s="321" t="s">
        <v>54</v>
      </c>
      <c r="AF557" s="294">
        <v>46110</v>
      </c>
      <c r="AG557" s="294"/>
      <c r="AH557" s="321"/>
      <c r="AI557" s="323"/>
      <c r="AJ557" s="338"/>
      <c r="AK557" s="323"/>
      <c r="AL557" s="338"/>
      <c r="AM557" s="338"/>
      <c r="AN557" s="323"/>
      <c r="AO557" s="282"/>
      <c r="AP557" s="306"/>
      <c r="AQ557" s="282"/>
      <c r="AR557" s="282"/>
      <c r="AS557" s="282"/>
      <c r="AT557" s="281"/>
      <c r="AU557" s="281"/>
      <c r="AV557" s="281"/>
      <c r="AW557" s="281"/>
      <c r="AX557" s="281"/>
      <c r="AY557" s="281"/>
      <c r="AZ557" s="281"/>
    </row>
    <row r="558" spans="1:52" ht="15" customHeight="1" x14ac:dyDescent="0.3">
      <c r="A558" s="294">
        <v>46100</v>
      </c>
      <c r="B558" s="321" t="s">
        <v>73</v>
      </c>
      <c r="C558" s="321" t="s">
        <v>73</v>
      </c>
      <c r="D558" s="294" t="s">
        <v>48</v>
      </c>
      <c r="E558" s="321" t="s">
        <v>138</v>
      </c>
      <c r="F558" s="295">
        <v>17441860</v>
      </c>
      <c r="G558" s="296"/>
      <c r="H558" s="280" t="s">
        <v>84</v>
      </c>
      <c r="I558" s="323" t="s">
        <v>168</v>
      </c>
      <c r="J558" s="323" t="s">
        <v>145</v>
      </c>
      <c r="K558" s="294">
        <v>46229</v>
      </c>
      <c r="L558" s="294">
        <v>46237</v>
      </c>
      <c r="M558" s="284">
        <f>Table1[[#This Row],[Dep Date]]-Table1[[#This Row],[Arr Date]]</f>
        <v>8</v>
      </c>
      <c r="N558" s="323" t="s">
        <v>70</v>
      </c>
      <c r="O558" s="321">
        <v>1</v>
      </c>
      <c r="P558" s="321">
        <v>3</v>
      </c>
      <c r="Q558" s="321"/>
      <c r="R558" s="321"/>
      <c r="S558" s="321" t="s">
        <v>53</v>
      </c>
      <c r="T558" s="326" t="s">
        <v>209</v>
      </c>
      <c r="U558" s="297"/>
      <c r="V558" s="294"/>
      <c r="W558" s="297"/>
      <c r="X558" s="294"/>
      <c r="Y558" s="329"/>
      <c r="Z558" s="329"/>
      <c r="AA558" s="332">
        <f>Table1[[#This Row],[Selling USD]]-Table1[[#This Row],[Cost USD]]</f>
        <v>0</v>
      </c>
      <c r="AB558" s="335"/>
      <c r="AC558" s="298"/>
      <c r="AD558" s="299">
        <f>Table1[[#This Row],[Selling EUR]]-Table1[[#This Row],[Cost EUR]]</f>
        <v>0</v>
      </c>
      <c r="AE558" s="321"/>
      <c r="AF558" s="294"/>
      <c r="AG558" s="294"/>
      <c r="AH558" s="321"/>
      <c r="AI558" s="323"/>
      <c r="AJ558" s="338"/>
      <c r="AK558" s="323"/>
      <c r="AL558" s="338"/>
      <c r="AM558" s="338"/>
      <c r="AN558" s="323"/>
      <c r="AO558" s="282"/>
      <c r="AP558" s="306"/>
      <c r="AQ558" s="282"/>
      <c r="AR558" s="282"/>
      <c r="AS558" s="282"/>
      <c r="AT558" s="281"/>
      <c r="AU558" s="281"/>
      <c r="AV558" s="281"/>
      <c r="AW558" s="281"/>
      <c r="AX558" s="281"/>
      <c r="AY558" s="281"/>
      <c r="AZ558" s="281"/>
    </row>
    <row r="559" spans="1:52" ht="15" customHeight="1" x14ac:dyDescent="0.3">
      <c r="A559" s="294">
        <v>46105</v>
      </c>
      <c r="B559" s="321" t="s">
        <v>47</v>
      </c>
      <c r="C559" s="321" t="s">
        <v>47</v>
      </c>
      <c r="D559" s="294" t="s">
        <v>79</v>
      </c>
      <c r="E559" s="321" t="s">
        <v>49</v>
      </c>
      <c r="F559" s="295">
        <v>16506822</v>
      </c>
      <c r="G559" s="296">
        <v>20303732</v>
      </c>
      <c r="H559" s="280" t="s">
        <v>50</v>
      </c>
      <c r="I559" s="323" t="s">
        <v>133</v>
      </c>
      <c r="J559" s="323" t="s">
        <v>1402</v>
      </c>
      <c r="K559" s="294">
        <v>46307</v>
      </c>
      <c r="L559" s="294">
        <v>46316</v>
      </c>
      <c r="M559" s="284">
        <f>Table1[[#This Row],[Dep Date]]-Table1[[#This Row],[Arr Date]]</f>
        <v>9</v>
      </c>
      <c r="N559" s="323" t="s">
        <v>52</v>
      </c>
      <c r="O559" s="321">
        <v>1</v>
      </c>
      <c r="P559" s="321">
        <v>2</v>
      </c>
      <c r="Q559" s="321"/>
      <c r="R559" s="321"/>
      <c r="S559" s="321" t="s">
        <v>53</v>
      </c>
      <c r="T559" s="326" t="s">
        <v>2635</v>
      </c>
      <c r="U559" s="297"/>
      <c r="V559" s="294"/>
      <c r="W559" s="297"/>
      <c r="X559" s="294"/>
      <c r="Y559" s="329"/>
      <c r="Z559" s="329"/>
      <c r="AA559" s="332">
        <f>Table1[[#This Row],[Selling USD]]-Table1[[#This Row],[Cost USD]]</f>
        <v>0</v>
      </c>
      <c r="AB559" s="335">
        <f>55*2*9</f>
        <v>990</v>
      </c>
      <c r="AC559" s="298">
        <v>1008</v>
      </c>
      <c r="AD559" s="299">
        <f>Table1[[#This Row],[Selling EUR]]-Table1[[#This Row],[Cost EUR]]</f>
        <v>18</v>
      </c>
      <c r="AE559" s="321" t="s">
        <v>54</v>
      </c>
      <c r="AF559" s="294">
        <v>46300</v>
      </c>
      <c r="AG559" s="294"/>
      <c r="AH559" s="321"/>
      <c r="AI559" s="323"/>
      <c r="AJ559" s="338"/>
      <c r="AK559" s="323"/>
      <c r="AL559" s="338"/>
      <c r="AM559" s="338"/>
      <c r="AN559" s="323"/>
      <c r="AO559" s="282"/>
      <c r="AP559" s="306"/>
      <c r="AQ559" s="282"/>
      <c r="AR559" s="282"/>
      <c r="AS559" s="282"/>
      <c r="AT559" s="281"/>
      <c r="AU559" s="281"/>
      <c r="AV559" s="281"/>
      <c r="AW559" s="281"/>
      <c r="AX559" s="281"/>
      <c r="AY559" s="281"/>
      <c r="AZ559" s="281"/>
    </row>
    <row r="560" spans="1:52" ht="15" customHeight="1" x14ac:dyDescent="0.3">
      <c r="A560" s="294">
        <v>46106</v>
      </c>
      <c r="B560" s="321" t="s">
        <v>47</v>
      </c>
      <c r="C560" s="321" t="s">
        <v>47</v>
      </c>
      <c r="D560" s="294" t="s">
        <v>79</v>
      </c>
      <c r="E560" s="321" t="s">
        <v>49</v>
      </c>
      <c r="F560" s="295">
        <v>16515140</v>
      </c>
      <c r="G560" s="296">
        <v>20303733</v>
      </c>
      <c r="H560" s="280" t="s">
        <v>50</v>
      </c>
      <c r="I560" s="323" t="s">
        <v>210</v>
      </c>
      <c r="J560" s="323" t="s">
        <v>1519</v>
      </c>
      <c r="K560" s="294">
        <v>46130</v>
      </c>
      <c r="L560" s="294">
        <v>46137.041666666599</v>
      </c>
      <c r="M560" s="284">
        <f>Table1[[#This Row],[Dep Date]]-Table1[[#This Row],[Arr Date]]</f>
        <v>7.0416666665987577</v>
      </c>
      <c r="N560" s="323" t="s">
        <v>52</v>
      </c>
      <c r="O560" s="321">
        <v>1</v>
      </c>
      <c r="P560" s="321">
        <v>2</v>
      </c>
      <c r="Q560" s="321"/>
      <c r="R560" s="321"/>
      <c r="S560" s="321" t="s">
        <v>53</v>
      </c>
      <c r="T560" s="326" t="s">
        <v>2145</v>
      </c>
      <c r="U560" s="297"/>
      <c r="V560" s="294"/>
      <c r="W560" s="297"/>
      <c r="X560" s="294"/>
      <c r="Y560" s="329"/>
      <c r="Z560" s="329"/>
      <c r="AA560" s="332">
        <f>Table1[[#This Row],[Selling USD]]-Table1[[#This Row],[Cost USD]]</f>
        <v>0</v>
      </c>
      <c r="AB560" s="335">
        <f>45*2*7</f>
        <v>630</v>
      </c>
      <c r="AC560" s="298">
        <v>644</v>
      </c>
      <c r="AD560" s="299">
        <f>Table1[[#This Row],[Selling EUR]]-Table1[[#This Row],[Cost EUR]]</f>
        <v>14</v>
      </c>
      <c r="AE560" s="321" t="s">
        <v>54</v>
      </c>
      <c r="AF560" s="294">
        <v>46117</v>
      </c>
      <c r="AG560" s="294"/>
      <c r="AH560" s="321"/>
      <c r="AI560" s="323"/>
      <c r="AJ560" s="338"/>
      <c r="AK560" s="323"/>
      <c r="AL560" s="338"/>
      <c r="AM560" s="338"/>
      <c r="AN560" s="323"/>
      <c r="AO560" s="282"/>
      <c r="AP560" s="306"/>
      <c r="AQ560" s="282"/>
      <c r="AR560" s="282"/>
      <c r="AS560" s="282"/>
      <c r="AT560" s="281"/>
      <c r="AU560" s="281"/>
      <c r="AV560" s="281"/>
      <c r="AW560" s="281"/>
      <c r="AX560" s="281"/>
      <c r="AY560" s="281"/>
      <c r="AZ560" s="281"/>
    </row>
    <row r="561" spans="1:52" ht="15" customHeight="1" x14ac:dyDescent="0.3">
      <c r="A561" s="294">
        <v>46107</v>
      </c>
      <c r="B561" s="321" t="s">
        <v>73</v>
      </c>
      <c r="C561" s="321" t="s">
        <v>73</v>
      </c>
      <c r="D561" s="294" t="s">
        <v>48</v>
      </c>
      <c r="E561" s="321" t="s">
        <v>49</v>
      </c>
      <c r="F561" s="295">
        <v>17462288</v>
      </c>
      <c r="G561" s="296"/>
      <c r="H561" s="280" t="s">
        <v>58</v>
      </c>
      <c r="I561" s="323" t="s">
        <v>62</v>
      </c>
      <c r="J561" s="323" t="s">
        <v>174</v>
      </c>
      <c r="K561" s="294">
        <v>46210</v>
      </c>
      <c r="L561" s="294">
        <v>46217</v>
      </c>
      <c r="M561" s="284">
        <f>Table1[[#This Row],[Dep Date]]-Table1[[#This Row],[Arr Date]]</f>
        <v>7</v>
      </c>
      <c r="N561" s="323" t="s">
        <v>52</v>
      </c>
      <c r="O561" s="321">
        <v>1</v>
      </c>
      <c r="P561" s="321">
        <v>3</v>
      </c>
      <c r="Q561" s="321">
        <v>1</v>
      </c>
      <c r="R561" s="321"/>
      <c r="S561" s="321" t="s">
        <v>53</v>
      </c>
      <c r="T561" s="326" t="s">
        <v>211</v>
      </c>
      <c r="U561" s="297">
        <v>13</v>
      </c>
      <c r="V561" s="294"/>
      <c r="W561" s="297"/>
      <c r="X561" s="294"/>
      <c r="Y561" s="329"/>
      <c r="Z561" s="329"/>
      <c r="AA561" s="332">
        <f>Table1[[#This Row],[Selling USD]]-Table1[[#This Row],[Cost USD]]</f>
        <v>0</v>
      </c>
      <c r="AB561" s="335"/>
      <c r="AC561" s="298"/>
      <c r="AD561" s="299">
        <f>Table1[[#This Row],[Selling EUR]]-Table1[[#This Row],[Cost EUR]]</f>
        <v>0</v>
      </c>
      <c r="AE561" s="321"/>
      <c r="AF561" s="294"/>
      <c r="AG561" s="294"/>
      <c r="AH561" s="321"/>
      <c r="AI561" s="323"/>
      <c r="AJ561" s="338"/>
      <c r="AK561" s="323"/>
      <c r="AL561" s="338"/>
      <c r="AM561" s="338"/>
      <c r="AN561" s="323"/>
      <c r="AO561" s="282"/>
      <c r="AP561" s="306"/>
      <c r="AQ561" s="282"/>
      <c r="AR561" s="282"/>
      <c r="AS561" s="282"/>
      <c r="AT561" s="281"/>
      <c r="AU561" s="281"/>
      <c r="AV561" s="281"/>
      <c r="AW561" s="281"/>
      <c r="AX561" s="281"/>
      <c r="AY561" s="281"/>
      <c r="AZ561" s="281"/>
    </row>
    <row r="562" spans="1:52" ht="15" customHeight="1" x14ac:dyDescent="0.3">
      <c r="A562" s="294">
        <v>46114</v>
      </c>
      <c r="B562" s="321" t="s">
        <v>47</v>
      </c>
      <c r="C562" s="321" t="s">
        <v>47</v>
      </c>
      <c r="D562" s="294" t="s">
        <v>48</v>
      </c>
      <c r="E562" s="321" t="s">
        <v>49</v>
      </c>
      <c r="F562" s="295">
        <v>17482767</v>
      </c>
      <c r="G562" s="296"/>
      <c r="H562" s="280" t="s">
        <v>58</v>
      </c>
      <c r="I562" s="323" t="s">
        <v>62</v>
      </c>
      <c r="J562" s="323" t="s">
        <v>63</v>
      </c>
      <c r="K562" s="294">
        <v>46301</v>
      </c>
      <c r="L562" s="294">
        <v>46311</v>
      </c>
      <c r="M562" s="284">
        <f>Table1[[#This Row],[Dep Date]]-Table1[[#This Row],[Arr Date]]</f>
        <v>10</v>
      </c>
      <c r="N562" s="323" t="s">
        <v>52</v>
      </c>
      <c r="O562" s="321">
        <v>1</v>
      </c>
      <c r="P562" s="321">
        <v>1</v>
      </c>
      <c r="Q562" s="321">
        <v>1</v>
      </c>
      <c r="R562" s="321"/>
      <c r="S562" s="321" t="s">
        <v>53</v>
      </c>
      <c r="T562" s="326" t="s">
        <v>2146</v>
      </c>
      <c r="U562" s="297">
        <v>11</v>
      </c>
      <c r="V562" s="294"/>
      <c r="W562" s="297"/>
      <c r="X562" s="294"/>
      <c r="Y562" s="329"/>
      <c r="Z562" s="329"/>
      <c r="AA562" s="332">
        <f>Table1[[#This Row],[Selling USD]]-Table1[[#This Row],[Cost USD]]</f>
        <v>0</v>
      </c>
      <c r="AB562" s="335">
        <f>65*2*10</f>
        <v>1300</v>
      </c>
      <c r="AC562" s="298">
        <v>1350</v>
      </c>
      <c r="AD562" s="299">
        <f>Table1[[#This Row],[Selling EUR]]-Table1[[#This Row],[Cost EUR]]</f>
        <v>50</v>
      </c>
      <c r="AE562" s="321" t="s">
        <v>54</v>
      </c>
      <c r="AF562" s="294">
        <v>46289</v>
      </c>
      <c r="AG562" s="294"/>
      <c r="AH562" s="321"/>
      <c r="AI562" s="323"/>
      <c r="AJ562" s="338"/>
      <c r="AK562" s="323"/>
      <c r="AL562" s="338"/>
      <c r="AM562" s="338"/>
      <c r="AN562" s="323"/>
      <c r="AO562" s="282"/>
      <c r="AP562" s="306"/>
      <c r="AQ562" s="282"/>
      <c r="AR562" s="282"/>
      <c r="AS562" s="282"/>
      <c r="AT562" s="281"/>
      <c r="AU562" s="281"/>
      <c r="AV562" s="281"/>
      <c r="AW562" s="281"/>
      <c r="AX562" s="281"/>
      <c r="AY562" s="281"/>
      <c r="AZ562" s="281"/>
    </row>
    <row r="563" spans="1:52" ht="15" customHeight="1" x14ac:dyDescent="0.3">
      <c r="A563" s="294">
        <v>46109</v>
      </c>
      <c r="B563" s="321" t="s">
        <v>73</v>
      </c>
      <c r="C563" s="321" t="s">
        <v>73</v>
      </c>
      <c r="D563" s="294" t="s">
        <v>48</v>
      </c>
      <c r="E563" s="321" t="s">
        <v>138</v>
      </c>
      <c r="F563" s="295">
        <v>17467750</v>
      </c>
      <c r="G563" s="296"/>
      <c r="H563" s="280" t="s">
        <v>84</v>
      </c>
      <c r="I563" s="323" t="s">
        <v>168</v>
      </c>
      <c r="J563" s="323" t="s">
        <v>2636</v>
      </c>
      <c r="K563" s="294">
        <v>46166.041666666599</v>
      </c>
      <c r="L563" s="294">
        <v>46173.041666666599</v>
      </c>
      <c r="M563" s="284">
        <f>Table1[[#This Row],[Dep Date]]-Table1[[#This Row],[Arr Date]]</f>
        <v>7</v>
      </c>
      <c r="N563" s="323" t="s">
        <v>1618</v>
      </c>
      <c r="O563" s="321">
        <v>3</v>
      </c>
      <c r="P563" s="321">
        <v>5</v>
      </c>
      <c r="Q563" s="321">
        <v>4</v>
      </c>
      <c r="R563" s="321"/>
      <c r="S563" s="321" t="s">
        <v>53</v>
      </c>
      <c r="T563" s="326" t="s">
        <v>2147</v>
      </c>
      <c r="U563" s="297"/>
      <c r="V563" s="294"/>
      <c r="W563" s="297"/>
      <c r="X563" s="294"/>
      <c r="Y563" s="329"/>
      <c r="Z563" s="329"/>
      <c r="AA563" s="332">
        <f>Table1[[#This Row],[Selling USD]]-Table1[[#This Row],[Cost USD]]</f>
        <v>0</v>
      </c>
      <c r="AB563" s="335"/>
      <c r="AC563" s="298"/>
      <c r="AD563" s="299">
        <f>Table1[[#This Row],[Selling EUR]]-Table1[[#This Row],[Cost EUR]]</f>
        <v>0</v>
      </c>
      <c r="AE563" s="321"/>
      <c r="AF563" s="294"/>
      <c r="AG563" s="294"/>
      <c r="AH563" s="321"/>
      <c r="AI563" s="323"/>
      <c r="AJ563" s="338"/>
      <c r="AK563" s="323"/>
      <c r="AL563" s="338"/>
      <c r="AM563" s="338"/>
      <c r="AN563" s="323"/>
      <c r="AO563" s="282"/>
      <c r="AP563" s="306"/>
      <c r="AQ563" s="282"/>
      <c r="AR563" s="282"/>
      <c r="AS563" s="282"/>
      <c r="AT563" s="281"/>
      <c r="AU563" s="281"/>
      <c r="AV563" s="281"/>
      <c r="AW563" s="281"/>
      <c r="AX563" s="281"/>
      <c r="AY563" s="281"/>
      <c r="AZ563" s="281"/>
    </row>
    <row r="564" spans="1:52" ht="15" customHeight="1" x14ac:dyDescent="0.3">
      <c r="A564" s="294">
        <v>46110</v>
      </c>
      <c r="B564" s="321" t="s">
        <v>73</v>
      </c>
      <c r="C564" s="321" t="s">
        <v>73</v>
      </c>
      <c r="D564" s="294" t="s">
        <v>48</v>
      </c>
      <c r="E564" s="321" t="s">
        <v>49</v>
      </c>
      <c r="F564" s="295">
        <v>17469242</v>
      </c>
      <c r="G564" s="296"/>
      <c r="H564" s="280" t="s">
        <v>58</v>
      </c>
      <c r="I564" s="323" t="s">
        <v>62</v>
      </c>
      <c r="J564" s="323" t="s">
        <v>63</v>
      </c>
      <c r="K564" s="294">
        <v>46159.041666666599</v>
      </c>
      <c r="L564" s="294">
        <v>46167.041666666599</v>
      </c>
      <c r="M564" s="284">
        <f>Table1[[#This Row],[Dep Date]]-Table1[[#This Row],[Arr Date]]</f>
        <v>8</v>
      </c>
      <c r="N564" s="323" t="s">
        <v>52</v>
      </c>
      <c r="O564" s="321">
        <v>1</v>
      </c>
      <c r="P564" s="321">
        <v>2</v>
      </c>
      <c r="Q564" s="321"/>
      <c r="R564" s="321"/>
      <c r="S564" s="321" t="s">
        <v>53</v>
      </c>
      <c r="T564" s="326" t="s">
        <v>2148</v>
      </c>
      <c r="U564" s="297"/>
      <c r="V564" s="294"/>
      <c r="W564" s="297"/>
      <c r="X564" s="294"/>
      <c r="Y564" s="329"/>
      <c r="Z564" s="329"/>
      <c r="AA564" s="332">
        <f>Table1[[#This Row],[Selling USD]]-Table1[[#This Row],[Cost USD]]</f>
        <v>0</v>
      </c>
      <c r="AB564" s="335"/>
      <c r="AC564" s="298"/>
      <c r="AD564" s="299">
        <f>Table1[[#This Row],[Selling EUR]]-Table1[[#This Row],[Cost EUR]]</f>
        <v>0</v>
      </c>
      <c r="AE564" s="321"/>
      <c r="AF564" s="294"/>
      <c r="AG564" s="294"/>
      <c r="AH564" s="321"/>
      <c r="AI564" s="323"/>
      <c r="AJ564" s="338"/>
      <c r="AK564" s="323"/>
      <c r="AL564" s="338"/>
      <c r="AM564" s="338"/>
      <c r="AN564" s="323"/>
      <c r="AO564" s="282"/>
      <c r="AP564" s="306"/>
      <c r="AQ564" s="282"/>
      <c r="AR564" s="282"/>
      <c r="AS564" s="282"/>
      <c r="AT564" s="281"/>
      <c r="AU564" s="281"/>
      <c r="AV564" s="281"/>
      <c r="AW564" s="281"/>
      <c r="AX564" s="281"/>
      <c r="AY564" s="281"/>
      <c r="AZ564" s="281"/>
    </row>
    <row r="565" spans="1:52" ht="15" customHeight="1" x14ac:dyDescent="0.3">
      <c r="A565" s="294">
        <v>46110</v>
      </c>
      <c r="B565" s="321" t="s">
        <v>73</v>
      </c>
      <c r="C565" s="321" t="s">
        <v>73</v>
      </c>
      <c r="D565" s="294" t="s">
        <v>48</v>
      </c>
      <c r="E565" s="321" t="s">
        <v>49</v>
      </c>
      <c r="F565" s="295">
        <v>17470264</v>
      </c>
      <c r="G565" s="296"/>
      <c r="H565" s="280" t="s">
        <v>58</v>
      </c>
      <c r="I565" s="323" t="s">
        <v>115</v>
      </c>
      <c r="J565" s="323" t="s">
        <v>2637</v>
      </c>
      <c r="K565" s="294">
        <v>46296</v>
      </c>
      <c r="L565" s="294">
        <v>46311</v>
      </c>
      <c r="M565" s="284">
        <f>Table1[[#This Row],[Dep Date]]-Table1[[#This Row],[Arr Date]]</f>
        <v>15</v>
      </c>
      <c r="N565" s="323" t="s">
        <v>52</v>
      </c>
      <c r="O565" s="321">
        <v>1</v>
      </c>
      <c r="P565" s="321">
        <v>2</v>
      </c>
      <c r="Q565" s="321">
        <v>1</v>
      </c>
      <c r="R565" s="321"/>
      <c r="S565" s="321" t="s">
        <v>53</v>
      </c>
      <c r="T565" s="326" t="s">
        <v>2149</v>
      </c>
      <c r="U565" s="297">
        <v>13</v>
      </c>
      <c r="V565" s="294"/>
      <c r="W565" s="297"/>
      <c r="X565" s="294"/>
      <c r="Y565" s="329"/>
      <c r="Z565" s="329"/>
      <c r="AA565" s="332">
        <f>Table1[[#This Row],[Selling USD]]-Table1[[#This Row],[Cost USD]]</f>
        <v>0</v>
      </c>
      <c r="AB565" s="335"/>
      <c r="AC565" s="298"/>
      <c r="AD565" s="299">
        <f>Table1[[#This Row],[Selling EUR]]-Table1[[#This Row],[Cost EUR]]</f>
        <v>0</v>
      </c>
      <c r="AE565" s="321"/>
      <c r="AF565" s="294"/>
      <c r="AG565" s="294"/>
      <c r="AH565" s="321"/>
      <c r="AI565" s="323"/>
      <c r="AJ565" s="338"/>
      <c r="AK565" s="323"/>
      <c r="AL565" s="338"/>
      <c r="AM565" s="338"/>
      <c r="AN565" s="323"/>
      <c r="AO565" s="282"/>
      <c r="AP565" s="306"/>
      <c r="AQ565" s="282"/>
      <c r="AR565" s="282"/>
      <c r="AS565" s="282"/>
      <c r="AT565" s="281"/>
      <c r="AU565" s="281"/>
      <c r="AV565" s="281"/>
      <c r="AW565" s="281"/>
      <c r="AX565" s="281"/>
      <c r="AY565" s="281"/>
      <c r="AZ565" s="281"/>
    </row>
    <row r="566" spans="1:52" ht="15" customHeight="1" x14ac:dyDescent="0.3">
      <c r="A566" s="294">
        <v>46110</v>
      </c>
      <c r="B566" s="321" t="s">
        <v>1602</v>
      </c>
      <c r="C566" s="321" t="s">
        <v>1602</v>
      </c>
      <c r="D566" s="294" t="s">
        <v>48</v>
      </c>
      <c r="E566" s="321" t="s">
        <v>49</v>
      </c>
      <c r="F566" s="295">
        <v>17470449</v>
      </c>
      <c r="G566" s="296"/>
      <c r="H566" s="280" t="s">
        <v>58</v>
      </c>
      <c r="I566" s="323" t="s">
        <v>64</v>
      </c>
      <c r="J566" s="323" t="s">
        <v>2620</v>
      </c>
      <c r="K566" s="294">
        <v>46160.041666666599</v>
      </c>
      <c r="L566" s="294">
        <v>46174</v>
      </c>
      <c r="M566" s="284">
        <f>Table1[[#This Row],[Dep Date]]-Table1[[#This Row],[Arr Date]]</f>
        <v>13.958333333401242</v>
      </c>
      <c r="N566" s="323" t="s">
        <v>52</v>
      </c>
      <c r="O566" s="321">
        <v>1</v>
      </c>
      <c r="P566" s="321">
        <v>2</v>
      </c>
      <c r="Q566" s="321"/>
      <c r="R566" s="321"/>
      <c r="S566" s="321" t="s">
        <v>53</v>
      </c>
      <c r="T566" s="326" t="s">
        <v>2150</v>
      </c>
      <c r="U566" s="297"/>
      <c r="V566" s="294"/>
      <c r="W566" s="297"/>
      <c r="X566" s="294"/>
      <c r="Y566" s="329"/>
      <c r="Z566" s="329"/>
      <c r="AA566" s="332">
        <f>Table1[[#This Row],[Selling USD]]-Table1[[#This Row],[Cost USD]]</f>
        <v>0</v>
      </c>
      <c r="AB566" s="335"/>
      <c r="AC566" s="298"/>
      <c r="AD566" s="299">
        <f>Table1[[#This Row],[Selling EUR]]-Table1[[#This Row],[Cost EUR]]</f>
        <v>0</v>
      </c>
      <c r="AE566" s="321"/>
      <c r="AF566" s="294"/>
      <c r="AG566" s="294"/>
      <c r="AH566" s="321"/>
      <c r="AI566" s="323"/>
      <c r="AJ566" s="338"/>
      <c r="AK566" s="323"/>
      <c r="AL566" s="338"/>
      <c r="AM566" s="338"/>
      <c r="AN566" s="323"/>
      <c r="AO566" s="282"/>
      <c r="AP566" s="306"/>
      <c r="AQ566" s="282"/>
      <c r="AR566" s="282"/>
      <c r="AS566" s="282"/>
      <c r="AT566" s="281"/>
      <c r="AU566" s="281"/>
      <c r="AV566" s="281"/>
      <c r="AW566" s="281"/>
      <c r="AX566" s="281"/>
      <c r="AY566" s="281"/>
      <c r="AZ566" s="281"/>
    </row>
    <row r="567" spans="1:52" ht="15" customHeight="1" x14ac:dyDescent="0.3">
      <c r="A567" s="294">
        <v>46137.041666666599</v>
      </c>
      <c r="B567" s="321" t="s">
        <v>47</v>
      </c>
      <c r="C567" s="321" t="s">
        <v>47</v>
      </c>
      <c r="D567" s="294" t="s">
        <v>48</v>
      </c>
      <c r="E567" s="321" t="s">
        <v>49</v>
      </c>
      <c r="F567" s="295">
        <v>17550205</v>
      </c>
      <c r="G567" s="296"/>
      <c r="H567" s="280" t="s">
        <v>58</v>
      </c>
      <c r="I567" s="323" t="s">
        <v>62</v>
      </c>
      <c r="J567" s="323" t="s">
        <v>63</v>
      </c>
      <c r="K567" s="294">
        <v>46165.041666666599</v>
      </c>
      <c r="L567" s="294">
        <v>46172.041666666599</v>
      </c>
      <c r="M567" s="284">
        <f>Table1[[#This Row],[Dep Date]]-Table1[[#This Row],[Arr Date]]</f>
        <v>7</v>
      </c>
      <c r="N567" s="323" t="s">
        <v>52</v>
      </c>
      <c r="O567" s="321">
        <v>1</v>
      </c>
      <c r="P567" s="321">
        <v>2</v>
      </c>
      <c r="Q567" s="321"/>
      <c r="R567" s="321"/>
      <c r="S567" s="321" t="s">
        <v>53</v>
      </c>
      <c r="T567" s="326" t="s">
        <v>2151</v>
      </c>
      <c r="U567" s="297"/>
      <c r="V567" s="294"/>
      <c r="W567" s="297"/>
      <c r="X567" s="294"/>
      <c r="Y567" s="329"/>
      <c r="Z567" s="329"/>
      <c r="AA567" s="332">
        <f>Table1[[#This Row],[Selling USD]]-Table1[[#This Row],[Cost USD]]</f>
        <v>0</v>
      </c>
      <c r="AB567" s="335">
        <f>52*2*7</f>
        <v>728</v>
      </c>
      <c r="AC567" s="298">
        <v>772</v>
      </c>
      <c r="AD567" s="299">
        <f>Table1[[#This Row],[Selling EUR]]-Table1[[#This Row],[Cost EUR]]</f>
        <v>44</v>
      </c>
      <c r="AE567" s="321" t="s">
        <v>54</v>
      </c>
      <c r="AF567" s="294">
        <v>46153.041666666599</v>
      </c>
      <c r="AG567" s="294" t="s">
        <v>2413</v>
      </c>
      <c r="AH567" s="321"/>
      <c r="AI567" s="323"/>
      <c r="AJ567" s="338"/>
      <c r="AK567" s="323"/>
      <c r="AL567" s="338"/>
      <c r="AM567" s="338"/>
      <c r="AN567" s="323"/>
      <c r="AO567" s="282"/>
      <c r="AP567" s="306"/>
      <c r="AQ567" s="282"/>
      <c r="AR567" s="282"/>
      <c r="AS567" s="282"/>
      <c r="AT567" s="281"/>
      <c r="AU567" s="281"/>
      <c r="AV567" s="281"/>
      <c r="AW567" s="281"/>
      <c r="AX567" s="281"/>
      <c r="AY567" s="281"/>
      <c r="AZ567" s="281"/>
    </row>
    <row r="568" spans="1:52" ht="15" customHeight="1" x14ac:dyDescent="0.3">
      <c r="A568" s="294">
        <v>46114</v>
      </c>
      <c r="B568" s="321" t="s">
        <v>47</v>
      </c>
      <c r="C568" s="321" t="s">
        <v>47</v>
      </c>
      <c r="D568" s="294" t="s">
        <v>48</v>
      </c>
      <c r="E568" s="321" t="s">
        <v>49</v>
      </c>
      <c r="F568" s="295">
        <v>17482147</v>
      </c>
      <c r="G568" s="296"/>
      <c r="H568" s="280" t="s">
        <v>58</v>
      </c>
      <c r="I568" s="323" t="s">
        <v>62</v>
      </c>
      <c r="J568" s="323" t="s">
        <v>63</v>
      </c>
      <c r="K568" s="294">
        <v>46182</v>
      </c>
      <c r="L568" s="294">
        <v>46189</v>
      </c>
      <c r="M568" s="284">
        <f>Table1[[#This Row],[Dep Date]]-Table1[[#This Row],[Arr Date]]</f>
        <v>7</v>
      </c>
      <c r="N568" s="323" t="s">
        <v>52</v>
      </c>
      <c r="O568" s="321">
        <v>1</v>
      </c>
      <c r="P568" s="321">
        <v>2</v>
      </c>
      <c r="Q568" s="321"/>
      <c r="R568" s="321"/>
      <c r="S568" s="321" t="s">
        <v>53</v>
      </c>
      <c r="T568" s="326" t="s">
        <v>212</v>
      </c>
      <c r="U568" s="297"/>
      <c r="V568" s="294"/>
      <c r="W568" s="297"/>
      <c r="X568" s="294"/>
      <c r="Y568" s="329"/>
      <c r="Z568" s="329"/>
      <c r="AA568" s="332">
        <f>Table1[[#This Row],[Selling USD]]-Table1[[#This Row],[Cost USD]]</f>
        <v>0</v>
      </c>
      <c r="AB568" s="335">
        <f>47*2*7</f>
        <v>658</v>
      </c>
      <c r="AC568" s="298">
        <v>686</v>
      </c>
      <c r="AD568" s="299">
        <f>Table1[[#This Row],[Selling EUR]]-Table1[[#This Row],[Cost EUR]]</f>
        <v>28</v>
      </c>
      <c r="AE568" s="321" t="s">
        <v>54</v>
      </c>
      <c r="AF568" s="294">
        <v>46176.041666666664</v>
      </c>
      <c r="AG568" s="294"/>
      <c r="AH568" s="321"/>
      <c r="AI568" s="323"/>
      <c r="AJ568" s="338"/>
      <c r="AK568" s="323"/>
      <c r="AL568" s="338"/>
      <c r="AM568" s="338"/>
      <c r="AN568" s="323"/>
      <c r="AO568" s="282"/>
      <c r="AP568" s="306"/>
      <c r="AQ568" s="282"/>
      <c r="AR568" s="282"/>
      <c r="AS568" s="282"/>
      <c r="AT568" s="281"/>
      <c r="AU568" s="281"/>
      <c r="AV568" s="281"/>
      <c r="AW568" s="281"/>
      <c r="AX568" s="281"/>
      <c r="AY568" s="281"/>
      <c r="AZ568" s="281"/>
    </row>
    <row r="569" spans="1:52" ht="15" customHeight="1" x14ac:dyDescent="0.3">
      <c r="A569" s="294">
        <v>46043</v>
      </c>
      <c r="B569" s="321" t="s">
        <v>73</v>
      </c>
      <c r="C569" s="321" t="s">
        <v>73</v>
      </c>
      <c r="D569" s="294" t="s">
        <v>48</v>
      </c>
      <c r="E569" s="321" t="s">
        <v>49</v>
      </c>
      <c r="F569" s="295">
        <v>17252459</v>
      </c>
      <c r="G569" s="296"/>
      <c r="H569" s="280" t="s">
        <v>50</v>
      </c>
      <c r="I569" s="323" t="s">
        <v>67</v>
      </c>
      <c r="J569" s="323" t="s">
        <v>2638</v>
      </c>
      <c r="K569" s="294">
        <v>46309</v>
      </c>
      <c r="L569" s="294">
        <v>46316</v>
      </c>
      <c r="M569" s="284">
        <f>Table1[[#This Row],[Dep Date]]-Table1[[#This Row],[Arr Date]]</f>
        <v>7</v>
      </c>
      <c r="N569" s="323" t="s">
        <v>52</v>
      </c>
      <c r="O569" s="321">
        <v>1</v>
      </c>
      <c r="P569" s="321">
        <v>2</v>
      </c>
      <c r="Q569" s="321"/>
      <c r="R569" s="321"/>
      <c r="S569" s="321" t="s">
        <v>53</v>
      </c>
      <c r="T569" s="326" t="s">
        <v>2152</v>
      </c>
      <c r="U569" s="297"/>
      <c r="V569" s="294"/>
      <c r="W569" s="297"/>
      <c r="X569" s="294"/>
      <c r="Y569" s="329"/>
      <c r="Z569" s="329"/>
      <c r="AA569" s="332">
        <f>Table1[[#This Row],[Selling USD]]-Table1[[#This Row],[Cost USD]]</f>
        <v>0</v>
      </c>
      <c r="AB569" s="335"/>
      <c r="AC569" s="298"/>
      <c r="AD569" s="299">
        <f>Table1[[#This Row],[Selling EUR]]-Table1[[#This Row],[Cost EUR]]</f>
        <v>0</v>
      </c>
      <c r="AE569" s="321"/>
      <c r="AF569" s="294"/>
      <c r="AG569" s="294"/>
      <c r="AH569" s="321"/>
      <c r="AI569" s="323"/>
      <c r="AJ569" s="338"/>
      <c r="AK569" s="323"/>
      <c r="AL569" s="338"/>
      <c r="AM569" s="338"/>
      <c r="AN569" s="323"/>
      <c r="AO569" s="282"/>
      <c r="AP569" s="306"/>
      <c r="AQ569" s="282"/>
      <c r="AR569" s="282"/>
      <c r="AS569" s="282"/>
      <c r="AT569" s="281"/>
      <c r="AU569" s="281"/>
      <c r="AV569" s="281"/>
      <c r="AW569" s="281"/>
      <c r="AX569" s="281"/>
      <c r="AY569" s="281"/>
      <c r="AZ569" s="281"/>
    </row>
    <row r="570" spans="1:52" ht="15" customHeight="1" x14ac:dyDescent="0.3">
      <c r="A570" s="294">
        <v>46115</v>
      </c>
      <c r="B570" s="321" t="s">
        <v>47</v>
      </c>
      <c r="C570" s="321" t="s">
        <v>47</v>
      </c>
      <c r="D570" s="294" t="s">
        <v>48</v>
      </c>
      <c r="E570" s="321" t="s">
        <v>138</v>
      </c>
      <c r="F570" s="295">
        <v>17484098</v>
      </c>
      <c r="G570" s="296"/>
      <c r="H570" s="280" t="s">
        <v>84</v>
      </c>
      <c r="I570" s="323" t="s">
        <v>168</v>
      </c>
      <c r="J570" s="323" t="s">
        <v>191</v>
      </c>
      <c r="K570" s="294">
        <v>46137.041666666599</v>
      </c>
      <c r="L570" s="294">
        <v>46144.041666666599</v>
      </c>
      <c r="M570" s="284">
        <f>Table1[[#This Row],[Dep Date]]-Table1[[#This Row],[Arr Date]]</f>
        <v>7</v>
      </c>
      <c r="N570" s="323" t="s">
        <v>70</v>
      </c>
      <c r="O570" s="321">
        <v>1</v>
      </c>
      <c r="P570" s="321">
        <v>3</v>
      </c>
      <c r="Q570" s="321"/>
      <c r="R570" s="321"/>
      <c r="S570" s="321" t="s">
        <v>53</v>
      </c>
      <c r="T570" s="326" t="s">
        <v>2153</v>
      </c>
      <c r="U570" s="297"/>
      <c r="V570" s="294"/>
      <c r="W570" s="297"/>
      <c r="X570" s="294"/>
      <c r="Y570" s="329"/>
      <c r="Z570" s="329"/>
      <c r="AA570" s="332">
        <f>Table1[[#This Row],[Selling USD]]-Table1[[#This Row],[Cost USD]]</f>
        <v>0</v>
      </c>
      <c r="AB570" s="335">
        <f>53*3*6+51*3</f>
        <v>1107</v>
      </c>
      <c r="AC570" s="298">
        <v>1149</v>
      </c>
      <c r="AD570" s="299">
        <f>Table1[[#This Row],[Selling EUR]]-Table1[[#This Row],[Cost EUR]]</f>
        <v>42</v>
      </c>
      <c r="AE570" s="321" t="s">
        <v>54</v>
      </c>
      <c r="AF570" s="294">
        <v>46128</v>
      </c>
      <c r="AG570" s="294"/>
      <c r="AH570" s="321"/>
      <c r="AI570" s="323"/>
      <c r="AJ570" s="338"/>
      <c r="AK570" s="323"/>
      <c r="AL570" s="338"/>
      <c r="AM570" s="338"/>
      <c r="AN570" s="323"/>
      <c r="AO570" s="282"/>
      <c r="AP570" s="306"/>
      <c r="AQ570" s="282"/>
      <c r="AR570" s="282"/>
      <c r="AS570" s="282"/>
      <c r="AT570" s="281"/>
      <c r="AU570" s="281"/>
      <c r="AV570" s="281"/>
      <c r="AW570" s="281"/>
      <c r="AX570" s="281"/>
      <c r="AY570" s="281"/>
      <c r="AZ570" s="281"/>
    </row>
    <row r="571" spans="1:52" ht="15" customHeight="1" x14ac:dyDescent="0.3">
      <c r="A571" s="294">
        <v>46115</v>
      </c>
      <c r="B571" s="321" t="s">
        <v>47</v>
      </c>
      <c r="C571" s="321" t="s">
        <v>47</v>
      </c>
      <c r="D571" s="294" t="s">
        <v>48</v>
      </c>
      <c r="E571" s="321" t="s">
        <v>138</v>
      </c>
      <c r="F571" s="295">
        <v>17484041</v>
      </c>
      <c r="G571" s="296"/>
      <c r="H571" s="280" t="s">
        <v>84</v>
      </c>
      <c r="I571" s="323" t="s">
        <v>168</v>
      </c>
      <c r="J571" s="323" t="s">
        <v>191</v>
      </c>
      <c r="K571" s="294">
        <v>46137.041666666599</v>
      </c>
      <c r="L571" s="294">
        <v>46144.041666666599</v>
      </c>
      <c r="M571" s="284">
        <f>Table1[[#This Row],[Dep Date]]-Table1[[#This Row],[Arr Date]]</f>
        <v>7</v>
      </c>
      <c r="N571" s="323" t="s">
        <v>70</v>
      </c>
      <c r="O571" s="321">
        <v>1</v>
      </c>
      <c r="P571" s="321">
        <v>3</v>
      </c>
      <c r="Q571" s="321"/>
      <c r="R571" s="321"/>
      <c r="S571" s="321" t="s">
        <v>53</v>
      </c>
      <c r="T571" s="326" t="s">
        <v>2154</v>
      </c>
      <c r="U571" s="297"/>
      <c r="V571" s="294"/>
      <c r="W571" s="297"/>
      <c r="X571" s="294"/>
      <c r="Y571" s="329"/>
      <c r="Z571" s="329"/>
      <c r="AA571" s="332">
        <f>Table1[[#This Row],[Selling USD]]-Table1[[#This Row],[Cost USD]]</f>
        <v>0</v>
      </c>
      <c r="AB571" s="335">
        <f>53*3*6+51*3</f>
        <v>1107</v>
      </c>
      <c r="AC571" s="298">
        <v>1149</v>
      </c>
      <c r="AD571" s="299">
        <f>Table1[[#This Row],[Selling EUR]]-Table1[[#This Row],[Cost EUR]]</f>
        <v>42</v>
      </c>
      <c r="AE571" s="321" t="s">
        <v>54</v>
      </c>
      <c r="AF571" s="294">
        <v>46128</v>
      </c>
      <c r="AG571" s="294"/>
      <c r="AH571" s="321"/>
      <c r="AI571" s="323"/>
      <c r="AJ571" s="338"/>
      <c r="AK571" s="323"/>
      <c r="AL571" s="338"/>
      <c r="AM571" s="338"/>
      <c r="AN571" s="323"/>
      <c r="AO571" s="282"/>
      <c r="AP571" s="306"/>
      <c r="AQ571" s="282"/>
      <c r="AR571" s="282"/>
      <c r="AS571" s="282"/>
      <c r="AT571" s="281"/>
      <c r="AU571" s="281"/>
      <c r="AV571" s="281"/>
      <c r="AW571" s="281"/>
      <c r="AX571" s="281"/>
      <c r="AY571" s="281"/>
      <c r="AZ571" s="281"/>
    </row>
    <row r="572" spans="1:52" ht="15" customHeight="1" x14ac:dyDescent="0.3">
      <c r="A572" s="294">
        <v>46115</v>
      </c>
      <c r="B572" s="321" t="s">
        <v>73</v>
      </c>
      <c r="C572" s="321" t="s">
        <v>73</v>
      </c>
      <c r="D572" s="294" t="s">
        <v>48</v>
      </c>
      <c r="E572" s="321" t="s">
        <v>138</v>
      </c>
      <c r="F572" s="295">
        <v>17484459</v>
      </c>
      <c r="G572" s="296"/>
      <c r="H572" s="280" t="s">
        <v>84</v>
      </c>
      <c r="I572" s="323" t="s">
        <v>213</v>
      </c>
      <c r="J572" s="323" t="s">
        <v>2639</v>
      </c>
      <c r="K572" s="294">
        <v>46136.041666666599</v>
      </c>
      <c r="L572" s="294">
        <v>46143.041666666599</v>
      </c>
      <c r="M572" s="284">
        <f>Table1[[#This Row],[Dep Date]]-Table1[[#This Row],[Arr Date]]</f>
        <v>7</v>
      </c>
      <c r="N572" s="323" t="s">
        <v>70</v>
      </c>
      <c r="O572" s="321">
        <v>1</v>
      </c>
      <c r="P572" s="321">
        <v>3</v>
      </c>
      <c r="Q572" s="321"/>
      <c r="R572" s="321"/>
      <c r="S572" s="321" t="s">
        <v>53</v>
      </c>
      <c r="T572" s="326" t="s">
        <v>2155</v>
      </c>
      <c r="U572" s="297"/>
      <c r="V572" s="294"/>
      <c r="W572" s="297"/>
      <c r="X572" s="294"/>
      <c r="Y572" s="329"/>
      <c r="Z572" s="329"/>
      <c r="AA572" s="332">
        <f>Table1[[#This Row],[Selling USD]]-Table1[[#This Row],[Cost USD]]</f>
        <v>0</v>
      </c>
      <c r="AB572" s="335"/>
      <c r="AC572" s="298"/>
      <c r="AD572" s="299">
        <f>Table1[[#This Row],[Selling EUR]]-Table1[[#This Row],[Cost EUR]]</f>
        <v>0</v>
      </c>
      <c r="AE572" s="321"/>
      <c r="AF572" s="294"/>
      <c r="AG572" s="294"/>
      <c r="AH572" s="321"/>
      <c r="AI572" s="323"/>
      <c r="AJ572" s="338"/>
      <c r="AK572" s="323"/>
      <c r="AL572" s="338"/>
      <c r="AM572" s="338"/>
      <c r="AN572" s="323"/>
      <c r="AO572" s="282"/>
      <c r="AP572" s="306"/>
      <c r="AQ572" s="282"/>
      <c r="AR572" s="282"/>
      <c r="AS572" s="282"/>
      <c r="AT572" s="281"/>
      <c r="AU572" s="281"/>
      <c r="AV572" s="281"/>
      <c r="AW572" s="281"/>
      <c r="AX572" s="281"/>
      <c r="AY572" s="281"/>
      <c r="AZ572" s="281"/>
    </row>
    <row r="573" spans="1:52" ht="15" customHeight="1" x14ac:dyDescent="0.3">
      <c r="A573" s="294">
        <v>46115</v>
      </c>
      <c r="B573" s="321" t="s">
        <v>73</v>
      </c>
      <c r="C573" s="321" t="s">
        <v>73</v>
      </c>
      <c r="D573" s="294" t="s">
        <v>48</v>
      </c>
      <c r="E573" s="321" t="s">
        <v>49</v>
      </c>
      <c r="F573" s="295">
        <v>17485101</v>
      </c>
      <c r="G573" s="296"/>
      <c r="H573" s="280" t="s">
        <v>50</v>
      </c>
      <c r="I573" s="323" t="s">
        <v>68</v>
      </c>
      <c r="J573" s="323" t="s">
        <v>202</v>
      </c>
      <c r="K573" s="294">
        <v>46305</v>
      </c>
      <c r="L573" s="294">
        <v>46313</v>
      </c>
      <c r="M573" s="284">
        <f>Table1[[#This Row],[Dep Date]]-Table1[[#This Row],[Arr Date]]</f>
        <v>8</v>
      </c>
      <c r="N573" s="323" t="s">
        <v>52</v>
      </c>
      <c r="O573" s="321">
        <v>1</v>
      </c>
      <c r="P573" s="321">
        <v>2</v>
      </c>
      <c r="Q573" s="321">
        <v>2</v>
      </c>
      <c r="R573" s="321"/>
      <c r="S573" s="321" t="s">
        <v>53</v>
      </c>
      <c r="T573" s="326" t="s">
        <v>2156</v>
      </c>
      <c r="U573" s="297"/>
      <c r="V573" s="294"/>
      <c r="W573" s="297"/>
      <c r="X573" s="294"/>
      <c r="Y573" s="329"/>
      <c r="Z573" s="329"/>
      <c r="AA573" s="332">
        <f>Table1[[#This Row],[Selling USD]]-Table1[[#This Row],[Cost USD]]</f>
        <v>0</v>
      </c>
      <c r="AB573" s="335"/>
      <c r="AC573" s="298"/>
      <c r="AD573" s="299">
        <f>Table1[[#This Row],[Selling EUR]]-Table1[[#This Row],[Cost EUR]]</f>
        <v>0</v>
      </c>
      <c r="AE573" s="321"/>
      <c r="AF573" s="294"/>
      <c r="AG573" s="294"/>
      <c r="AH573" s="321"/>
      <c r="AI573" s="323"/>
      <c r="AJ573" s="338"/>
      <c r="AK573" s="323"/>
      <c r="AL573" s="338"/>
      <c r="AM573" s="338"/>
      <c r="AN573" s="323"/>
      <c r="AO573" s="282"/>
      <c r="AP573" s="306"/>
      <c r="AQ573" s="282"/>
      <c r="AR573" s="282"/>
      <c r="AS573" s="282"/>
      <c r="AT573" s="281"/>
      <c r="AU573" s="281"/>
      <c r="AV573" s="281"/>
      <c r="AW573" s="281"/>
      <c r="AX573" s="281"/>
      <c r="AY573" s="281"/>
      <c r="AZ573" s="281"/>
    </row>
    <row r="574" spans="1:52" ht="15" customHeight="1" x14ac:dyDescent="0.3">
      <c r="A574" s="294">
        <v>46116</v>
      </c>
      <c r="B574" s="321" t="s">
        <v>47</v>
      </c>
      <c r="C574" s="321" t="s">
        <v>47</v>
      </c>
      <c r="D574" s="294" t="s">
        <v>48</v>
      </c>
      <c r="E574" s="321" t="s">
        <v>61</v>
      </c>
      <c r="F574" s="295">
        <v>17486884</v>
      </c>
      <c r="G574" s="296"/>
      <c r="H574" s="280" t="s">
        <v>84</v>
      </c>
      <c r="I574" s="323" t="s">
        <v>126</v>
      </c>
      <c r="J574" s="323" t="s">
        <v>2640</v>
      </c>
      <c r="K574" s="294">
        <v>46131</v>
      </c>
      <c r="L574" s="294">
        <v>46138.041666666599</v>
      </c>
      <c r="M574" s="284">
        <f>Table1[[#This Row],[Dep Date]]-Table1[[#This Row],[Arr Date]]</f>
        <v>7.0416666665987577</v>
      </c>
      <c r="N574" s="323" t="s">
        <v>52</v>
      </c>
      <c r="O574" s="321">
        <v>1</v>
      </c>
      <c r="P574" s="321">
        <v>2</v>
      </c>
      <c r="Q574" s="321"/>
      <c r="R574" s="321"/>
      <c r="S574" s="321" t="s">
        <v>53</v>
      </c>
      <c r="T574" s="326" t="s">
        <v>2157</v>
      </c>
      <c r="U574" s="297"/>
      <c r="V574" s="294"/>
      <c r="W574" s="297"/>
      <c r="X574" s="294"/>
      <c r="Y574" s="329">
        <f>46*2*7</f>
        <v>644</v>
      </c>
      <c r="Z574" s="329">
        <v>672</v>
      </c>
      <c r="AA574" s="332">
        <f>Table1[[#This Row],[Selling USD]]-Table1[[#This Row],[Cost USD]]</f>
        <v>28</v>
      </c>
      <c r="AB574" s="335"/>
      <c r="AC574" s="298"/>
      <c r="AD574" s="299">
        <f>Table1[[#This Row],[Selling EUR]]-Table1[[#This Row],[Cost EUR]]</f>
        <v>0</v>
      </c>
      <c r="AE574" s="321" t="s">
        <v>54</v>
      </c>
      <c r="AF574" s="294">
        <v>46124</v>
      </c>
      <c r="AG574" s="294"/>
      <c r="AH574" s="321"/>
      <c r="AI574" s="323"/>
      <c r="AJ574" s="338"/>
      <c r="AK574" s="323"/>
      <c r="AL574" s="338"/>
      <c r="AM574" s="338"/>
      <c r="AN574" s="323"/>
      <c r="AO574" s="282"/>
      <c r="AP574" s="306"/>
      <c r="AQ574" s="282"/>
      <c r="AR574" s="282"/>
      <c r="AS574" s="282"/>
      <c r="AT574" s="281"/>
      <c r="AU574" s="281"/>
      <c r="AV574" s="281"/>
      <c r="AW574" s="281"/>
      <c r="AX574" s="281"/>
      <c r="AY574" s="281"/>
      <c r="AZ574" s="281"/>
    </row>
    <row r="575" spans="1:52" ht="15" customHeight="1" x14ac:dyDescent="0.3">
      <c r="A575" s="294">
        <v>46116</v>
      </c>
      <c r="B575" s="321" t="s">
        <v>47</v>
      </c>
      <c r="C575" s="321" t="s">
        <v>47</v>
      </c>
      <c r="D575" s="294" t="s">
        <v>48</v>
      </c>
      <c r="E575" s="321" t="s">
        <v>138</v>
      </c>
      <c r="F575" s="295">
        <v>17487079</v>
      </c>
      <c r="G575" s="296"/>
      <c r="H575" s="280" t="s">
        <v>84</v>
      </c>
      <c r="I575" s="323" t="s">
        <v>227</v>
      </c>
      <c r="J575" s="323" t="s">
        <v>2639</v>
      </c>
      <c r="K575" s="294">
        <v>46124</v>
      </c>
      <c r="L575" s="294">
        <v>46131</v>
      </c>
      <c r="M575" s="284">
        <f>Table1[[#This Row],[Dep Date]]-Table1[[#This Row],[Arr Date]]</f>
        <v>7</v>
      </c>
      <c r="N575" s="323" t="s">
        <v>52</v>
      </c>
      <c r="O575" s="321">
        <v>1</v>
      </c>
      <c r="P575" s="321">
        <v>2</v>
      </c>
      <c r="Q575" s="321"/>
      <c r="R575" s="321"/>
      <c r="S575" s="321" t="s">
        <v>53</v>
      </c>
      <c r="T575" s="326" t="s">
        <v>2158</v>
      </c>
      <c r="U575" s="297"/>
      <c r="V575" s="294"/>
      <c r="W575" s="297"/>
      <c r="X575" s="294"/>
      <c r="Y575" s="329"/>
      <c r="Z575" s="329"/>
      <c r="AA575" s="332">
        <f>Table1[[#This Row],[Selling USD]]-Table1[[#This Row],[Cost USD]]</f>
        <v>0</v>
      </c>
      <c r="AB575" s="335">
        <f>40*2*7</f>
        <v>560</v>
      </c>
      <c r="AC575" s="298">
        <v>588</v>
      </c>
      <c r="AD575" s="299">
        <f>Table1[[#This Row],[Selling EUR]]-Table1[[#This Row],[Cost EUR]]</f>
        <v>28</v>
      </c>
      <c r="AE575" s="321" t="s">
        <v>54</v>
      </c>
      <c r="AF575" s="294">
        <v>46117</v>
      </c>
      <c r="AG575" s="294"/>
      <c r="AH575" s="321"/>
      <c r="AI575" s="323"/>
      <c r="AJ575" s="338"/>
      <c r="AK575" s="323"/>
      <c r="AL575" s="338"/>
      <c r="AM575" s="338"/>
      <c r="AN575" s="323"/>
      <c r="AO575" s="282"/>
      <c r="AP575" s="306"/>
      <c r="AQ575" s="282"/>
      <c r="AR575" s="282"/>
      <c r="AS575" s="282"/>
      <c r="AT575" s="281"/>
      <c r="AU575" s="281"/>
      <c r="AV575" s="281"/>
      <c r="AW575" s="281"/>
      <c r="AX575" s="281"/>
      <c r="AY575" s="281"/>
      <c r="AZ575" s="281"/>
    </row>
    <row r="576" spans="1:52" ht="15" customHeight="1" x14ac:dyDescent="0.3">
      <c r="A576" s="294">
        <v>46116</v>
      </c>
      <c r="B576" s="321" t="s">
        <v>47</v>
      </c>
      <c r="C576" s="321" t="s">
        <v>47</v>
      </c>
      <c r="D576" s="294" t="s">
        <v>48</v>
      </c>
      <c r="E576" s="321" t="s">
        <v>49</v>
      </c>
      <c r="F576" s="295">
        <v>17487145</v>
      </c>
      <c r="G576" s="296"/>
      <c r="H576" s="280" t="s">
        <v>58</v>
      </c>
      <c r="I576" s="323" t="s">
        <v>115</v>
      </c>
      <c r="J576" s="323" t="s">
        <v>2637</v>
      </c>
      <c r="K576" s="294">
        <v>46128</v>
      </c>
      <c r="L576" s="294">
        <v>46135</v>
      </c>
      <c r="M576" s="284">
        <f>Table1[[#This Row],[Dep Date]]-Table1[[#This Row],[Arr Date]]</f>
        <v>7</v>
      </c>
      <c r="N576" s="323" t="s">
        <v>52</v>
      </c>
      <c r="O576" s="321">
        <v>1</v>
      </c>
      <c r="P576" s="321">
        <v>2</v>
      </c>
      <c r="Q576" s="321"/>
      <c r="R576" s="321"/>
      <c r="S576" s="321" t="s">
        <v>53</v>
      </c>
      <c r="T576" s="326" t="s">
        <v>2159</v>
      </c>
      <c r="U576" s="297"/>
      <c r="V576" s="294"/>
      <c r="W576" s="297"/>
      <c r="X576" s="294"/>
      <c r="Y576" s="329"/>
      <c r="Z576" s="329"/>
      <c r="AA576" s="332">
        <f>Table1[[#This Row],[Selling USD]]-Table1[[#This Row],[Cost USD]]</f>
        <v>0</v>
      </c>
      <c r="AB576" s="335">
        <f>38*2*7</f>
        <v>532</v>
      </c>
      <c r="AC576" s="298">
        <v>560</v>
      </c>
      <c r="AD576" s="299">
        <f>Table1[[#This Row],[Selling EUR]]-Table1[[#This Row],[Cost EUR]]</f>
        <v>28</v>
      </c>
      <c r="AE576" s="321" t="s">
        <v>54</v>
      </c>
      <c r="AF576" s="294">
        <v>46120</v>
      </c>
      <c r="AG576" s="294"/>
      <c r="AH576" s="321"/>
      <c r="AI576" s="323"/>
      <c r="AJ576" s="338"/>
      <c r="AK576" s="323"/>
      <c r="AL576" s="338"/>
      <c r="AM576" s="338"/>
      <c r="AN576" s="323"/>
      <c r="AO576" s="282"/>
      <c r="AP576" s="306"/>
      <c r="AQ576" s="282"/>
      <c r="AR576" s="282"/>
      <c r="AS576" s="282"/>
      <c r="AT576" s="281"/>
      <c r="AU576" s="281"/>
      <c r="AV576" s="281"/>
      <c r="AW576" s="281"/>
      <c r="AX576" s="281"/>
      <c r="AY576" s="281"/>
      <c r="AZ576" s="281"/>
    </row>
    <row r="577" spans="1:52" ht="15" customHeight="1" x14ac:dyDescent="0.3">
      <c r="A577" s="294">
        <v>46116</v>
      </c>
      <c r="B577" s="321" t="s">
        <v>73</v>
      </c>
      <c r="C577" s="321" t="s">
        <v>73</v>
      </c>
      <c r="D577" s="294" t="s">
        <v>48</v>
      </c>
      <c r="E577" s="321" t="s">
        <v>49</v>
      </c>
      <c r="F577" s="295">
        <v>17487498</v>
      </c>
      <c r="G577" s="296"/>
      <c r="H577" s="280" t="s">
        <v>58</v>
      </c>
      <c r="I577" s="323" t="s">
        <v>189</v>
      </c>
      <c r="J577" s="323" t="s">
        <v>2641</v>
      </c>
      <c r="K577" s="294">
        <v>46238</v>
      </c>
      <c r="L577" s="294">
        <v>46252</v>
      </c>
      <c r="M577" s="284">
        <f>Table1[[#This Row],[Dep Date]]-Table1[[#This Row],[Arr Date]]</f>
        <v>14</v>
      </c>
      <c r="N577" s="323" t="s">
        <v>52</v>
      </c>
      <c r="O577" s="321">
        <v>1</v>
      </c>
      <c r="P577" s="321">
        <v>2</v>
      </c>
      <c r="Q577" s="321">
        <v>2</v>
      </c>
      <c r="R577" s="321"/>
      <c r="S577" s="321" t="s">
        <v>53</v>
      </c>
      <c r="T577" s="326" t="s">
        <v>2160</v>
      </c>
      <c r="U577" s="297"/>
      <c r="V577" s="294"/>
      <c r="W577" s="297"/>
      <c r="X577" s="294"/>
      <c r="Y577" s="329"/>
      <c r="Z577" s="329"/>
      <c r="AA577" s="332">
        <f>Table1[[#This Row],[Selling USD]]-Table1[[#This Row],[Cost USD]]</f>
        <v>0</v>
      </c>
      <c r="AB577" s="335"/>
      <c r="AC577" s="298"/>
      <c r="AD577" s="299">
        <f>Table1[[#This Row],[Selling EUR]]-Table1[[#This Row],[Cost EUR]]</f>
        <v>0</v>
      </c>
      <c r="AE577" s="321"/>
      <c r="AF577" s="294"/>
      <c r="AG577" s="294"/>
      <c r="AH577" s="321"/>
      <c r="AI577" s="323"/>
      <c r="AJ577" s="338"/>
      <c r="AK577" s="323"/>
      <c r="AL577" s="338"/>
      <c r="AM577" s="338"/>
      <c r="AN577" s="323"/>
      <c r="AO577" s="282"/>
      <c r="AP577" s="306"/>
      <c r="AQ577" s="282"/>
      <c r="AR577" s="282"/>
      <c r="AS577" s="282"/>
      <c r="AT577" s="281"/>
      <c r="AU577" s="281"/>
      <c r="AV577" s="281"/>
      <c r="AW577" s="281"/>
      <c r="AX577" s="281"/>
      <c r="AY577" s="281"/>
      <c r="AZ577" s="281"/>
    </row>
    <row r="578" spans="1:52" ht="15" customHeight="1" x14ac:dyDescent="0.3">
      <c r="A578" s="294">
        <v>46118</v>
      </c>
      <c r="B578" s="321" t="s">
        <v>47</v>
      </c>
      <c r="C578" s="321" t="s">
        <v>47</v>
      </c>
      <c r="D578" s="294" t="s">
        <v>48</v>
      </c>
      <c r="E578" s="321" t="s">
        <v>49</v>
      </c>
      <c r="F578" s="295">
        <v>17489685</v>
      </c>
      <c r="G578" s="296"/>
      <c r="H578" s="280" t="s">
        <v>50</v>
      </c>
      <c r="I578" s="323" t="s">
        <v>80</v>
      </c>
      <c r="J578" s="323" t="s">
        <v>2642</v>
      </c>
      <c r="K578" s="294">
        <v>46131</v>
      </c>
      <c r="L578" s="294">
        <v>46142.041666666599</v>
      </c>
      <c r="M578" s="284">
        <f>Table1[[#This Row],[Dep Date]]-Table1[[#This Row],[Arr Date]]</f>
        <v>11.041666666598758</v>
      </c>
      <c r="N578" s="323" t="s">
        <v>65</v>
      </c>
      <c r="O578" s="321">
        <v>2</v>
      </c>
      <c r="P578" s="321">
        <v>2</v>
      </c>
      <c r="Q578" s="321">
        <v>3</v>
      </c>
      <c r="R578" s="321"/>
      <c r="S578" s="321" t="s">
        <v>53</v>
      </c>
      <c r="T578" s="326" t="s">
        <v>2161</v>
      </c>
      <c r="U578" s="297" t="s">
        <v>2286</v>
      </c>
      <c r="V578" s="294"/>
      <c r="W578" s="297">
        <v>3</v>
      </c>
      <c r="X578" s="294"/>
      <c r="Y578" s="329"/>
      <c r="Z578" s="329"/>
      <c r="AA578" s="332">
        <f>Table1[[#This Row],[Selling USD]]-Table1[[#This Row],[Cost USD]]</f>
        <v>0</v>
      </c>
      <c r="AB578" s="335">
        <f>132*0.75*11*2</f>
        <v>2178</v>
      </c>
      <c r="AC578" s="298">
        <v>2211</v>
      </c>
      <c r="AD578" s="299">
        <f>Table1[[#This Row],[Selling EUR]]-Table1[[#This Row],[Cost EUR]]</f>
        <v>33</v>
      </c>
      <c r="AE578" s="321" t="s">
        <v>54</v>
      </c>
      <c r="AF578" s="294">
        <v>46124</v>
      </c>
      <c r="AG578" s="294"/>
      <c r="AH578" s="321"/>
      <c r="AI578" s="323"/>
      <c r="AJ578" s="338"/>
      <c r="AK578" s="323"/>
      <c r="AL578" s="338"/>
      <c r="AM578" s="338"/>
      <c r="AN578" s="323"/>
      <c r="AO578" s="282"/>
      <c r="AP578" s="306"/>
      <c r="AQ578" s="282"/>
      <c r="AR578" s="282"/>
      <c r="AS578" s="282"/>
      <c r="AT578" s="281"/>
      <c r="AU578" s="281"/>
      <c r="AV578" s="281"/>
      <c r="AW578" s="281"/>
      <c r="AX578" s="281"/>
      <c r="AY578" s="281"/>
      <c r="AZ578" s="281"/>
    </row>
    <row r="579" spans="1:52" ht="15" customHeight="1" x14ac:dyDescent="0.3">
      <c r="A579" s="294">
        <v>46118</v>
      </c>
      <c r="B579" s="321" t="s">
        <v>47</v>
      </c>
      <c r="C579" s="321" t="s">
        <v>47</v>
      </c>
      <c r="D579" s="294" t="s">
        <v>48</v>
      </c>
      <c r="E579" s="321" t="s">
        <v>49</v>
      </c>
      <c r="F579" s="295">
        <v>17489687</v>
      </c>
      <c r="G579" s="296"/>
      <c r="H579" s="280" t="s">
        <v>50</v>
      </c>
      <c r="I579" s="323" t="s">
        <v>80</v>
      </c>
      <c r="J579" s="323" t="s">
        <v>2642</v>
      </c>
      <c r="K579" s="294">
        <v>46131</v>
      </c>
      <c r="L579" s="294">
        <v>46142.041666666599</v>
      </c>
      <c r="M579" s="284">
        <f>Table1[[#This Row],[Dep Date]]-Table1[[#This Row],[Arr Date]]</f>
        <v>11.041666666598758</v>
      </c>
      <c r="N579" s="323" t="s">
        <v>1618</v>
      </c>
      <c r="O579" s="321">
        <v>2</v>
      </c>
      <c r="P579" s="321">
        <v>2</v>
      </c>
      <c r="Q579" s="321">
        <v>3</v>
      </c>
      <c r="R579" s="321"/>
      <c r="S579" s="321" t="s">
        <v>53</v>
      </c>
      <c r="T579" s="326" t="s">
        <v>2162</v>
      </c>
      <c r="U579" s="297" t="s">
        <v>2267</v>
      </c>
      <c r="V579" s="294"/>
      <c r="W579" s="297">
        <v>10</v>
      </c>
      <c r="X579" s="294"/>
      <c r="Y579" s="329"/>
      <c r="Z579" s="329"/>
      <c r="AA579" s="332">
        <f>Table1[[#This Row],[Selling USD]]-Table1[[#This Row],[Cost USD]]</f>
        <v>0</v>
      </c>
      <c r="AB579" s="335">
        <f>112*2*0.75*11+132*0.75*11</f>
        <v>2937</v>
      </c>
      <c r="AC579" s="298">
        <v>2986.5</v>
      </c>
      <c r="AD579" s="299">
        <f>Table1[[#This Row],[Selling EUR]]-Table1[[#This Row],[Cost EUR]]</f>
        <v>49.5</v>
      </c>
      <c r="AE579" s="321" t="s">
        <v>54</v>
      </c>
      <c r="AF579" s="294">
        <v>46124</v>
      </c>
      <c r="AG579" s="294"/>
      <c r="AH579" s="321"/>
      <c r="AI579" s="323"/>
      <c r="AJ579" s="338"/>
      <c r="AK579" s="323"/>
      <c r="AL579" s="338"/>
      <c r="AM579" s="338"/>
      <c r="AN579" s="323"/>
      <c r="AO579" s="282"/>
      <c r="AP579" s="306"/>
      <c r="AQ579" s="282"/>
      <c r="AR579" s="282"/>
      <c r="AS579" s="282"/>
      <c r="AT579" s="281"/>
      <c r="AU579" s="281"/>
      <c r="AV579" s="281"/>
      <c r="AW579" s="281"/>
      <c r="AX579" s="281"/>
      <c r="AY579" s="281"/>
      <c r="AZ579" s="281"/>
    </row>
    <row r="580" spans="1:52" ht="15" customHeight="1" x14ac:dyDescent="0.3">
      <c r="A580" s="294">
        <v>46118</v>
      </c>
      <c r="B580" s="321" t="s">
        <v>73</v>
      </c>
      <c r="C580" s="321" t="s">
        <v>73</v>
      </c>
      <c r="D580" s="294" t="s">
        <v>48</v>
      </c>
      <c r="E580" s="321" t="s">
        <v>61</v>
      </c>
      <c r="F580" s="295">
        <v>17491113</v>
      </c>
      <c r="G580" s="296"/>
      <c r="H580" s="280" t="s">
        <v>50</v>
      </c>
      <c r="I580" s="323" t="s">
        <v>76</v>
      </c>
      <c r="J580" s="323" t="s">
        <v>56</v>
      </c>
      <c r="K580" s="294">
        <v>46228</v>
      </c>
      <c r="L580" s="294">
        <v>46242</v>
      </c>
      <c r="M580" s="284">
        <f>Table1[[#This Row],[Dep Date]]-Table1[[#This Row],[Arr Date]]</f>
        <v>14</v>
      </c>
      <c r="N580" s="323" t="s">
        <v>70</v>
      </c>
      <c r="O580" s="321">
        <v>1</v>
      </c>
      <c r="P580" s="321">
        <v>3</v>
      </c>
      <c r="Q580" s="321">
        <v>1</v>
      </c>
      <c r="R580" s="321"/>
      <c r="S580" s="321" t="s">
        <v>53</v>
      </c>
      <c r="T580" s="326" t="s">
        <v>214</v>
      </c>
      <c r="U580" s="297">
        <v>11</v>
      </c>
      <c r="V580" s="294"/>
      <c r="W580" s="297"/>
      <c r="X580" s="294"/>
      <c r="Y580" s="329"/>
      <c r="Z580" s="329"/>
      <c r="AA580" s="332">
        <f>Table1[[#This Row],[Selling USD]]-Table1[[#This Row],[Cost USD]]</f>
        <v>0</v>
      </c>
      <c r="AB580" s="335"/>
      <c r="AC580" s="298"/>
      <c r="AD580" s="299">
        <f>Table1[[#This Row],[Selling EUR]]-Table1[[#This Row],[Cost EUR]]</f>
        <v>0</v>
      </c>
      <c r="AE580" s="321"/>
      <c r="AF580" s="294"/>
      <c r="AG580" s="294"/>
      <c r="AH580" s="321"/>
      <c r="AI580" s="323"/>
      <c r="AJ580" s="338"/>
      <c r="AK580" s="323"/>
      <c r="AL580" s="338"/>
      <c r="AM580" s="338"/>
      <c r="AN580" s="323"/>
      <c r="AO580" s="282"/>
      <c r="AP580" s="306"/>
      <c r="AQ580" s="282"/>
      <c r="AR580" s="282"/>
      <c r="AS580" s="282"/>
      <c r="AT580" s="281"/>
      <c r="AU580" s="281"/>
      <c r="AV580" s="281"/>
      <c r="AW580" s="281"/>
      <c r="AX580" s="281"/>
      <c r="AY580" s="281"/>
      <c r="AZ580" s="281"/>
    </row>
    <row r="581" spans="1:52" ht="15" customHeight="1" x14ac:dyDescent="0.3">
      <c r="A581" s="294">
        <v>46063</v>
      </c>
      <c r="B581" s="321" t="s">
        <v>47</v>
      </c>
      <c r="C581" s="321" t="s">
        <v>47</v>
      </c>
      <c r="D581" s="294" t="s">
        <v>48</v>
      </c>
      <c r="E581" s="321" t="s">
        <v>49</v>
      </c>
      <c r="F581" s="295">
        <v>17322004</v>
      </c>
      <c r="G581" s="296"/>
      <c r="H581" s="280" t="s">
        <v>50</v>
      </c>
      <c r="I581" s="323" t="s">
        <v>67</v>
      </c>
      <c r="J581" s="323" t="s">
        <v>75</v>
      </c>
      <c r="K581" s="294">
        <v>46309</v>
      </c>
      <c r="L581" s="294">
        <v>46316</v>
      </c>
      <c r="M581" s="284">
        <f>Table1[[#This Row],[Dep Date]]-Table1[[#This Row],[Arr Date]]</f>
        <v>7</v>
      </c>
      <c r="N581" s="323" t="s">
        <v>70</v>
      </c>
      <c r="O581" s="321">
        <v>1</v>
      </c>
      <c r="P581" s="321">
        <v>3</v>
      </c>
      <c r="Q581" s="321"/>
      <c r="R581" s="321"/>
      <c r="S581" s="321" t="s">
        <v>53</v>
      </c>
      <c r="T581" s="326" t="s">
        <v>2163</v>
      </c>
      <c r="U581" s="297"/>
      <c r="V581" s="294"/>
      <c r="W581" s="297"/>
      <c r="X581" s="294"/>
      <c r="Y581" s="329"/>
      <c r="Z581" s="329"/>
      <c r="AA581" s="332">
        <f>Table1[[#This Row],[Selling USD]]-Table1[[#This Row],[Cost USD]]</f>
        <v>0</v>
      </c>
      <c r="AB581" s="335">
        <f>78*3*0.9*7</f>
        <v>1474.2</v>
      </c>
      <c r="AC581" s="298">
        <v>1512</v>
      </c>
      <c r="AD581" s="299">
        <f>Table1[[#This Row],[Selling EUR]]-Table1[[#This Row],[Cost EUR]]</f>
        <v>37.799999999999955</v>
      </c>
      <c r="AE581" s="321" t="s">
        <v>54</v>
      </c>
      <c r="AF581" s="294">
        <v>46302</v>
      </c>
      <c r="AG581" s="294" t="s">
        <v>2424</v>
      </c>
      <c r="AH581" s="321"/>
      <c r="AI581" s="323"/>
      <c r="AJ581" s="338"/>
      <c r="AK581" s="323"/>
      <c r="AL581" s="338"/>
      <c r="AM581" s="338"/>
      <c r="AN581" s="323"/>
      <c r="AO581" s="282"/>
      <c r="AP581" s="306"/>
      <c r="AQ581" s="282"/>
      <c r="AR581" s="282"/>
      <c r="AS581" s="282"/>
      <c r="AT581" s="281"/>
      <c r="AU581" s="281"/>
      <c r="AV581" s="281"/>
      <c r="AW581" s="281"/>
      <c r="AX581" s="281"/>
      <c r="AY581" s="281"/>
      <c r="AZ581" s="281"/>
    </row>
    <row r="582" spans="1:52" ht="15" customHeight="1" x14ac:dyDescent="0.3">
      <c r="A582" s="294">
        <v>46122</v>
      </c>
      <c r="B582" s="321" t="s">
        <v>47</v>
      </c>
      <c r="C582" s="321" t="s">
        <v>47</v>
      </c>
      <c r="D582" s="294" t="s">
        <v>48</v>
      </c>
      <c r="E582" s="321" t="s">
        <v>49</v>
      </c>
      <c r="F582" s="295">
        <v>17502703</v>
      </c>
      <c r="G582" s="296"/>
      <c r="H582" s="280" t="s">
        <v>50</v>
      </c>
      <c r="I582" s="323" t="s">
        <v>68</v>
      </c>
      <c r="J582" s="323" t="s">
        <v>164</v>
      </c>
      <c r="K582" s="294">
        <v>46142.041666666599</v>
      </c>
      <c r="L582" s="294">
        <v>46149.041666666599</v>
      </c>
      <c r="M582" s="284">
        <f>Table1[[#This Row],[Dep Date]]-Table1[[#This Row],[Arr Date]]</f>
        <v>7</v>
      </c>
      <c r="N582" s="323" t="s">
        <v>52</v>
      </c>
      <c r="O582" s="321">
        <v>1</v>
      </c>
      <c r="P582" s="321">
        <v>2</v>
      </c>
      <c r="Q582" s="321"/>
      <c r="R582" s="321"/>
      <c r="S582" s="321" t="s">
        <v>53</v>
      </c>
      <c r="T582" s="326" t="s">
        <v>2164</v>
      </c>
      <c r="U582" s="297"/>
      <c r="V582" s="294"/>
      <c r="W582" s="297"/>
      <c r="X582" s="294"/>
      <c r="Y582" s="329"/>
      <c r="Z582" s="329"/>
      <c r="AA582" s="332">
        <f>Table1[[#This Row],[Selling USD]]-Table1[[#This Row],[Cost USD]]</f>
        <v>0</v>
      </c>
      <c r="AB582" s="335">
        <f>(45*1*2)+40*2*6</f>
        <v>570</v>
      </c>
      <c r="AC582" s="298">
        <v>598</v>
      </c>
      <c r="AD582" s="299">
        <f>Table1[[#This Row],[Selling EUR]]-Table1[[#This Row],[Cost EUR]]</f>
        <v>28</v>
      </c>
      <c r="AE582" s="321" t="s">
        <v>54</v>
      </c>
      <c r="AF582" s="294">
        <v>46134</v>
      </c>
      <c r="AG582" s="294"/>
      <c r="AH582" s="321"/>
      <c r="AI582" s="323"/>
      <c r="AJ582" s="338"/>
      <c r="AK582" s="323"/>
      <c r="AL582" s="338"/>
      <c r="AM582" s="338"/>
      <c r="AN582" s="323"/>
      <c r="AO582" s="282"/>
      <c r="AP582" s="306"/>
      <c r="AQ582" s="282"/>
      <c r="AR582" s="282"/>
      <c r="AS582" s="282"/>
      <c r="AT582" s="281"/>
      <c r="AU582" s="281"/>
      <c r="AV582" s="281"/>
      <c r="AW582" s="281"/>
      <c r="AX582" s="281"/>
      <c r="AY582" s="281"/>
      <c r="AZ582" s="281"/>
    </row>
    <row r="583" spans="1:52" ht="15" customHeight="1" x14ac:dyDescent="0.3">
      <c r="A583" s="294">
        <v>46123</v>
      </c>
      <c r="B583" s="321" t="s">
        <v>47</v>
      </c>
      <c r="C583" s="321" t="s">
        <v>47</v>
      </c>
      <c r="D583" s="294" t="s">
        <v>48</v>
      </c>
      <c r="E583" s="321" t="s">
        <v>49</v>
      </c>
      <c r="F583" s="295">
        <v>17505580</v>
      </c>
      <c r="G583" s="296"/>
      <c r="H583" s="280" t="s">
        <v>50</v>
      </c>
      <c r="I583" s="323" t="s">
        <v>68</v>
      </c>
      <c r="J583" s="323" t="s">
        <v>164</v>
      </c>
      <c r="K583" s="294">
        <v>46203</v>
      </c>
      <c r="L583" s="294">
        <v>46210</v>
      </c>
      <c r="M583" s="284">
        <f>Table1[[#This Row],[Dep Date]]-Table1[[#This Row],[Arr Date]]</f>
        <v>7</v>
      </c>
      <c r="N583" s="323" t="s">
        <v>52</v>
      </c>
      <c r="O583" s="321">
        <v>1</v>
      </c>
      <c r="P583" s="321">
        <v>2</v>
      </c>
      <c r="Q583" s="321"/>
      <c r="R583" s="321"/>
      <c r="S583" s="321" t="s">
        <v>53</v>
      </c>
      <c r="T583" s="326" t="s">
        <v>215</v>
      </c>
      <c r="U583" s="297"/>
      <c r="V583" s="294"/>
      <c r="W583" s="297"/>
      <c r="X583" s="294"/>
      <c r="Y583" s="329"/>
      <c r="Z583" s="329"/>
      <c r="AA583" s="332">
        <f>Table1[[#This Row],[Selling USD]]-Table1[[#This Row],[Cost USD]]</f>
        <v>0</v>
      </c>
      <c r="AB583" s="335">
        <f>40*2*1+56*2*0.9*6</f>
        <v>684.8</v>
      </c>
      <c r="AC583" s="298">
        <v>710.4</v>
      </c>
      <c r="AD583" s="299">
        <f>Table1[[#This Row],[Selling EUR]]-Table1[[#This Row],[Cost EUR]]</f>
        <v>25.600000000000023</v>
      </c>
      <c r="AE583" s="321" t="s">
        <v>54</v>
      </c>
      <c r="AF583" s="294">
        <v>46194</v>
      </c>
      <c r="AG583" s="294"/>
      <c r="AH583" s="321"/>
      <c r="AI583" s="323"/>
      <c r="AJ583" s="338"/>
      <c r="AK583" s="323"/>
      <c r="AL583" s="338"/>
      <c r="AM583" s="338"/>
      <c r="AN583" s="323"/>
      <c r="AO583" s="282"/>
      <c r="AP583" s="306"/>
      <c r="AQ583" s="282"/>
      <c r="AR583" s="282"/>
      <c r="AS583" s="282"/>
      <c r="AT583" s="281"/>
      <c r="AU583" s="281"/>
      <c r="AV583" s="281"/>
      <c r="AW583" s="281"/>
      <c r="AX583" s="281"/>
      <c r="AY583" s="281"/>
      <c r="AZ583" s="281"/>
    </row>
    <row r="584" spans="1:52" ht="15" customHeight="1" x14ac:dyDescent="0.3">
      <c r="A584" s="294">
        <v>46121</v>
      </c>
      <c r="B584" s="321" t="s">
        <v>47</v>
      </c>
      <c r="C584" s="321" t="s">
        <v>47</v>
      </c>
      <c r="D584" s="294" t="s">
        <v>48</v>
      </c>
      <c r="E584" s="321" t="s">
        <v>138</v>
      </c>
      <c r="F584" s="295">
        <v>17500830</v>
      </c>
      <c r="G584" s="296"/>
      <c r="H584" s="280" t="s">
        <v>84</v>
      </c>
      <c r="I584" s="323" t="s">
        <v>168</v>
      </c>
      <c r="J584" s="323" t="s">
        <v>200</v>
      </c>
      <c r="K584" s="294">
        <v>46238</v>
      </c>
      <c r="L584" s="294">
        <v>46245</v>
      </c>
      <c r="M584" s="284">
        <f>Table1[[#This Row],[Dep Date]]-Table1[[#This Row],[Arr Date]]</f>
        <v>7</v>
      </c>
      <c r="N584" s="323" t="s">
        <v>52</v>
      </c>
      <c r="O584" s="321">
        <v>1</v>
      </c>
      <c r="P584" s="321">
        <v>2</v>
      </c>
      <c r="Q584" s="321">
        <v>2</v>
      </c>
      <c r="R584" s="321"/>
      <c r="S584" s="321" t="s">
        <v>53</v>
      </c>
      <c r="T584" s="326" t="s">
        <v>2643</v>
      </c>
      <c r="U584" s="297">
        <v>10</v>
      </c>
      <c r="V584" s="294"/>
      <c r="W584" s="297">
        <v>7</v>
      </c>
      <c r="X584" s="294"/>
      <c r="Y584" s="329"/>
      <c r="Z584" s="329"/>
      <c r="AA584" s="332">
        <f>Table1[[#This Row],[Selling USD]]-Table1[[#This Row],[Cost USD]]</f>
        <v>0</v>
      </c>
      <c r="AB584" s="335">
        <f>58*2*7</f>
        <v>812</v>
      </c>
      <c r="AC584" s="298">
        <v>1022</v>
      </c>
      <c r="AD584" s="299">
        <f>Table1[[#This Row],[Selling EUR]]-Table1[[#This Row],[Cost EUR]]</f>
        <v>210</v>
      </c>
      <c r="AE584" s="321" t="s">
        <v>54</v>
      </c>
      <c r="AF584" s="294">
        <v>46229</v>
      </c>
      <c r="AG584" s="294"/>
      <c r="AH584" s="321"/>
      <c r="AI584" s="323"/>
      <c r="AJ584" s="338"/>
      <c r="AK584" s="323"/>
      <c r="AL584" s="338"/>
      <c r="AM584" s="338"/>
      <c r="AN584" s="323"/>
      <c r="AO584" s="282"/>
      <c r="AP584" s="306"/>
      <c r="AQ584" s="282"/>
      <c r="AR584" s="282"/>
      <c r="AS584" s="282"/>
      <c r="AT584" s="281"/>
      <c r="AU584" s="281"/>
      <c r="AV584" s="281"/>
      <c r="AW584" s="281"/>
      <c r="AX584" s="281"/>
      <c r="AY584" s="281"/>
      <c r="AZ584" s="281"/>
    </row>
    <row r="585" spans="1:52" ht="15" customHeight="1" x14ac:dyDescent="0.3">
      <c r="A585" s="294">
        <v>46126</v>
      </c>
      <c r="B585" s="321" t="s">
        <v>73</v>
      </c>
      <c r="C585" s="321" t="s">
        <v>73</v>
      </c>
      <c r="D585" s="294" t="s">
        <v>48</v>
      </c>
      <c r="E585" s="321" t="s">
        <v>49</v>
      </c>
      <c r="F585" s="295">
        <v>17513949</v>
      </c>
      <c r="G585" s="296"/>
      <c r="H585" s="280" t="s">
        <v>50</v>
      </c>
      <c r="I585" s="323" t="s">
        <v>68</v>
      </c>
      <c r="J585" s="323" t="s">
        <v>2644</v>
      </c>
      <c r="K585" s="294">
        <v>46151.041666666599</v>
      </c>
      <c r="L585" s="294">
        <v>46158.041666666599</v>
      </c>
      <c r="M585" s="284">
        <f>Table1[[#This Row],[Dep Date]]-Table1[[#This Row],[Arr Date]]</f>
        <v>7</v>
      </c>
      <c r="N585" s="323" t="s">
        <v>52</v>
      </c>
      <c r="O585" s="321">
        <v>1</v>
      </c>
      <c r="P585" s="321">
        <v>2</v>
      </c>
      <c r="Q585" s="321">
        <v>2</v>
      </c>
      <c r="R585" s="321">
        <v>2</v>
      </c>
      <c r="S585" s="321" t="s">
        <v>53</v>
      </c>
      <c r="T585" s="326" t="s">
        <v>2165</v>
      </c>
      <c r="U585" s="297">
        <v>13</v>
      </c>
      <c r="V585" s="294"/>
      <c r="W585" s="297">
        <v>12</v>
      </c>
      <c r="X585" s="294"/>
      <c r="Y585" s="329"/>
      <c r="Z585" s="329"/>
      <c r="AA585" s="332">
        <f>Table1[[#This Row],[Selling USD]]-Table1[[#This Row],[Cost USD]]</f>
        <v>0</v>
      </c>
      <c r="AB585" s="335"/>
      <c r="AC585" s="298"/>
      <c r="AD585" s="299">
        <f>Table1[[#This Row],[Selling EUR]]-Table1[[#This Row],[Cost EUR]]</f>
        <v>0</v>
      </c>
      <c r="AE585" s="321"/>
      <c r="AF585" s="294"/>
      <c r="AG585" s="294"/>
      <c r="AH585" s="321"/>
      <c r="AI585" s="323"/>
      <c r="AJ585" s="338"/>
      <c r="AK585" s="323"/>
      <c r="AL585" s="338"/>
      <c r="AM585" s="338"/>
      <c r="AN585" s="323"/>
      <c r="AO585" s="282"/>
      <c r="AP585" s="306"/>
      <c r="AQ585" s="282"/>
      <c r="AR585" s="282"/>
      <c r="AS585" s="282"/>
      <c r="AT585" s="281"/>
      <c r="AU585" s="281"/>
      <c r="AV585" s="281"/>
      <c r="AW585" s="281"/>
      <c r="AX585" s="281"/>
      <c r="AY585" s="281"/>
      <c r="AZ585" s="281"/>
    </row>
    <row r="586" spans="1:52" ht="15" customHeight="1" x14ac:dyDescent="0.3">
      <c r="A586" s="294">
        <v>46128</v>
      </c>
      <c r="B586" s="321" t="s">
        <v>47</v>
      </c>
      <c r="C586" s="321" t="s">
        <v>47</v>
      </c>
      <c r="D586" s="294" t="s">
        <v>48</v>
      </c>
      <c r="E586" s="321" t="s">
        <v>49</v>
      </c>
      <c r="F586" s="295">
        <v>17519261</v>
      </c>
      <c r="G586" s="296"/>
      <c r="H586" s="280" t="s">
        <v>50</v>
      </c>
      <c r="I586" s="323" t="s">
        <v>67</v>
      </c>
      <c r="J586" s="323" t="s">
        <v>56</v>
      </c>
      <c r="K586" s="294">
        <v>46239</v>
      </c>
      <c r="L586" s="294">
        <v>46250</v>
      </c>
      <c r="M586" s="284">
        <f>Table1[[#This Row],[Dep Date]]-Table1[[#This Row],[Arr Date]]</f>
        <v>11</v>
      </c>
      <c r="N586" s="323" t="s">
        <v>52</v>
      </c>
      <c r="O586" s="321">
        <v>1</v>
      </c>
      <c r="P586" s="321">
        <v>2</v>
      </c>
      <c r="Q586" s="321">
        <v>2</v>
      </c>
      <c r="R586" s="321"/>
      <c r="S586" s="321" t="s">
        <v>53</v>
      </c>
      <c r="T586" s="326" t="s">
        <v>2166</v>
      </c>
      <c r="U586" s="297">
        <v>5</v>
      </c>
      <c r="V586" s="294"/>
      <c r="W586" s="297">
        <v>5</v>
      </c>
      <c r="X586" s="294"/>
      <c r="Y586" s="329"/>
      <c r="Z586" s="329"/>
      <c r="AA586" s="332">
        <f>Table1[[#This Row],[Selling USD]]-Table1[[#This Row],[Cost USD]]</f>
        <v>0</v>
      </c>
      <c r="AB586" s="335">
        <f>83*2*11</f>
        <v>1826</v>
      </c>
      <c r="AC586" s="298">
        <v>2002</v>
      </c>
      <c r="AD586" s="299">
        <f>Table1[[#This Row],[Selling EUR]]-Table1[[#This Row],[Cost EUR]]</f>
        <v>176</v>
      </c>
      <c r="AE586" s="321" t="s">
        <v>54</v>
      </c>
      <c r="AF586" s="294">
        <v>46231</v>
      </c>
      <c r="AG586" s="294"/>
      <c r="AH586" s="321"/>
      <c r="AI586" s="323"/>
      <c r="AJ586" s="338"/>
      <c r="AK586" s="323"/>
      <c r="AL586" s="338"/>
      <c r="AM586" s="338"/>
      <c r="AN586" s="323"/>
      <c r="AO586" s="282"/>
      <c r="AP586" s="306"/>
      <c r="AQ586" s="282"/>
      <c r="AR586" s="282"/>
      <c r="AS586" s="282"/>
      <c r="AT586" s="281"/>
      <c r="AU586" s="281"/>
      <c r="AV586" s="281"/>
      <c r="AW586" s="281"/>
      <c r="AX586" s="281"/>
      <c r="AY586" s="281"/>
      <c r="AZ586" s="281"/>
    </row>
    <row r="587" spans="1:52" ht="15" customHeight="1" x14ac:dyDescent="0.3">
      <c r="A587" s="294">
        <v>46129</v>
      </c>
      <c r="B587" s="321" t="s">
        <v>47</v>
      </c>
      <c r="C587" s="321" t="s">
        <v>47</v>
      </c>
      <c r="D587" s="294" t="s">
        <v>48</v>
      </c>
      <c r="E587" s="321" t="s">
        <v>61</v>
      </c>
      <c r="F587" s="295">
        <v>17524233</v>
      </c>
      <c r="G587" s="296"/>
      <c r="H587" s="280" t="s">
        <v>84</v>
      </c>
      <c r="I587" s="323" t="s">
        <v>114</v>
      </c>
      <c r="J587" s="323" t="s">
        <v>128</v>
      </c>
      <c r="K587" s="294">
        <v>46225</v>
      </c>
      <c r="L587" s="294">
        <v>46239</v>
      </c>
      <c r="M587" s="284">
        <f>Table1[[#This Row],[Dep Date]]-Table1[[#This Row],[Arr Date]]</f>
        <v>14</v>
      </c>
      <c r="N587" s="323" t="s">
        <v>52</v>
      </c>
      <c r="O587" s="321">
        <v>1</v>
      </c>
      <c r="P587" s="321">
        <v>3</v>
      </c>
      <c r="Q587" s="321"/>
      <c r="R587" s="321"/>
      <c r="S587" s="321" t="s">
        <v>53</v>
      </c>
      <c r="T587" s="326" t="s">
        <v>216</v>
      </c>
      <c r="U587" s="297"/>
      <c r="V587" s="294"/>
      <c r="W587" s="297"/>
      <c r="X587" s="294"/>
      <c r="Y587" s="329">
        <f>52*3*10+57*3*4</f>
        <v>2244</v>
      </c>
      <c r="Z587" s="329">
        <v>2328</v>
      </c>
      <c r="AA587" s="332">
        <f>Table1[[#This Row],[Selling USD]]-Table1[[#This Row],[Cost USD]]</f>
        <v>84</v>
      </c>
      <c r="AB587" s="335"/>
      <c r="AC587" s="298"/>
      <c r="AD587" s="299">
        <f>Table1[[#This Row],[Selling EUR]]-Table1[[#This Row],[Cost EUR]]</f>
        <v>0</v>
      </c>
      <c r="AE587" s="321" t="s">
        <v>54</v>
      </c>
      <c r="AF587" s="294">
        <v>46215</v>
      </c>
      <c r="AG587" s="294"/>
      <c r="AH587" s="321"/>
      <c r="AI587" s="323"/>
      <c r="AJ587" s="338"/>
      <c r="AK587" s="323"/>
      <c r="AL587" s="338"/>
      <c r="AM587" s="338"/>
      <c r="AN587" s="323"/>
      <c r="AO587" s="282"/>
      <c r="AP587" s="306"/>
      <c r="AQ587" s="282"/>
      <c r="AR587" s="282"/>
      <c r="AS587" s="282"/>
      <c r="AT587" s="281"/>
      <c r="AU587" s="281"/>
      <c r="AV587" s="281"/>
      <c r="AW587" s="281"/>
      <c r="AX587" s="281"/>
      <c r="AY587" s="281"/>
      <c r="AZ587" s="281"/>
    </row>
    <row r="588" spans="1:52" ht="15" customHeight="1" x14ac:dyDescent="0.3">
      <c r="A588" s="294">
        <v>46130</v>
      </c>
      <c r="B588" s="321" t="s">
        <v>47</v>
      </c>
      <c r="C588" s="321" t="s">
        <v>47</v>
      </c>
      <c r="D588" s="294" t="s">
        <v>2645</v>
      </c>
      <c r="E588" s="321" t="s">
        <v>49</v>
      </c>
      <c r="F588" s="295">
        <v>124</v>
      </c>
      <c r="G588" s="296"/>
      <c r="H588" s="280" t="s">
        <v>50</v>
      </c>
      <c r="I588" s="323" t="s">
        <v>125</v>
      </c>
      <c r="J588" s="323" t="s">
        <v>98</v>
      </c>
      <c r="K588" s="294">
        <v>46137.041666666599</v>
      </c>
      <c r="L588" s="294">
        <v>46144.041666666599</v>
      </c>
      <c r="M588" s="284">
        <f>Table1[[#This Row],[Dep Date]]-Table1[[#This Row],[Arr Date]]</f>
        <v>7</v>
      </c>
      <c r="N588" s="323" t="s">
        <v>65</v>
      </c>
      <c r="O588" s="321">
        <v>1</v>
      </c>
      <c r="P588" s="321">
        <v>1</v>
      </c>
      <c r="Q588" s="321"/>
      <c r="R588" s="321"/>
      <c r="S588" s="321" t="s">
        <v>53</v>
      </c>
      <c r="T588" s="326" t="s">
        <v>2167</v>
      </c>
      <c r="U588" s="297"/>
      <c r="V588" s="294"/>
      <c r="W588" s="297"/>
      <c r="X588" s="294"/>
      <c r="Y588" s="329"/>
      <c r="Z588" s="329"/>
      <c r="AA588" s="332">
        <f>Table1[[#This Row],[Selling USD]]-Table1[[#This Row],[Cost USD]]</f>
        <v>0</v>
      </c>
      <c r="AB588" s="335">
        <f>43*7</f>
        <v>301</v>
      </c>
      <c r="AC588" s="298">
        <v>315</v>
      </c>
      <c r="AD588" s="299">
        <f>Table1[[#This Row],[Selling EUR]]-Table1[[#This Row],[Cost EUR]]</f>
        <v>14</v>
      </c>
      <c r="AE588" s="321" t="s">
        <v>54</v>
      </c>
      <c r="AF588" s="294">
        <v>46132</v>
      </c>
      <c r="AG588" s="294"/>
      <c r="AH588" s="321"/>
      <c r="AI588" s="323" t="s">
        <v>2430</v>
      </c>
      <c r="AJ588" s="338">
        <v>0.84375</v>
      </c>
      <c r="AK588" s="323"/>
      <c r="AL588" s="338"/>
      <c r="AM588" s="338"/>
      <c r="AN588" s="323"/>
      <c r="AO588" s="282"/>
      <c r="AP588" s="306"/>
      <c r="AQ588" s="282"/>
      <c r="AR588" s="282"/>
      <c r="AS588" s="282"/>
      <c r="AT588" s="281"/>
      <c r="AU588" s="281"/>
      <c r="AV588" s="281"/>
      <c r="AW588" s="281"/>
      <c r="AX588" s="281"/>
      <c r="AY588" s="281"/>
      <c r="AZ588" s="281"/>
    </row>
    <row r="589" spans="1:52" ht="15" customHeight="1" x14ac:dyDescent="0.3">
      <c r="A589" s="294">
        <v>46080</v>
      </c>
      <c r="B589" s="321" t="s">
        <v>47</v>
      </c>
      <c r="C589" s="321" t="s">
        <v>47</v>
      </c>
      <c r="D589" s="294" t="s">
        <v>48</v>
      </c>
      <c r="E589" s="321" t="s">
        <v>49</v>
      </c>
      <c r="F589" s="295">
        <v>17382349</v>
      </c>
      <c r="G589" s="296"/>
      <c r="H589" s="280" t="s">
        <v>58</v>
      </c>
      <c r="I589" s="323" t="s">
        <v>62</v>
      </c>
      <c r="J589" s="323" t="s">
        <v>63</v>
      </c>
      <c r="K589" s="294">
        <v>46315</v>
      </c>
      <c r="L589" s="294">
        <v>46322</v>
      </c>
      <c r="M589" s="284">
        <f>Table1[[#This Row],[Dep Date]]-Table1[[#This Row],[Arr Date]]</f>
        <v>7</v>
      </c>
      <c r="N589" s="323" t="s">
        <v>52</v>
      </c>
      <c r="O589" s="321">
        <v>1</v>
      </c>
      <c r="P589" s="321">
        <v>2</v>
      </c>
      <c r="Q589" s="321"/>
      <c r="R589" s="321"/>
      <c r="S589" s="321" t="s">
        <v>53</v>
      </c>
      <c r="T589" s="326" t="s">
        <v>2168</v>
      </c>
      <c r="U589" s="297"/>
      <c r="V589" s="294"/>
      <c r="W589" s="297"/>
      <c r="X589" s="294"/>
      <c r="Y589" s="329"/>
      <c r="Z589" s="329"/>
      <c r="AA589" s="332">
        <f>Table1[[#This Row],[Selling USD]]-Table1[[#This Row],[Cost USD]]</f>
        <v>0</v>
      </c>
      <c r="AB589" s="335">
        <f>65*2*7</f>
        <v>910</v>
      </c>
      <c r="AC589" s="298">
        <v>945</v>
      </c>
      <c r="AD589" s="299">
        <f>Table1[[#This Row],[Selling EUR]]-Table1[[#This Row],[Cost EUR]]</f>
        <v>35</v>
      </c>
      <c r="AE589" s="321" t="s">
        <v>54</v>
      </c>
      <c r="AF589" s="294">
        <v>46306</v>
      </c>
      <c r="AG589" s="294"/>
      <c r="AH589" s="321"/>
      <c r="AI589" s="323"/>
      <c r="AJ589" s="338"/>
      <c r="AK589" s="323"/>
      <c r="AL589" s="338"/>
      <c r="AM589" s="338"/>
      <c r="AN589" s="323"/>
      <c r="AO589" s="282"/>
      <c r="AP589" s="306"/>
      <c r="AQ589" s="282"/>
      <c r="AR589" s="282"/>
      <c r="AS589" s="282"/>
      <c r="AT589" s="281"/>
      <c r="AU589" s="281"/>
      <c r="AV589" s="281"/>
      <c r="AW589" s="281"/>
      <c r="AX589" s="281"/>
      <c r="AY589" s="281"/>
      <c r="AZ589" s="281"/>
    </row>
    <row r="590" spans="1:52" ht="15" customHeight="1" x14ac:dyDescent="0.3">
      <c r="A590" s="294">
        <v>46132</v>
      </c>
      <c r="B590" s="321" t="s">
        <v>47</v>
      </c>
      <c r="C590" s="321" t="s">
        <v>47</v>
      </c>
      <c r="D590" s="294" t="s">
        <v>48</v>
      </c>
      <c r="E590" s="321" t="s">
        <v>61</v>
      </c>
      <c r="F590" s="295">
        <v>17529688</v>
      </c>
      <c r="G590" s="296"/>
      <c r="H590" s="280" t="s">
        <v>50</v>
      </c>
      <c r="I590" s="323" t="s">
        <v>55</v>
      </c>
      <c r="J590" s="323" t="s">
        <v>2443</v>
      </c>
      <c r="K590" s="294">
        <v>46141.041666666599</v>
      </c>
      <c r="L590" s="294">
        <v>46148.041666666599</v>
      </c>
      <c r="M590" s="284">
        <f>Table1[[#This Row],[Dep Date]]-Table1[[#This Row],[Arr Date]]</f>
        <v>7</v>
      </c>
      <c r="N590" s="323" t="s">
        <v>52</v>
      </c>
      <c r="O590" s="321">
        <v>1</v>
      </c>
      <c r="P590" s="321">
        <v>2</v>
      </c>
      <c r="Q590" s="321">
        <v>2</v>
      </c>
      <c r="R590" s="321">
        <v>1</v>
      </c>
      <c r="S590" s="321" t="s">
        <v>53</v>
      </c>
      <c r="T590" s="326" t="s">
        <v>2169</v>
      </c>
      <c r="U590" s="297"/>
      <c r="V590" s="294"/>
      <c r="W590" s="297"/>
      <c r="X590" s="294"/>
      <c r="Y590" s="329">
        <f>59*2*2+59*2*0.85*5</f>
        <v>737.5</v>
      </c>
      <c r="Z590" s="329">
        <v>846</v>
      </c>
      <c r="AA590" s="332">
        <f>Table1[[#This Row],[Selling USD]]-Table1[[#This Row],[Cost USD]]</f>
        <v>108.5</v>
      </c>
      <c r="AB590" s="335"/>
      <c r="AC590" s="298"/>
      <c r="AD590" s="299">
        <f>Table1[[#This Row],[Selling EUR]]-Table1[[#This Row],[Cost EUR]]</f>
        <v>0</v>
      </c>
      <c r="AE590" s="321" t="s">
        <v>54</v>
      </c>
      <c r="AF590" s="294">
        <v>46134</v>
      </c>
      <c r="AG590" s="294"/>
      <c r="AH590" s="321"/>
      <c r="AI590" s="323"/>
      <c r="AJ590" s="338"/>
      <c r="AK590" s="323"/>
      <c r="AL590" s="338"/>
      <c r="AM590" s="338"/>
      <c r="AN590" s="323"/>
      <c r="AO590" s="282"/>
      <c r="AP590" s="306"/>
      <c r="AQ590" s="282"/>
      <c r="AR590" s="282"/>
      <c r="AS590" s="282"/>
      <c r="AT590" s="281"/>
      <c r="AU590" s="281"/>
      <c r="AV590" s="281"/>
      <c r="AW590" s="281"/>
      <c r="AX590" s="281"/>
      <c r="AY590" s="281"/>
      <c r="AZ590" s="281"/>
    </row>
    <row r="591" spans="1:52" ht="15" customHeight="1" x14ac:dyDescent="0.3">
      <c r="A591" s="294">
        <v>46133</v>
      </c>
      <c r="B591" s="321" t="s">
        <v>47</v>
      </c>
      <c r="C591" s="321" t="s">
        <v>47</v>
      </c>
      <c r="D591" s="294" t="s">
        <v>48</v>
      </c>
      <c r="E591" s="321" t="s">
        <v>61</v>
      </c>
      <c r="F591" s="295">
        <v>17533651</v>
      </c>
      <c r="G591" s="296"/>
      <c r="H591" s="280" t="s">
        <v>84</v>
      </c>
      <c r="I591" s="323" t="s">
        <v>136</v>
      </c>
      <c r="J591" s="323" t="s">
        <v>2642</v>
      </c>
      <c r="K591" s="294">
        <v>46166.041666666599</v>
      </c>
      <c r="L591" s="294">
        <v>46173.041666666599</v>
      </c>
      <c r="M591" s="284">
        <f>Table1[[#This Row],[Dep Date]]-Table1[[#This Row],[Arr Date]]</f>
        <v>7</v>
      </c>
      <c r="N591" s="323" t="s">
        <v>52</v>
      </c>
      <c r="O591" s="321">
        <v>2</v>
      </c>
      <c r="P591" s="321">
        <v>4</v>
      </c>
      <c r="Q591" s="321">
        <v>2</v>
      </c>
      <c r="R591" s="321"/>
      <c r="S591" s="321" t="s">
        <v>53</v>
      </c>
      <c r="T591" s="326" t="s">
        <v>2170</v>
      </c>
      <c r="U591" s="297"/>
      <c r="V591" s="294"/>
      <c r="W591" s="297"/>
      <c r="X591" s="294"/>
      <c r="Y591" s="329">
        <f>40*2*7*2</f>
        <v>1120</v>
      </c>
      <c r="Z591" s="329">
        <v>1204</v>
      </c>
      <c r="AA591" s="332">
        <f>Table1[[#This Row],[Selling USD]]-Table1[[#This Row],[Cost USD]]</f>
        <v>84</v>
      </c>
      <c r="AB591" s="335"/>
      <c r="AC591" s="298"/>
      <c r="AD591" s="299">
        <f>Table1[[#This Row],[Selling EUR]]-Table1[[#This Row],[Cost EUR]]</f>
        <v>0</v>
      </c>
      <c r="AE591" s="321" t="s">
        <v>54</v>
      </c>
      <c r="AF591" s="294">
        <v>46159.041666666664</v>
      </c>
      <c r="AG591" s="294" t="s">
        <v>2413</v>
      </c>
      <c r="AH591" s="321"/>
      <c r="AI591" s="323"/>
      <c r="AJ591" s="338"/>
      <c r="AK591" s="323"/>
      <c r="AL591" s="338"/>
      <c r="AM591" s="338"/>
      <c r="AN591" s="323"/>
      <c r="AO591" s="282"/>
      <c r="AP591" s="306"/>
      <c r="AQ591" s="282"/>
      <c r="AR591" s="282"/>
      <c r="AS591" s="282"/>
      <c r="AT591" s="281"/>
      <c r="AU591" s="281"/>
      <c r="AV591" s="281"/>
      <c r="AW591" s="281"/>
      <c r="AX591" s="281"/>
      <c r="AY591" s="281"/>
      <c r="AZ591" s="281"/>
    </row>
    <row r="592" spans="1:52" ht="15" customHeight="1" x14ac:dyDescent="0.3">
      <c r="A592" s="294">
        <v>46133</v>
      </c>
      <c r="B592" s="321" t="s">
        <v>47</v>
      </c>
      <c r="C592" s="321" t="s">
        <v>47</v>
      </c>
      <c r="D592" s="294" t="s">
        <v>48</v>
      </c>
      <c r="E592" s="321" t="s">
        <v>49</v>
      </c>
      <c r="F592" s="295">
        <v>17534028</v>
      </c>
      <c r="G592" s="296"/>
      <c r="H592" s="280" t="s">
        <v>50</v>
      </c>
      <c r="I592" s="323" t="s">
        <v>68</v>
      </c>
      <c r="J592" s="323" t="s">
        <v>2646</v>
      </c>
      <c r="K592" s="294">
        <v>46238</v>
      </c>
      <c r="L592" s="294">
        <v>46247</v>
      </c>
      <c r="M592" s="284">
        <f>Table1[[#This Row],[Dep Date]]-Table1[[#This Row],[Arr Date]]</f>
        <v>9</v>
      </c>
      <c r="N592" s="323" t="s">
        <v>52</v>
      </c>
      <c r="O592" s="321">
        <v>1</v>
      </c>
      <c r="P592" s="321">
        <v>2</v>
      </c>
      <c r="Q592" s="321">
        <v>1</v>
      </c>
      <c r="R592" s="321"/>
      <c r="S592" s="321" t="s">
        <v>53</v>
      </c>
      <c r="T592" s="326" t="s">
        <v>2171</v>
      </c>
      <c r="U592" s="297">
        <v>12</v>
      </c>
      <c r="V592" s="294"/>
      <c r="W592" s="297"/>
      <c r="X592" s="294"/>
      <c r="Y592" s="329"/>
      <c r="Z592" s="329"/>
      <c r="AA592" s="332">
        <f>Table1[[#This Row],[Selling USD]]-Table1[[#This Row],[Cost USD]]</f>
        <v>0</v>
      </c>
      <c r="AB592" s="335">
        <f>58*2*0.9*9</f>
        <v>939.6</v>
      </c>
      <c r="AC592" s="298">
        <v>972</v>
      </c>
      <c r="AD592" s="299">
        <f>Table1[[#This Row],[Selling EUR]]-Table1[[#This Row],[Cost EUR]]</f>
        <v>32.399999999999977</v>
      </c>
      <c r="AE592" s="321" t="s">
        <v>54</v>
      </c>
      <c r="AF592" s="294">
        <v>46229</v>
      </c>
      <c r="AG592" s="294"/>
      <c r="AH592" s="321"/>
      <c r="AI592" s="323"/>
      <c r="AJ592" s="338"/>
      <c r="AK592" s="323"/>
      <c r="AL592" s="338"/>
      <c r="AM592" s="338"/>
      <c r="AN592" s="323"/>
      <c r="AO592" s="282"/>
      <c r="AP592" s="306"/>
      <c r="AQ592" s="282"/>
      <c r="AR592" s="282"/>
      <c r="AS592" s="282"/>
      <c r="AT592" s="281"/>
      <c r="AU592" s="281"/>
      <c r="AV592" s="281"/>
      <c r="AW592" s="281"/>
      <c r="AX592" s="281"/>
      <c r="AY592" s="281"/>
      <c r="AZ592" s="281"/>
    </row>
    <row r="593" spans="1:52" ht="15" customHeight="1" x14ac:dyDescent="0.3">
      <c r="A593" s="294">
        <v>46080</v>
      </c>
      <c r="B593" s="321" t="s">
        <v>47</v>
      </c>
      <c r="C593" s="321" t="s">
        <v>47</v>
      </c>
      <c r="D593" s="294" t="s">
        <v>48</v>
      </c>
      <c r="E593" s="321" t="s">
        <v>49</v>
      </c>
      <c r="F593" s="295">
        <v>17382350</v>
      </c>
      <c r="G593" s="296"/>
      <c r="H593" s="280" t="s">
        <v>58</v>
      </c>
      <c r="I593" s="323" t="s">
        <v>62</v>
      </c>
      <c r="J593" s="323" t="s">
        <v>63</v>
      </c>
      <c r="K593" s="294">
        <v>46315</v>
      </c>
      <c r="L593" s="294">
        <v>46322</v>
      </c>
      <c r="M593" s="284">
        <f>Table1[[#This Row],[Dep Date]]-Table1[[#This Row],[Arr Date]]</f>
        <v>7</v>
      </c>
      <c r="N593" s="323" t="s">
        <v>52</v>
      </c>
      <c r="O593" s="321">
        <v>1</v>
      </c>
      <c r="P593" s="321">
        <v>2</v>
      </c>
      <c r="Q593" s="321"/>
      <c r="R593" s="321"/>
      <c r="S593" s="321" t="s">
        <v>53</v>
      </c>
      <c r="T593" s="326" t="s">
        <v>2172</v>
      </c>
      <c r="U593" s="297"/>
      <c r="V593" s="294"/>
      <c r="W593" s="297"/>
      <c r="X593" s="294"/>
      <c r="Y593" s="329"/>
      <c r="Z593" s="329"/>
      <c r="AA593" s="332">
        <f>Table1[[#This Row],[Selling USD]]-Table1[[#This Row],[Cost USD]]</f>
        <v>0</v>
      </c>
      <c r="AB593" s="335">
        <f>65*2*7</f>
        <v>910</v>
      </c>
      <c r="AC593" s="298">
        <v>945</v>
      </c>
      <c r="AD593" s="299">
        <f>Table1[[#This Row],[Selling EUR]]-Table1[[#This Row],[Cost EUR]]</f>
        <v>35</v>
      </c>
      <c r="AE593" s="321" t="s">
        <v>54</v>
      </c>
      <c r="AF593" s="294">
        <v>46306</v>
      </c>
      <c r="AG593" s="294"/>
      <c r="AH593" s="321"/>
      <c r="AI593" s="323"/>
      <c r="AJ593" s="338"/>
      <c r="AK593" s="323"/>
      <c r="AL593" s="338"/>
      <c r="AM593" s="338"/>
      <c r="AN593" s="323"/>
      <c r="AO593" s="282"/>
      <c r="AP593" s="306"/>
      <c r="AQ593" s="282"/>
      <c r="AR593" s="282"/>
      <c r="AS593" s="282"/>
      <c r="AT593" s="281"/>
      <c r="AU593" s="281"/>
      <c r="AV593" s="281"/>
      <c r="AW593" s="281"/>
      <c r="AX593" s="281"/>
      <c r="AY593" s="281"/>
      <c r="AZ593" s="281"/>
    </row>
    <row r="594" spans="1:52" ht="15" customHeight="1" x14ac:dyDescent="0.3">
      <c r="A594" s="294">
        <v>46076</v>
      </c>
      <c r="B594" s="321" t="s">
        <v>47</v>
      </c>
      <c r="C594" s="321" t="s">
        <v>47</v>
      </c>
      <c r="D594" s="294" t="s">
        <v>79</v>
      </c>
      <c r="E594" s="321" t="s">
        <v>49</v>
      </c>
      <c r="F594" s="295">
        <v>16096316</v>
      </c>
      <c r="G594" s="296">
        <v>20303728</v>
      </c>
      <c r="H594" s="280" t="s">
        <v>50</v>
      </c>
      <c r="I594" s="323" t="s">
        <v>82</v>
      </c>
      <c r="J594" s="323" t="s">
        <v>2520</v>
      </c>
      <c r="K594" s="294">
        <v>46169.041666666599</v>
      </c>
      <c r="L594" s="294">
        <v>46176</v>
      </c>
      <c r="M594" s="284">
        <f>Table1[[#This Row],[Dep Date]]-Table1[[#This Row],[Arr Date]]</f>
        <v>6.9583333334012423</v>
      </c>
      <c r="N594" s="323" t="s">
        <v>52</v>
      </c>
      <c r="O594" s="321">
        <v>1</v>
      </c>
      <c r="P594" s="321">
        <v>2</v>
      </c>
      <c r="Q594" s="321">
        <v>2</v>
      </c>
      <c r="R594" s="321"/>
      <c r="S594" s="321" t="s">
        <v>53</v>
      </c>
      <c r="T594" s="326" t="s">
        <v>2173</v>
      </c>
      <c r="U594" s="297">
        <v>10</v>
      </c>
      <c r="V594" s="294"/>
      <c r="W594" s="297">
        <v>6</v>
      </c>
      <c r="X594" s="294"/>
      <c r="Y594" s="329"/>
      <c r="Z594" s="329"/>
      <c r="AA594" s="332">
        <f>Table1[[#This Row],[Selling USD]]-Table1[[#This Row],[Cost USD]]</f>
        <v>0</v>
      </c>
      <c r="AB594" s="335">
        <f>(105*0.75*5*2.5)+(113*0.75*2*2.5)</f>
        <v>1408.125</v>
      </c>
      <c r="AC594" s="298">
        <v>1422.12</v>
      </c>
      <c r="AD594" s="299">
        <f>Table1[[#This Row],[Selling EUR]]-Table1[[#This Row],[Cost EUR]]</f>
        <v>13.994999999999891</v>
      </c>
      <c r="AE594" s="321" t="s">
        <v>54</v>
      </c>
      <c r="AF594" s="294">
        <v>46086</v>
      </c>
      <c r="AG594" s="294" t="s">
        <v>2421</v>
      </c>
      <c r="AH594" s="321"/>
      <c r="AI594" s="323"/>
      <c r="AJ594" s="338"/>
      <c r="AK594" s="323"/>
      <c r="AL594" s="338"/>
      <c r="AM594" s="338"/>
      <c r="AN594" s="323"/>
      <c r="AO594" s="282"/>
      <c r="AP594" s="306"/>
      <c r="AQ594" s="282"/>
      <c r="AR594" s="282"/>
      <c r="AS594" s="282"/>
      <c r="AT594" s="281"/>
      <c r="AU594" s="281"/>
      <c r="AV594" s="281"/>
      <c r="AW594" s="281"/>
      <c r="AX594" s="281"/>
      <c r="AY594" s="281"/>
      <c r="AZ594" s="281"/>
    </row>
    <row r="595" spans="1:52" ht="15" customHeight="1" x14ac:dyDescent="0.3">
      <c r="A595" s="294">
        <v>46136.041666666599</v>
      </c>
      <c r="B595" s="321" t="s">
        <v>47</v>
      </c>
      <c r="C595" s="321" t="s">
        <v>47</v>
      </c>
      <c r="D595" s="294" t="s">
        <v>48</v>
      </c>
      <c r="E595" s="321" t="s">
        <v>49</v>
      </c>
      <c r="F595" s="295">
        <v>17547665</v>
      </c>
      <c r="G595" s="296"/>
      <c r="H595" s="280" t="s">
        <v>50</v>
      </c>
      <c r="I595" s="323" t="s">
        <v>68</v>
      </c>
      <c r="J595" s="323" t="s">
        <v>2647</v>
      </c>
      <c r="K595" s="294">
        <v>46140.041666666599</v>
      </c>
      <c r="L595" s="294">
        <v>46148.041666666599</v>
      </c>
      <c r="M595" s="284">
        <f>Table1[[#This Row],[Dep Date]]-Table1[[#This Row],[Arr Date]]</f>
        <v>8</v>
      </c>
      <c r="N595" s="323" t="s">
        <v>52</v>
      </c>
      <c r="O595" s="321">
        <v>1</v>
      </c>
      <c r="P595" s="321">
        <v>2</v>
      </c>
      <c r="Q595" s="321"/>
      <c r="R595" s="321"/>
      <c r="S595" s="321" t="s">
        <v>53</v>
      </c>
      <c r="T595" s="326" t="s">
        <v>2174</v>
      </c>
      <c r="U595" s="297"/>
      <c r="V595" s="294"/>
      <c r="W595" s="297"/>
      <c r="X595" s="294"/>
      <c r="Y595" s="329"/>
      <c r="Z595" s="329"/>
      <c r="AA595" s="332">
        <f>Table1[[#This Row],[Selling USD]]-Table1[[#This Row],[Cost USD]]</f>
        <v>0</v>
      </c>
      <c r="AB595" s="335">
        <f>45*2*3+40*2*5</f>
        <v>670</v>
      </c>
      <c r="AC595" s="298">
        <v>702</v>
      </c>
      <c r="AD595" s="299">
        <f>Table1[[#This Row],[Selling EUR]]-Table1[[#This Row],[Cost EUR]]</f>
        <v>32</v>
      </c>
      <c r="AE595" s="321" t="s">
        <v>54</v>
      </c>
      <c r="AF595" s="294">
        <v>46138.041666666599</v>
      </c>
      <c r="AG595" s="294"/>
      <c r="AH595" s="321"/>
      <c r="AI595" s="323"/>
      <c r="AJ595" s="338"/>
      <c r="AK595" s="323"/>
      <c r="AL595" s="338"/>
      <c r="AM595" s="338"/>
      <c r="AN595" s="323"/>
      <c r="AO595" s="282"/>
      <c r="AP595" s="306"/>
      <c r="AQ595" s="282"/>
      <c r="AR595" s="282"/>
      <c r="AS595" s="282"/>
      <c r="AT595" s="281"/>
      <c r="AU595" s="281"/>
      <c r="AV595" s="281"/>
      <c r="AW595" s="281"/>
      <c r="AX595" s="281"/>
      <c r="AY595" s="281"/>
      <c r="AZ595" s="281"/>
    </row>
    <row r="596" spans="1:52" ht="15" customHeight="1" x14ac:dyDescent="0.3">
      <c r="A596" s="294">
        <v>46025</v>
      </c>
      <c r="B596" s="321" t="s">
        <v>47</v>
      </c>
      <c r="C596" s="321" t="s">
        <v>47</v>
      </c>
      <c r="D596" s="294" t="s">
        <v>48</v>
      </c>
      <c r="E596" s="321" t="s">
        <v>49</v>
      </c>
      <c r="F596" s="295">
        <v>17196429</v>
      </c>
      <c r="G596" s="296"/>
      <c r="H596" s="280" t="s">
        <v>58</v>
      </c>
      <c r="I596" s="323" t="s">
        <v>62</v>
      </c>
      <c r="J596" s="323" t="s">
        <v>72</v>
      </c>
      <c r="K596" s="294">
        <v>46169.041666666599</v>
      </c>
      <c r="L596" s="294">
        <v>46176</v>
      </c>
      <c r="M596" s="284">
        <f>Table1[[#This Row],[Dep Date]]-Table1[[#This Row],[Arr Date]]</f>
        <v>6.9583333334012423</v>
      </c>
      <c r="N596" s="323" t="s">
        <v>52</v>
      </c>
      <c r="O596" s="321">
        <v>1</v>
      </c>
      <c r="P596" s="321">
        <v>2</v>
      </c>
      <c r="Q596" s="321">
        <v>1</v>
      </c>
      <c r="R596" s="321"/>
      <c r="S596" s="321" t="s">
        <v>53</v>
      </c>
      <c r="T596" s="326" t="s">
        <v>2175</v>
      </c>
      <c r="U596" s="297">
        <v>8</v>
      </c>
      <c r="V596" s="294"/>
      <c r="W596" s="297"/>
      <c r="X596" s="294"/>
      <c r="Y596" s="329"/>
      <c r="Z596" s="329"/>
      <c r="AA596" s="332">
        <f>Table1[[#This Row],[Selling USD]]-Table1[[#This Row],[Cost USD]]</f>
        <v>0</v>
      </c>
      <c r="AB596" s="335">
        <f>47*2*7</f>
        <v>658</v>
      </c>
      <c r="AC596" s="298">
        <v>806.4</v>
      </c>
      <c r="AD596" s="299">
        <f>Table1[[#This Row],[Selling EUR]]-Table1[[#This Row],[Cost EUR]]</f>
        <v>148.39999999999998</v>
      </c>
      <c r="AE596" s="321" t="s">
        <v>54</v>
      </c>
      <c r="AF596" s="294">
        <v>46163.041666666599</v>
      </c>
      <c r="AG596" s="294"/>
      <c r="AH596" s="321"/>
      <c r="AI596" s="323"/>
      <c r="AJ596" s="338"/>
      <c r="AK596" s="323"/>
      <c r="AL596" s="338"/>
      <c r="AM596" s="338"/>
      <c r="AN596" s="323"/>
      <c r="AO596" s="282"/>
      <c r="AP596" s="306"/>
      <c r="AQ596" s="282"/>
      <c r="AR596" s="282"/>
      <c r="AS596" s="282"/>
      <c r="AT596" s="281"/>
      <c r="AU596" s="281"/>
      <c r="AV596" s="281"/>
      <c r="AW596" s="281"/>
      <c r="AX596" s="281"/>
      <c r="AY596" s="281"/>
      <c r="AZ596" s="281"/>
    </row>
    <row r="597" spans="1:52" ht="15" customHeight="1" x14ac:dyDescent="0.3">
      <c r="A597" s="294">
        <v>46140.041666666599</v>
      </c>
      <c r="B597" s="321" t="s">
        <v>47</v>
      </c>
      <c r="C597" s="321" t="s">
        <v>47</v>
      </c>
      <c r="D597" s="294" t="s">
        <v>48</v>
      </c>
      <c r="E597" s="321" t="s">
        <v>49</v>
      </c>
      <c r="F597" s="295">
        <v>17556908</v>
      </c>
      <c r="G597" s="296"/>
      <c r="H597" s="280" t="s">
        <v>50</v>
      </c>
      <c r="I597" s="323" t="s">
        <v>67</v>
      </c>
      <c r="J597" s="323" t="s">
        <v>219</v>
      </c>
      <c r="K597" s="294">
        <v>46217</v>
      </c>
      <c r="L597" s="294">
        <v>46224</v>
      </c>
      <c r="M597" s="284">
        <f>Table1[[#This Row],[Dep Date]]-Table1[[#This Row],[Arr Date]]</f>
        <v>7</v>
      </c>
      <c r="N597" s="323" t="s">
        <v>52</v>
      </c>
      <c r="O597" s="321">
        <v>1</v>
      </c>
      <c r="P597" s="321">
        <v>2</v>
      </c>
      <c r="Q597" s="321">
        <v>1</v>
      </c>
      <c r="R597" s="321"/>
      <c r="S597" s="321" t="s">
        <v>53</v>
      </c>
      <c r="T597" s="326" t="s">
        <v>220</v>
      </c>
      <c r="U597" s="297"/>
      <c r="V597" s="294"/>
      <c r="W597" s="297"/>
      <c r="X597" s="294"/>
      <c r="Y597" s="329"/>
      <c r="Z597" s="329"/>
      <c r="AA597" s="332">
        <f>Table1[[#This Row],[Selling USD]]-Table1[[#This Row],[Cost USD]]</f>
        <v>0</v>
      </c>
      <c r="AB597" s="335">
        <f>64*2*7</f>
        <v>896</v>
      </c>
      <c r="AC597" s="298">
        <v>938</v>
      </c>
      <c r="AD597" s="299">
        <f>Table1[[#This Row],[Selling EUR]]-Table1[[#This Row],[Cost EUR]]</f>
        <v>42</v>
      </c>
      <c r="AE597" s="321" t="s">
        <v>54</v>
      </c>
      <c r="AF597" s="294">
        <v>46204</v>
      </c>
      <c r="AG597" s="294"/>
      <c r="AH597" s="321"/>
      <c r="AI597" s="323"/>
      <c r="AJ597" s="338"/>
      <c r="AK597" s="323"/>
      <c r="AL597" s="338"/>
      <c r="AM597" s="338"/>
      <c r="AN597" s="323"/>
      <c r="AO597" s="282"/>
      <c r="AP597" s="306"/>
      <c r="AQ597" s="282"/>
      <c r="AR597" s="282"/>
      <c r="AS597" s="282"/>
      <c r="AT597" s="281"/>
      <c r="AU597" s="281"/>
      <c r="AV597" s="281"/>
      <c r="AW597" s="281"/>
      <c r="AX597" s="281"/>
      <c r="AY597" s="281"/>
      <c r="AZ597" s="281"/>
    </row>
    <row r="598" spans="1:52" ht="15" customHeight="1" x14ac:dyDescent="0.3">
      <c r="A598" s="294">
        <v>45994</v>
      </c>
      <c r="B598" s="321" t="s">
        <v>47</v>
      </c>
      <c r="C598" s="321" t="s">
        <v>47</v>
      </c>
      <c r="D598" s="294" t="s">
        <v>48</v>
      </c>
      <c r="E598" s="321" t="s">
        <v>49</v>
      </c>
      <c r="F598" s="295">
        <v>17133940</v>
      </c>
      <c r="G598" s="296"/>
      <c r="H598" s="280" t="s">
        <v>50</v>
      </c>
      <c r="I598" s="323" t="s">
        <v>148</v>
      </c>
      <c r="J598" s="323" t="s">
        <v>2648</v>
      </c>
      <c r="K598" s="294">
        <v>46170.041666666599</v>
      </c>
      <c r="L598" s="294">
        <v>46178</v>
      </c>
      <c r="M598" s="284">
        <f>Table1[[#This Row],[Dep Date]]-Table1[[#This Row],[Arr Date]]</f>
        <v>7.9583333334012423</v>
      </c>
      <c r="N598" s="323" t="s">
        <v>65</v>
      </c>
      <c r="O598" s="321">
        <v>1</v>
      </c>
      <c r="P598" s="321">
        <v>1</v>
      </c>
      <c r="Q598" s="321"/>
      <c r="R598" s="321"/>
      <c r="S598" s="321" t="s">
        <v>53</v>
      </c>
      <c r="T598" s="326" t="s">
        <v>2176</v>
      </c>
      <c r="U598" s="297"/>
      <c r="V598" s="294"/>
      <c r="W598" s="297"/>
      <c r="X598" s="294"/>
      <c r="Y598" s="329"/>
      <c r="Z598" s="329"/>
      <c r="AA598" s="332">
        <f>Table1[[#This Row],[Selling USD]]-Table1[[#This Row],[Cost USD]]</f>
        <v>0</v>
      </c>
      <c r="AB598" s="335">
        <f>160*1.5*0.57*8</f>
        <v>1094.3999999999999</v>
      </c>
      <c r="AC598" s="298">
        <v>720</v>
      </c>
      <c r="AD598" s="299">
        <f>Table1[[#This Row],[Selling EUR]]-Table1[[#This Row],[Cost EUR]]</f>
        <v>-374.39999999999986</v>
      </c>
      <c r="AE598" s="321" t="s">
        <v>54</v>
      </c>
      <c r="AF598" s="294">
        <v>46162.041666666599</v>
      </c>
      <c r="AG598" s="294" t="s">
        <v>2413</v>
      </c>
      <c r="AH598" s="321"/>
      <c r="AI598" s="323"/>
      <c r="AJ598" s="338"/>
      <c r="AK598" s="323"/>
      <c r="AL598" s="338"/>
      <c r="AM598" s="338"/>
      <c r="AN598" s="323"/>
      <c r="AO598" s="282"/>
      <c r="AP598" s="306"/>
      <c r="AQ598" s="282"/>
      <c r="AR598" s="282"/>
      <c r="AS598" s="282"/>
      <c r="AT598" s="281"/>
      <c r="AU598" s="281"/>
      <c r="AV598" s="281"/>
      <c r="AW598" s="281"/>
      <c r="AX598" s="281"/>
      <c r="AY598" s="281"/>
      <c r="AZ598" s="281"/>
    </row>
    <row r="599" spans="1:52" ht="15" customHeight="1" x14ac:dyDescent="0.3">
      <c r="A599" s="294">
        <v>46144.041666666599</v>
      </c>
      <c r="B599" s="321" t="s">
        <v>47</v>
      </c>
      <c r="C599" s="321" t="s">
        <v>47</v>
      </c>
      <c r="D599" s="294" t="s">
        <v>79</v>
      </c>
      <c r="E599" s="321" t="s">
        <v>49</v>
      </c>
      <c r="F599" s="295">
        <v>17188771</v>
      </c>
      <c r="G599" s="296">
        <v>20303769</v>
      </c>
      <c r="H599" s="280" t="s">
        <v>84</v>
      </c>
      <c r="I599" s="323" t="s">
        <v>132</v>
      </c>
      <c r="J599" s="323" t="s">
        <v>1402</v>
      </c>
      <c r="K599" s="294">
        <v>46238</v>
      </c>
      <c r="L599" s="294">
        <v>46245</v>
      </c>
      <c r="M599" s="284">
        <f>Table1[[#This Row],[Dep Date]]-Table1[[#This Row],[Arr Date]]</f>
        <v>7</v>
      </c>
      <c r="N599" s="323" t="s">
        <v>52</v>
      </c>
      <c r="O599" s="321">
        <v>1</v>
      </c>
      <c r="P599" s="321">
        <v>2</v>
      </c>
      <c r="Q599" s="321">
        <v>2</v>
      </c>
      <c r="R599" s="321"/>
      <c r="S599" s="321" t="s">
        <v>53</v>
      </c>
      <c r="T599" s="326" t="s">
        <v>2177</v>
      </c>
      <c r="U599" s="297">
        <v>11</v>
      </c>
      <c r="V599" s="294"/>
      <c r="W599" s="297">
        <v>4</v>
      </c>
      <c r="X599" s="294"/>
      <c r="Y599" s="329"/>
      <c r="Z599" s="329"/>
      <c r="AA599" s="332">
        <f>Table1[[#This Row],[Selling USD]]-Table1[[#This Row],[Cost USD]]</f>
        <v>0</v>
      </c>
      <c r="AB599" s="335">
        <f>52*2*7</f>
        <v>728</v>
      </c>
      <c r="AC599" s="298">
        <v>742</v>
      </c>
      <c r="AD599" s="299">
        <f>Table1[[#This Row],[Selling EUR]]-Table1[[#This Row],[Cost EUR]]</f>
        <v>14</v>
      </c>
      <c r="AE599" s="321" t="s">
        <v>54</v>
      </c>
      <c r="AF599" s="294">
        <v>46230</v>
      </c>
      <c r="AG599" s="294"/>
      <c r="AH599" s="321"/>
      <c r="AI599" s="323"/>
      <c r="AJ599" s="338"/>
      <c r="AK599" s="323"/>
      <c r="AL599" s="338"/>
      <c r="AM599" s="338"/>
      <c r="AN599" s="323"/>
      <c r="AO599" s="282"/>
      <c r="AP599" s="306"/>
      <c r="AQ599" s="282"/>
      <c r="AR599" s="282"/>
      <c r="AS599" s="282"/>
      <c r="AT599" s="281"/>
      <c r="AU599" s="281"/>
      <c r="AV599" s="281"/>
      <c r="AW599" s="281"/>
      <c r="AX599" s="281"/>
      <c r="AY599" s="281"/>
      <c r="AZ599" s="281"/>
    </row>
    <row r="600" spans="1:52" ht="15" customHeight="1" x14ac:dyDescent="0.3">
      <c r="A600" s="294">
        <v>46147.041666666599</v>
      </c>
      <c r="B600" s="321" t="s">
        <v>73</v>
      </c>
      <c r="C600" s="321" t="s">
        <v>73</v>
      </c>
      <c r="D600" s="294" t="s">
        <v>79</v>
      </c>
      <c r="E600" s="321" t="s">
        <v>49</v>
      </c>
      <c r="F600" s="295">
        <v>17232215</v>
      </c>
      <c r="G600" s="296">
        <v>20303772</v>
      </c>
      <c r="H600" s="280" t="s">
        <v>50</v>
      </c>
      <c r="I600" s="323" t="s">
        <v>68</v>
      </c>
      <c r="J600" s="323" t="s">
        <v>2649</v>
      </c>
      <c r="K600" s="294">
        <v>46281</v>
      </c>
      <c r="L600" s="294">
        <v>46292</v>
      </c>
      <c r="M600" s="284">
        <f>Table1[[#This Row],[Dep Date]]-Table1[[#This Row],[Arr Date]]</f>
        <v>11</v>
      </c>
      <c r="N600" s="323" t="s">
        <v>52</v>
      </c>
      <c r="O600" s="321">
        <v>2</v>
      </c>
      <c r="P600" s="321">
        <v>4</v>
      </c>
      <c r="Q600" s="321"/>
      <c r="R600" s="321"/>
      <c r="S600" s="321" t="s">
        <v>53</v>
      </c>
      <c r="T600" s="326" t="s">
        <v>2178</v>
      </c>
      <c r="U600" s="297"/>
      <c r="V600" s="294"/>
      <c r="W600" s="297"/>
      <c r="X600" s="294"/>
      <c r="Y600" s="329"/>
      <c r="Z600" s="329"/>
      <c r="AA600" s="332">
        <f>Table1[[#This Row],[Selling USD]]-Table1[[#This Row],[Cost USD]]</f>
        <v>0</v>
      </c>
      <c r="AB600" s="335"/>
      <c r="AC600" s="298"/>
      <c r="AD600" s="299">
        <f>Table1[[#This Row],[Selling EUR]]-Table1[[#This Row],[Cost EUR]]</f>
        <v>0</v>
      </c>
      <c r="AE600" s="321"/>
      <c r="AF600" s="294"/>
      <c r="AG600" s="294"/>
      <c r="AH600" s="321"/>
      <c r="AI600" s="323"/>
      <c r="AJ600" s="338"/>
      <c r="AK600" s="323"/>
      <c r="AL600" s="338"/>
      <c r="AM600" s="338"/>
      <c r="AN600" s="323"/>
      <c r="AO600" s="282"/>
      <c r="AP600" s="306"/>
      <c r="AQ600" s="282"/>
      <c r="AR600" s="282"/>
      <c r="AS600" s="282"/>
      <c r="AT600" s="281"/>
      <c r="AU600" s="281"/>
      <c r="AV600" s="281"/>
      <c r="AW600" s="281"/>
      <c r="AX600" s="281"/>
      <c r="AY600" s="281"/>
      <c r="AZ600" s="281"/>
    </row>
    <row r="601" spans="1:52" ht="15" customHeight="1" x14ac:dyDescent="0.3">
      <c r="A601" s="294">
        <v>46145.041666666599</v>
      </c>
      <c r="B601" s="321" t="s">
        <v>73</v>
      </c>
      <c r="C601" s="321" t="s">
        <v>73</v>
      </c>
      <c r="D601" s="294" t="s">
        <v>79</v>
      </c>
      <c r="E601" s="321" t="s">
        <v>49</v>
      </c>
      <c r="F601" s="295">
        <v>17207050</v>
      </c>
      <c r="G601" s="296">
        <v>20303771</v>
      </c>
      <c r="H601" s="280" t="s">
        <v>50</v>
      </c>
      <c r="I601" s="323" t="s">
        <v>221</v>
      </c>
      <c r="J601" s="323" t="s">
        <v>2519</v>
      </c>
      <c r="K601" s="294">
        <v>46281</v>
      </c>
      <c r="L601" s="294">
        <v>46289</v>
      </c>
      <c r="M601" s="284">
        <f>Table1[[#This Row],[Dep Date]]-Table1[[#This Row],[Arr Date]]</f>
        <v>8</v>
      </c>
      <c r="N601" s="323" t="s">
        <v>65</v>
      </c>
      <c r="O601" s="321">
        <v>1</v>
      </c>
      <c r="P601" s="321">
        <v>1</v>
      </c>
      <c r="Q601" s="321"/>
      <c r="R601" s="321"/>
      <c r="S601" s="321" t="s">
        <v>53</v>
      </c>
      <c r="T601" s="326" t="s">
        <v>2179</v>
      </c>
      <c r="U601" s="297"/>
      <c r="V601" s="294"/>
      <c r="W601" s="297"/>
      <c r="X601" s="294"/>
      <c r="Y601" s="329"/>
      <c r="Z601" s="329"/>
      <c r="AA601" s="332">
        <f>Table1[[#This Row],[Selling USD]]-Table1[[#This Row],[Cost USD]]</f>
        <v>0</v>
      </c>
      <c r="AB601" s="335"/>
      <c r="AC601" s="298"/>
      <c r="AD601" s="299">
        <f>Table1[[#This Row],[Selling EUR]]-Table1[[#This Row],[Cost EUR]]</f>
        <v>0</v>
      </c>
      <c r="AE601" s="321"/>
      <c r="AF601" s="294"/>
      <c r="AG601" s="294"/>
      <c r="AH601" s="321"/>
      <c r="AI601" s="323"/>
      <c r="AJ601" s="338"/>
      <c r="AK601" s="323"/>
      <c r="AL601" s="338"/>
      <c r="AM601" s="338"/>
      <c r="AN601" s="323"/>
      <c r="AO601" s="282"/>
      <c r="AP601" s="306"/>
      <c r="AQ601" s="282"/>
      <c r="AR601" s="282"/>
      <c r="AS601" s="282"/>
      <c r="AT601" s="281"/>
      <c r="AU601" s="281"/>
      <c r="AV601" s="281"/>
      <c r="AW601" s="281"/>
      <c r="AX601" s="281"/>
      <c r="AY601" s="281"/>
      <c r="AZ601" s="281"/>
    </row>
    <row r="602" spans="1:52" ht="15" customHeight="1" x14ac:dyDescent="0.3">
      <c r="A602" s="294">
        <v>46157.041666666599</v>
      </c>
      <c r="B602" s="321" t="s">
        <v>47</v>
      </c>
      <c r="C602" s="321" t="s">
        <v>47</v>
      </c>
      <c r="D602" s="294" t="s">
        <v>48</v>
      </c>
      <c r="E602" s="321" t="s">
        <v>49</v>
      </c>
      <c r="F602" s="295">
        <v>17615137</v>
      </c>
      <c r="G602" s="296"/>
      <c r="H602" s="280" t="s">
        <v>2650</v>
      </c>
      <c r="I602" s="323" t="s">
        <v>57</v>
      </c>
      <c r="J602" s="323" t="s">
        <v>2574</v>
      </c>
      <c r="K602" s="294">
        <v>46238</v>
      </c>
      <c r="L602" s="294">
        <v>46250</v>
      </c>
      <c r="M602" s="284">
        <f>Table1[[#This Row],[Dep Date]]-Table1[[#This Row],[Arr Date]]</f>
        <v>12</v>
      </c>
      <c r="N602" s="323" t="s">
        <v>52</v>
      </c>
      <c r="O602" s="321">
        <v>1</v>
      </c>
      <c r="P602" s="321">
        <v>2</v>
      </c>
      <c r="Q602" s="321">
        <v>2</v>
      </c>
      <c r="R602" s="321">
        <v>1</v>
      </c>
      <c r="S602" s="321" t="s">
        <v>53</v>
      </c>
      <c r="T602" s="326" t="s">
        <v>2180</v>
      </c>
      <c r="U602" s="297">
        <v>7</v>
      </c>
      <c r="V602" s="294"/>
      <c r="W602" s="297">
        <v>6</v>
      </c>
      <c r="X602" s="294"/>
      <c r="Y602" s="329"/>
      <c r="Z602" s="329"/>
      <c r="AA602" s="332">
        <f>Table1[[#This Row],[Selling USD]]-Table1[[#This Row],[Cost USD]]</f>
        <v>0</v>
      </c>
      <c r="AB602" s="335">
        <f>80*2*12</f>
        <v>1920</v>
      </c>
      <c r="AC602" s="298">
        <v>2064</v>
      </c>
      <c r="AD602" s="299">
        <f>Table1[[#This Row],[Selling EUR]]-Table1[[#This Row],[Cost EUR]]</f>
        <v>144</v>
      </c>
      <c r="AE602" s="321" t="s">
        <v>54</v>
      </c>
      <c r="AF602" s="294">
        <v>46229</v>
      </c>
      <c r="AG602" s="294"/>
      <c r="AH602" s="321"/>
      <c r="AI602" s="323"/>
      <c r="AJ602" s="338"/>
      <c r="AK602" s="323"/>
      <c r="AL602" s="338"/>
      <c r="AM602" s="338"/>
      <c r="AN602" s="323"/>
      <c r="AO602" s="282"/>
      <c r="AP602" s="306"/>
      <c r="AQ602" s="282"/>
      <c r="AR602" s="282"/>
      <c r="AS602" s="282"/>
      <c r="AT602" s="281"/>
      <c r="AU602" s="281"/>
      <c r="AV602" s="281"/>
      <c r="AW602" s="281"/>
      <c r="AX602" s="281"/>
      <c r="AY602" s="281"/>
      <c r="AZ602" s="281"/>
    </row>
    <row r="603" spans="1:52" ht="15" customHeight="1" x14ac:dyDescent="0.3">
      <c r="A603" s="294">
        <v>46161.041666666599</v>
      </c>
      <c r="B603" s="321" t="s">
        <v>47</v>
      </c>
      <c r="C603" s="321" t="s">
        <v>47</v>
      </c>
      <c r="D603" s="294" t="s">
        <v>48</v>
      </c>
      <c r="E603" s="321" t="s">
        <v>49</v>
      </c>
      <c r="F603" s="295">
        <v>17626075</v>
      </c>
      <c r="G603" s="296"/>
      <c r="H603" s="280" t="s">
        <v>58</v>
      </c>
      <c r="I603" s="323" t="s">
        <v>62</v>
      </c>
      <c r="J603" s="323" t="s">
        <v>63</v>
      </c>
      <c r="K603" s="294">
        <v>46455</v>
      </c>
      <c r="L603" s="294">
        <v>46464</v>
      </c>
      <c r="M603" s="284">
        <f>Table1[[#This Row],[Dep Date]]-Table1[[#This Row],[Arr Date]]</f>
        <v>9</v>
      </c>
      <c r="N603" s="323" t="s">
        <v>52</v>
      </c>
      <c r="O603" s="321">
        <v>1</v>
      </c>
      <c r="P603" s="321">
        <v>2</v>
      </c>
      <c r="Q603" s="321"/>
      <c r="R603" s="321"/>
      <c r="S603" s="321" t="s">
        <v>53</v>
      </c>
      <c r="T603" s="326" t="s">
        <v>2181</v>
      </c>
      <c r="U603" s="297"/>
      <c r="V603" s="294"/>
      <c r="W603" s="297"/>
      <c r="X603" s="294"/>
      <c r="Y603" s="329"/>
      <c r="Z603" s="329"/>
      <c r="AA603" s="332">
        <f>Table1[[#This Row],[Selling USD]]-Table1[[#This Row],[Cost USD]]</f>
        <v>0</v>
      </c>
      <c r="AB603" s="335">
        <f>78*2*0.9*9</f>
        <v>1263.6000000000001</v>
      </c>
      <c r="AC603" s="298">
        <v>1296</v>
      </c>
      <c r="AD603" s="299">
        <f>Table1[[#This Row],[Selling EUR]]-Table1[[#This Row],[Cost EUR]]</f>
        <v>32.399999999999864</v>
      </c>
      <c r="AE603" s="321" t="s">
        <v>54</v>
      </c>
      <c r="AF603" s="294">
        <v>46447</v>
      </c>
      <c r="AG603" s="294" t="s">
        <v>2431</v>
      </c>
      <c r="AH603" s="321"/>
      <c r="AI603" s="323"/>
      <c r="AJ603" s="338"/>
      <c r="AK603" s="323"/>
      <c r="AL603" s="338"/>
      <c r="AM603" s="338"/>
      <c r="AN603" s="323"/>
      <c r="AO603" s="282"/>
      <c r="AP603" s="306"/>
      <c r="AQ603" s="282"/>
      <c r="AR603" s="282"/>
      <c r="AS603" s="282"/>
      <c r="AT603" s="281"/>
      <c r="AU603" s="281"/>
      <c r="AV603" s="281"/>
      <c r="AW603" s="281"/>
      <c r="AX603" s="281"/>
      <c r="AY603" s="281"/>
      <c r="AZ603" s="281"/>
    </row>
    <row r="604" spans="1:52" ht="15" customHeight="1" x14ac:dyDescent="0.3">
      <c r="A604" s="294">
        <v>46161.041666666599</v>
      </c>
      <c r="B604" s="321" t="s">
        <v>47</v>
      </c>
      <c r="C604" s="321" t="s">
        <v>47</v>
      </c>
      <c r="D604" s="294" t="s">
        <v>48</v>
      </c>
      <c r="E604" s="321" t="s">
        <v>49</v>
      </c>
      <c r="F604" s="295">
        <v>17628133</v>
      </c>
      <c r="G604" s="296"/>
      <c r="H604" s="280" t="s">
        <v>50</v>
      </c>
      <c r="I604" s="323" t="s">
        <v>222</v>
      </c>
      <c r="J604" s="323" t="s">
        <v>2651</v>
      </c>
      <c r="K604" s="294">
        <v>46285</v>
      </c>
      <c r="L604" s="294">
        <v>46294</v>
      </c>
      <c r="M604" s="284">
        <f>Table1[[#This Row],[Dep Date]]-Table1[[#This Row],[Arr Date]]</f>
        <v>9</v>
      </c>
      <c r="N604" s="323" t="s">
        <v>52</v>
      </c>
      <c r="O604" s="321">
        <v>1</v>
      </c>
      <c r="P604" s="321">
        <v>2</v>
      </c>
      <c r="Q604" s="321"/>
      <c r="R604" s="321"/>
      <c r="S604" s="321" t="s">
        <v>53</v>
      </c>
      <c r="T604" s="326" t="s">
        <v>2182</v>
      </c>
      <c r="U604" s="297"/>
      <c r="V604" s="294"/>
      <c r="W604" s="297"/>
      <c r="X604" s="294"/>
      <c r="Y604" s="329"/>
      <c r="Z604" s="329"/>
      <c r="AA604" s="332">
        <f>Table1[[#This Row],[Selling USD]]-Table1[[#This Row],[Cost USD]]</f>
        <v>0</v>
      </c>
      <c r="AB604" s="335">
        <f>87*2*9</f>
        <v>1566</v>
      </c>
      <c r="AC604" s="298">
        <v>1602</v>
      </c>
      <c r="AD604" s="299">
        <f>Table1[[#This Row],[Selling EUR]]-Table1[[#This Row],[Cost EUR]]</f>
        <v>36</v>
      </c>
      <c r="AE604" s="321" t="s">
        <v>54</v>
      </c>
      <c r="AF604" s="294">
        <v>46275</v>
      </c>
      <c r="AG604" s="294"/>
      <c r="AH604" s="321"/>
      <c r="AI604" s="323"/>
      <c r="AJ604" s="338"/>
      <c r="AK604" s="323"/>
      <c r="AL604" s="338"/>
      <c r="AM604" s="338"/>
      <c r="AN604" s="323"/>
      <c r="AO604" s="282"/>
      <c r="AP604" s="306"/>
      <c r="AQ604" s="282"/>
      <c r="AR604" s="282"/>
      <c r="AS604" s="282"/>
      <c r="AT604" s="281"/>
      <c r="AU604" s="281"/>
      <c r="AV604" s="281"/>
      <c r="AW604" s="281"/>
      <c r="AX604" s="281"/>
      <c r="AY604" s="281"/>
      <c r="AZ604" s="281"/>
    </row>
    <row r="605" spans="1:52" ht="15" customHeight="1" x14ac:dyDescent="0.3">
      <c r="A605" s="294">
        <v>46162.041666666599</v>
      </c>
      <c r="B605" s="321" t="s">
        <v>47</v>
      </c>
      <c r="C605" s="321" t="s">
        <v>47</v>
      </c>
      <c r="D605" s="294" t="s">
        <v>2645</v>
      </c>
      <c r="E605" s="321" t="s">
        <v>106</v>
      </c>
      <c r="F605" s="295" t="s">
        <v>223</v>
      </c>
      <c r="G605" s="296"/>
      <c r="H605" s="280" t="s">
        <v>50</v>
      </c>
      <c r="I605" s="323" t="s">
        <v>224</v>
      </c>
      <c r="J605" s="323" t="s">
        <v>225</v>
      </c>
      <c r="K605" s="294">
        <v>46180</v>
      </c>
      <c r="L605" s="294">
        <v>46190</v>
      </c>
      <c r="M605" s="284">
        <f>Table1[[#This Row],[Dep Date]]-Table1[[#This Row],[Arr Date]]</f>
        <v>10</v>
      </c>
      <c r="N605" s="323" t="s">
        <v>52</v>
      </c>
      <c r="O605" s="321">
        <v>1</v>
      </c>
      <c r="P605" s="321">
        <v>2</v>
      </c>
      <c r="Q605" s="321"/>
      <c r="R605" s="321"/>
      <c r="S605" s="321" t="s">
        <v>53</v>
      </c>
      <c r="T605" s="326" t="s">
        <v>226</v>
      </c>
      <c r="U605" s="297"/>
      <c r="V605" s="294"/>
      <c r="W605" s="297"/>
      <c r="X605" s="294"/>
      <c r="Y605" s="329"/>
      <c r="Z605" s="329"/>
      <c r="AA605" s="332">
        <f>Table1[[#This Row],[Selling USD]]-Table1[[#This Row],[Cost USD]]</f>
        <v>0</v>
      </c>
      <c r="AB605" s="335">
        <f>Table1[[#This Row],[P/L USD]]*52.87/61.3</f>
        <v>0</v>
      </c>
      <c r="AC605" s="298">
        <v>1020</v>
      </c>
      <c r="AD605" s="299">
        <f>Table1[[#This Row],[Selling EUR]]-Table1[[#This Row],[Cost EUR]]</f>
        <v>1020</v>
      </c>
      <c r="AE605" s="321" t="s">
        <v>54</v>
      </c>
      <c r="AF605" s="294">
        <v>46175</v>
      </c>
      <c r="AG605" s="294"/>
      <c r="AH605" s="321"/>
      <c r="AI605" s="323"/>
      <c r="AJ605" s="338"/>
      <c r="AK605" s="323"/>
      <c r="AL605" s="338"/>
      <c r="AM605" s="338"/>
      <c r="AN605" s="323"/>
      <c r="AO605" s="282"/>
      <c r="AP605" s="306"/>
      <c r="AQ605" s="282"/>
      <c r="AR605" s="282"/>
      <c r="AS605" s="282"/>
      <c r="AT605" s="281"/>
      <c r="AU605" s="281"/>
      <c r="AV605" s="281"/>
      <c r="AW605" s="281"/>
      <c r="AX605" s="281"/>
      <c r="AY605" s="281"/>
      <c r="AZ605" s="281"/>
    </row>
    <row r="606" spans="1:52" ht="15" customHeight="1" x14ac:dyDescent="0.3">
      <c r="A606" s="294">
        <v>46163.041666666599</v>
      </c>
      <c r="B606" s="321" t="s">
        <v>47</v>
      </c>
      <c r="C606" s="321" t="s">
        <v>47</v>
      </c>
      <c r="D606" s="294" t="s">
        <v>48</v>
      </c>
      <c r="E606" s="321" t="s">
        <v>49</v>
      </c>
      <c r="F606" s="295">
        <v>17633202</v>
      </c>
      <c r="G606" s="296"/>
      <c r="H606" s="280" t="s">
        <v>58</v>
      </c>
      <c r="I606" s="323" t="s">
        <v>62</v>
      </c>
      <c r="J606" s="323" t="s">
        <v>63</v>
      </c>
      <c r="K606" s="294">
        <v>46287</v>
      </c>
      <c r="L606" s="294">
        <v>46297</v>
      </c>
      <c r="M606" s="284">
        <f>Table1[[#This Row],[Dep Date]]-Table1[[#This Row],[Arr Date]]</f>
        <v>10</v>
      </c>
      <c r="N606" s="323" t="s">
        <v>52</v>
      </c>
      <c r="O606" s="321">
        <v>1</v>
      </c>
      <c r="P606" s="321">
        <v>2</v>
      </c>
      <c r="Q606" s="321"/>
      <c r="R606" s="321"/>
      <c r="S606" s="321" t="s">
        <v>53</v>
      </c>
      <c r="T606" s="326" t="s">
        <v>2183</v>
      </c>
      <c r="U606" s="297"/>
      <c r="V606" s="294"/>
      <c r="W606" s="297"/>
      <c r="X606" s="294"/>
      <c r="Y606" s="329"/>
      <c r="Z606" s="329"/>
      <c r="AA606" s="332">
        <f>Table1[[#This Row],[Selling USD]]-Table1[[#This Row],[Cost USD]]</f>
        <v>0</v>
      </c>
      <c r="AB606" s="335">
        <f>57*2*9+65*2*1</f>
        <v>1156</v>
      </c>
      <c r="AC606" s="298">
        <v>1304</v>
      </c>
      <c r="AD606" s="299">
        <f>Table1[[#This Row],[Selling EUR]]-Table1[[#This Row],[Cost EUR]]</f>
        <v>148</v>
      </c>
      <c r="AE606" s="321" t="s">
        <v>54</v>
      </c>
      <c r="AF606" s="294">
        <v>46279</v>
      </c>
      <c r="AG606" s="294"/>
      <c r="AH606" s="321"/>
      <c r="AI606" s="323"/>
      <c r="AJ606" s="338"/>
      <c r="AK606" s="323"/>
      <c r="AL606" s="338"/>
      <c r="AM606" s="338"/>
      <c r="AN606" s="323"/>
      <c r="AO606" s="282"/>
      <c r="AP606" s="306"/>
      <c r="AQ606" s="282"/>
      <c r="AR606" s="282"/>
      <c r="AS606" s="282"/>
      <c r="AT606" s="281"/>
      <c r="AU606" s="281"/>
      <c r="AV606" s="281"/>
      <c r="AW606" s="281"/>
      <c r="AX606" s="281"/>
      <c r="AY606" s="281"/>
      <c r="AZ606" s="281"/>
    </row>
    <row r="607" spans="1:52" ht="15" customHeight="1" x14ac:dyDescent="0.3">
      <c r="A607" s="294">
        <v>46163.041666666599</v>
      </c>
      <c r="B607" s="321" t="s">
        <v>47</v>
      </c>
      <c r="C607" s="321" t="s">
        <v>47</v>
      </c>
      <c r="D607" s="294" t="s">
        <v>48</v>
      </c>
      <c r="E607" s="321" t="s">
        <v>138</v>
      </c>
      <c r="F607" s="295">
        <v>17634948</v>
      </c>
      <c r="G607" s="296"/>
      <c r="H607" s="280" t="s">
        <v>84</v>
      </c>
      <c r="I607" s="323" t="s">
        <v>227</v>
      </c>
      <c r="J607" s="323" t="s">
        <v>128</v>
      </c>
      <c r="K607" s="294">
        <v>46250</v>
      </c>
      <c r="L607" s="294">
        <v>46257</v>
      </c>
      <c r="M607" s="284">
        <f>Table1[[#This Row],[Dep Date]]-Table1[[#This Row],[Arr Date]]</f>
        <v>7</v>
      </c>
      <c r="N607" s="323" t="s">
        <v>52</v>
      </c>
      <c r="O607" s="321">
        <v>1</v>
      </c>
      <c r="P607" s="321">
        <v>2</v>
      </c>
      <c r="Q607" s="321"/>
      <c r="R607" s="321"/>
      <c r="S607" s="321" t="s">
        <v>53</v>
      </c>
      <c r="T607" s="326" t="s">
        <v>2184</v>
      </c>
      <c r="U607" s="297"/>
      <c r="V607" s="294"/>
      <c r="W607" s="297"/>
      <c r="X607" s="294"/>
      <c r="Y607" s="329"/>
      <c r="Z607" s="329"/>
      <c r="AA607" s="332">
        <f>Table1[[#This Row],[Selling USD]]-Table1[[#This Row],[Cost USD]]</f>
        <v>0</v>
      </c>
      <c r="AB607" s="335">
        <f>47*2*7</f>
        <v>658</v>
      </c>
      <c r="AC607" s="298">
        <v>686</v>
      </c>
      <c r="AD607" s="299">
        <f>Table1[[#This Row],[Selling EUR]]-Table1[[#This Row],[Cost EUR]]</f>
        <v>28</v>
      </c>
      <c r="AE607" s="321" t="s">
        <v>54</v>
      </c>
      <c r="AF607" s="294">
        <v>46240</v>
      </c>
      <c r="AG607" s="294"/>
      <c r="AH607" s="321"/>
      <c r="AI607" s="323"/>
      <c r="AJ607" s="338"/>
      <c r="AK607" s="323"/>
      <c r="AL607" s="338"/>
      <c r="AM607" s="338"/>
      <c r="AN607" s="323"/>
      <c r="AO607" s="282"/>
      <c r="AP607" s="306"/>
      <c r="AQ607" s="282"/>
      <c r="AR607" s="282"/>
      <c r="AS607" s="282"/>
      <c r="AT607" s="281"/>
      <c r="AU607" s="281"/>
      <c r="AV607" s="281"/>
      <c r="AW607" s="281"/>
      <c r="AX607" s="281"/>
      <c r="AY607" s="281"/>
      <c r="AZ607" s="281"/>
    </row>
    <row r="608" spans="1:52" ht="15" customHeight="1" x14ac:dyDescent="0.3">
      <c r="A608" s="294">
        <v>46163.041666666599</v>
      </c>
      <c r="B608" s="321" t="s">
        <v>47</v>
      </c>
      <c r="C608" s="321" t="s">
        <v>47</v>
      </c>
      <c r="D608" s="294" t="s">
        <v>48</v>
      </c>
      <c r="E608" s="321" t="s">
        <v>138</v>
      </c>
      <c r="F608" s="295">
        <v>17635283</v>
      </c>
      <c r="G608" s="296"/>
      <c r="H608" s="280" t="s">
        <v>84</v>
      </c>
      <c r="I608" s="323" t="s">
        <v>227</v>
      </c>
      <c r="J608" s="323" t="s">
        <v>128</v>
      </c>
      <c r="K608" s="294">
        <v>46250</v>
      </c>
      <c r="L608" s="294">
        <v>46257</v>
      </c>
      <c r="M608" s="284">
        <f>Table1[[#This Row],[Dep Date]]-Table1[[#This Row],[Arr Date]]</f>
        <v>7</v>
      </c>
      <c r="N608" s="323" t="s">
        <v>70</v>
      </c>
      <c r="O608" s="321">
        <v>1</v>
      </c>
      <c r="P608" s="321">
        <v>3</v>
      </c>
      <c r="Q608" s="321"/>
      <c r="R608" s="321"/>
      <c r="S608" s="321" t="s">
        <v>53</v>
      </c>
      <c r="T608" s="326" t="s">
        <v>2185</v>
      </c>
      <c r="U608" s="297"/>
      <c r="V608" s="294"/>
      <c r="W608" s="297"/>
      <c r="X608" s="294"/>
      <c r="Y608" s="329"/>
      <c r="Z608" s="329"/>
      <c r="AA608" s="332">
        <f>Table1[[#This Row],[Selling USD]]-Table1[[#This Row],[Cost USD]]</f>
        <v>0</v>
      </c>
      <c r="AB608" s="335">
        <f>45*3*7</f>
        <v>945</v>
      </c>
      <c r="AC608" s="298">
        <v>987</v>
      </c>
      <c r="AD608" s="299">
        <f>Table1[[#This Row],[Selling EUR]]-Table1[[#This Row],[Cost EUR]]</f>
        <v>42</v>
      </c>
      <c r="AE608" s="321" t="s">
        <v>54</v>
      </c>
      <c r="AF608" s="294">
        <v>46240</v>
      </c>
      <c r="AG608" s="294"/>
      <c r="AH608" s="321"/>
      <c r="AI608" s="323"/>
      <c r="AJ608" s="338"/>
      <c r="AK608" s="323"/>
      <c r="AL608" s="338"/>
      <c r="AM608" s="338"/>
      <c r="AN608" s="323"/>
      <c r="AO608" s="282"/>
      <c r="AP608" s="306"/>
      <c r="AQ608" s="282"/>
      <c r="AR608" s="282"/>
      <c r="AS608" s="282"/>
      <c r="AT608" s="281"/>
      <c r="AU608" s="281"/>
      <c r="AV608" s="281"/>
      <c r="AW608" s="281"/>
      <c r="AX608" s="281"/>
      <c r="AY608" s="281"/>
      <c r="AZ608" s="281"/>
    </row>
    <row r="609" spans="1:52" ht="15" customHeight="1" x14ac:dyDescent="0.3">
      <c r="A609" s="294">
        <v>46169.041666666599</v>
      </c>
      <c r="B609" s="321" t="s">
        <v>47</v>
      </c>
      <c r="C609" s="321" t="s">
        <v>47</v>
      </c>
      <c r="D609" s="294" t="s">
        <v>48</v>
      </c>
      <c r="E609" s="321" t="s">
        <v>138</v>
      </c>
      <c r="F609" s="295">
        <v>17655157</v>
      </c>
      <c r="G609" s="296"/>
      <c r="H609" s="280" t="s">
        <v>84</v>
      </c>
      <c r="I609" s="323" t="s">
        <v>168</v>
      </c>
      <c r="J609" s="323" t="s">
        <v>191</v>
      </c>
      <c r="K609" s="294">
        <v>46269</v>
      </c>
      <c r="L609" s="294">
        <v>46278</v>
      </c>
      <c r="M609" s="284">
        <f>Table1[[#This Row],[Dep Date]]-Table1[[#This Row],[Arr Date]]</f>
        <v>9</v>
      </c>
      <c r="N609" s="323" t="s">
        <v>52</v>
      </c>
      <c r="O609" s="321">
        <v>1</v>
      </c>
      <c r="P609" s="321">
        <v>2</v>
      </c>
      <c r="Q609" s="321"/>
      <c r="R609" s="321"/>
      <c r="S609" s="321" t="s">
        <v>53</v>
      </c>
      <c r="T609" s="326" t="s">
        <v>2186</v>
      </c>
      <c r="U609" s="297"/>
      <c r="V609" s="294"/>
      <c r="W609" s="297"/>
      <c r="X609" s="294"/>
      <c r="Y609" s="329"/>
      <c r="Z609" s="329"/>
      <c r="AA609" s="332">
        <f>Table1[[#This Row],[Selling USD]]-Table1[[#This Row],[Cost USD]]</f>
        <v>0</v>
      </c>
      <c r="AB609" s="335">
        <f>55*2*9</f>
        <v>990</v>
      </c>
      <c r="AC609" s="298">
        <v>1026</v>
      </c>
      <c r="AD609" s="299">
        <f>Table1[[#This Row],[Selling EUR]]-Table1[[#This Row],[Cost EUR]]</f>
        <v>36</v>
      </c>
      <c r="AE609" s="321" t="s">
        <v>54</v>
      </c>
      <c r="AF609" s="294">
        <v>46259</v>
      </c>
      <c r="AG609" s="294"/>
      <c r="AH609" s="321"/>
      <c r="AI609" s="323"/>
      <c r="AJ609" s="338"/>
      <c r="AK609" s="323"/>
      <c r="AL609" s="338"/>
      <c r="AM609" s="338"/>
      <c r="AN609" s="323"/>
      <c r="AO609" s="282"/>
      <c r="AP609" s="306"/>
      <c r="AQ609" s="282"/>
      <c r="AR609" s="282"/>
      <c r="AS609" s="282"/>
      <c r="AT609" s="281"/>
      <c r="AU609" s="281"/>
      <c r="AV609" s="281"/>
      <c r="AW609" s="281"/>
      <c r="AX609" s="281"/>
      <c r="AY609" s="281"/>
      <c r="AZ609" s="281"/>
    </row>
    <row r="610" spans="1:52" ht="15" customHeight="1" x14ac:dyDescent="0.3">
      <c r="A610" s="294">
        <v>46170.041666666599</v>
      </c>
      <c r="B610" s="321" t="s">
        <v>73</v>
      </c>
      <c r="C610" s="321" t="s">
        <v>73</v>
      </c>
      <c r="D610" s="294" t="s">
        <v>79</v>
      </c>
      <c r="E610" s="321" t="s">
        <v>138</v>
      </c>
      <c r="F610" s="295">
        <v>17723486</v>
      </c>
      <c r="G610" s="296">
        <v>20303774</v>
      </c>
      <c r="H610" s="280" t="s">
        <v>84</v>
      </c>
      <c r="I610" s="323" t="s">
        <v>183</v>
      </c>
      <c r="J610" s="323" t="s">
        <v>1402</v>
      </c>
      <c r="K610" s="294">
        <v>46276</v>
      </c>
      <c r="L610" s="294">
        <v>46283</v>
      </c>
      <c r="M610" s="284">
        <f>Table1[[#This Row],[Dep Date]]-Table1[[#This Row],[Arr Date]]</f>
        <v>7</v>
      </c>
      <c r="N610" s="323" t="s">
        <v>52</v>
      </c>
      <c r="O610" s="321">
        <v>1</v>
      </c>
      <c r="P610" s="321">
        <v>2</v>
      </c>
      <c r="Q610" s="321"/>
      <c r="R610" s="321"/>
      <c r="S610" s="321" t="s">
        <v>53</v>
      </c>
      <c r="T610" s="326" t="s">
        <v>2187</v>
      </c>
      <c r="U610" s="297"/>
      <c r="V610" s="294"/>
      <c r="W610" s="297"/>
      <c r="X610" s="294"/>
      <c r="Y610" s="329"/>
      <c r="Z610" s="329"/>
      <c r="AA610" s="332">
        <f>Table1[[#This Row],[Selling USD]]-Table1[[#This Row],[Cost USD]]</f>
        <v>0</v>
      </c>
      <c r="AB610" s="335"/>
      <c r="AC610" s="298"/>
      <c r="AD610" s="299">
        <f>Table1[[#This Row],[Selling EUR]]-Table1[[#This Row],[Cost EUR]]</f>
        <v>0</v>
      </c>
      <c r="AE610" s="321"/>
      <c r="AF610" s="294"/>
      <c r="AG610" s="294"/>
      <c r="AH610" s="321"/>
      <c r="AI610" s="323"/>
      <c r="AJ610" s="338"/>
      <c r="AK610" s="323"/>
      <c r="AL610" s="338"/>
      <c r="AM610" s="338"/>
      <c r="AN610" s="323"/>
      <c r="AO610" s="282"/>
      <c r="AP610" s="306"/>
      <c r="AQ610" s="282"/>
      <c r="AR610" s="282"/>
      <c r="AS610" s="282"/>
      <c r="AT610" s="281"/>
      <c r="AU610" s="281"/>
      <c r="AV610" s="281"/>
      <c r="AW610" s="281"/>
      <c r="AX610" s="281"/>
      <c r="AY610" s="281"/>
      <c r="AZ610" s="281"/>
    </row>
    <row r="611" spans="1:52" ht="15" customHeight="1" x14ac:dyDescent="0.3">
      <c r="A611" s="294">
        <v>46171.041666666599</v>
      </c>
      <c r="B611" s="321" t="s">
        <v>47</v>
      </c>
      <c r="C611" s="321" t="s">
        <v>47</v>
      </c>
      <c r="D611" s="294" t="s">
        <v>48</v>
      </c>
      <c r="E611" s="321" t="s">
        <v>138</v>
      </c>
      <c r="F611" s="295">
        <v>17661830</v>
      </c>
      <c r="G611" s="296"/>
      <c r="H611" s="280" t="s">
        <v>84</v>
      </c>
      <c r="I611" s="323" t="s">
        <v>227</v>
      </c>
      <c r="J611" s="323" t="s">
        <v>128</v>
      </c>
      <c r="K611" s="294">
        <v>46287</v>
      </c>
      <c r="L611" s="294">
        <v>46297</v>
      </c>
      <c r="M611" s="284">
        <f>Table1[[#This Row],[Dep Date]]-Table1[[#This Row],[Arr Date]]</f>
        <v>10</v>
      </c>
      <c r="N611" s="323" t="s">
        <v>52</v>
      </c>
      <c r="O611" s="321">
        <v>1</v>
      </c>
      <c r="P611" s="321">
        <v>2</v>
      </c>
      <c r="Q611" s="321"/>
      <c r="R611" s="321"/>
      <c r="S611" s="321" t="s">
        <v>53</v>
      </c>
      <c r="T611" s="326" t="s">
        <v>2188</v>
      </c>
      <c r="U611" s="297"/>
      <c r="V611" s="294"/>
      <c r="W611" s="297"/>
      <c r="X611" s="294"/>
      <c r="Y611" s="329"/>
      <c r="Z611" s="329"/>
      <c r="AA611" s="332">
        <f>Table1[[#This Row],[Selling USD]]-Table1[[#This Row],[Cost USD]]</f>
        <v>0</v>
      </c>
      <c r="AB611" s="335">
        <f>43*2*10</f>
        <v>860</v>
      </c>
      <c r="AC611" s="298">
        <v>900</v>
      </c>
      <c r="AD611" s="299">
        <f>Table1[[#This Row],[Selling EUR]]-Table1[[#This Row],[Cost EUR]]</f>
        <v>40</v>
      </c>
      <c r="AE611" s="321" t="s">
        <v>54</v>
      </c>
      <c r="AF611" s="294">
        <v>46275</v>
      </c>
      <c r="AG611" s="294"/>
      <c r="AH611" s="321"/>
      <c r="AI611" s="323"/>
      <c r="AJ611" s="338"/>
      <c r="AK611" s="323"/>
      <c r="AL611" s="338"/>
      <c r="AM611" s="338"/>
      <c r="AN611" s="323"/>
      <c r="AO611" s="282"/>
      <c r="AP611" s="306"/>
      <c r="AQ611" s="282"/>
      <c r="AR611" s="282"/>
      <c r="AS611" s="282"/>
      <c r="AT611" s="281"/>
      <c r="AU611" s="281"/>
      <c r="AV611" s="281"/>
      <c r="AW611" s="281"/>
      <c r="AX611" s="281"/>
      <c r="AY611" s="281"/>
      <c r="AZ611" s="281"/>
    </row>
    <row r="612" spans="1:52" ht="15" customHeight="1" x14ac:dyDescent="0.3">
      <c r="A612" s="294">
        <v>46174</v>
      </c>
      <c r="B612" s="321" t="s">
        <v>47</v>
      </c>
      <c r="C612" s="321" t="s">
        <v>47</v>
      </c>
      <c r="D612" s="294" t="s">
        <v>48</v>
      </c>
      <c r="E612" s="321" t="s">
        <v>138</v>
      </c>
      <c r="F612" s="295">
        <v>17668940</v>
      </c>
      <c r="G612" s="296"/>
      <c r="H612" s="280" t="s">
        <v>84</v>
      </c>
      <c r="I612" s="323" t="s">
        <v>227</v>
      </c>
      <c r="J612" s="323" t="s">
        <v>128</v>
      </c>
      <c r="K612" s="294">
        <v>46285</v>
      </c>
      <c r="L612" s="294">
        <v>46299</v>
      </c>
      <c r="M612" s="284">
        <f>Table1[[#This Row],[Dep Date]]-Table1[[#This Row],[Arr Date]]</f>
        <v>14</v>
      </c>
      <c r="N612" s="323" t="s">
        <v>52</v>
      </c>
      <c r="O612" s="321">
        <v>1</v>
      </c>
      <c r="P612" s="321">
        <v>2</v>
      </c>
      <c r="Q612" s="321"/>
      <c r="R612" s="321"/>
      <c r="S612" s="321" t="s">
        <v>53</v>
      </c>
      <c r="T612" s="326" t="s">
        <v>2189</v>
      </c>
      <c r="U612" s="297"/>
      <c r="V612" s="294"/>
      <c r="W612" s="297"/>
      <c r="X612" s="294"/>
      <c r="Y612" s="329"/>
      <c r="Z612" s="329"/>
      <c r="AA612" s="332">
        <f>Table1[[#This Row],[Selling USD]]-Table1[[#This Row],[Cost USD]]</f>
        <v>0</v>
      </c>
      <c r="AB612" s="335">
        <f>43*2*14</f>
        <v>1204</v>
      </c>
      <c r="AC612" s="298">
        <v>1260</v>
      </c>
      <c r="AD612" s="299">
        <f>Table1[[#This Row],[Selling EUR]]-Table1[[#This Row],[Cost EUR]]</f>
        <v>56</v>
      </c>
      <c r="AE612" s="321" t="s">
        <v>54</v>
      </c>
      <c r="AF612" s="294">
        <v>46275</v>
      </c>
      <c r="AG612" s="294"/>
      <c r="AH612" s="321"/>
      <c r="AI612" s="323"/>
      <c r="AJ612" s="338"/>
      <c r="AK612" s="323"/>
      <c r="AL612" s="338"/>
      <c r="AM612" s="338"/>
      <c r="AN612" s="323"/>
      <c r="AO612" s="282"/>
      <c r="AP612" s="306"/>
      <c r="AQ612" s="282"/>
      <c r="AR612" s="282"/>
      <c r="AS612" s="282"/>
      <c r="AT612" s="281"/>
      <c r="AU612" s="281"/>
      <c r="AV612" s="281"/>
      <c r="AW612" s="281"/>
      <c r="AX612" s="281"/>
      <c r="AY612" s="281"/>
      <c r="AZ612" s="281"/>
    </row>
    <row r="613" spans="1:52" ht="15" customHeight="1" x14ac:dyDescent="0.3">
      <c r="A613" s="294">
        <v>46174</v>
      </c>
      <c r="B613" s="321" t="s">
        <v>47</v>
      </c>
      <c r="C613" s="321" t="s">
        <v>47</v>
      </c>
      <c r="D613" s="294" t="s">
        <v>48</v>
      </c>
      <c r="E613" s="321" t="s">
        <v>49</v>
      </c>
      <c r="F613" s="295">
        <v>17670350</v>
      </c>
      <c r="G613" s="296"/>
      <c r="H613" s="280" t="s">
        <v>58</v>
      </c>
      <c r="I613" s="323" t="s">
        <v>62</v>
      </c>
      <c r="J613" s="323" t="s">
        <v>63</v>
      </c>
      <c r="K613" s="294">
        <v>46334</v>
      </c>
      <c r="L613" s="294">
        <v>46341</v>
      </c>
      <c r="M613" s="284">
        <f>Table1[[#This Row],[Dep Date]]-Table1[[#This Row],[Arr Date]]</f>
        <v>7</v>
      </c>
      <c r="N613" s="323" t="s">
        <v>52</v>
      </c>
      <c r="O613" s="321">
        <v>2</v>
      </c>
      <c r="P613" s="321">
        <v>4</v>
      </c>
      <c r="Q613" s="321"/>
      <c r="R613" s="321"/>
      <c r="S613" s="321" t="s">
        <v>53</v>
      </c>
      <c r="T613" s="326" t="s">
        <v>2190</v>
      </c>
      <c r="U613" s="297"/>
      <c r="V613" s="294"/>
      <c r="W613" s="297"/>
      <c r="X613" s="294"/>
      <c r="Y613" s="329"/>
      <c r="Z613" s="329"/>
      <c r="AA613" s="332">
        <f>Table1[[#This Row],[Selling USD]]-Table1[[#This Row],[Cost USD]]</f>
        <v>0</v>
      </c>
      <c r="AB613" s="335">
        <f>78*2*0.9*7*2</f>
        <v>1965.6000000000001</v>
      </c>
      <c r="AC613" s="298">
        <v>2016</v>
      </c>
      <c r="AD613" s="299">
        <f>Table1[[#This Row],[Selling EUR]]-Table1[[#This Row],[Cost EUR]]</f>
        <v>50.399999999999864</v>
      </c>
      <c r="AE613" s="321" t="s">
        <v>54</v>
      </c>
      <c r="AF613" s="294">
        <v>46327</v>
      </c>
      <c r="AG613" s="294"/>
      <c r="AH613" s="321"/>
      <c r="AI613" s="323"/>
      <c r="AJ613" s="338"/>
      <c r="AK613" s="323"/>
      <c r="AL613" s="338"/>
      <c r="AM613" s="338"/>
      <c r="AN613" s="323"/>
      <c r="AO613" s="282"/>
      <c r="AP613" s="306"/>
      <c r="AQ613" s="282"/>
      <c r="AR613" s="282"/>
      <c r="AS613" s="282"/>
      <c r="AT613" s="281"/>
      <c r="AU613" s="281"/>
      <c r="AV613" s="281"/>
      <c r="AW613" s="281"/>
      <c r="AX613" s="281"/>
      <c r="AY613" s="281"/>
      <c r="AZ613" s="281"/>
    </row>
    <row r="614" spans="1:52" ht="15" customHeight="1" x14ac:dyDescent="0.3">
      <c r="A614" s="294">
        <v>46175</v>
      </c>
      <c r="B614" s="321" t="s">
        <v>47</v>
      </c>
      <c r="C614" s="321" t="s">
        <v>47</v>
      </c>
      <c r="D614" s="294" t="s">
        <v>48</v>
      </c>
      <c r="E614" s="321" t="s">
        <v>138</v>
      </c>
      <c r="F614" s="295">
        <v>17676704</v>
      </c>
      <c r="G614" s="296"/>
      <c r="H614" s="280" t="s">
        <v>84</v>
      </c>
      <c r="I614" s="323" t="s">
        <v>227</v>
      </c>
      <c r="J614" s="323" t="s">
        <v>2652</v>
      </c>
      <c r="K614" s="294">
        <v>46266</v>
      </c>
      <c r="L614" s="294">
        <v>46275</v>
      </c>
      <c r="M614" s="284">
        <f>Table1[[#This Row],[Dep Date]]-Table1[[#This Row],[Arr Date]]</f>
        <v>9</v>
      </c>
      <c r="N614" s="323" t="s">
        <v>52</v>
      </c>
      <c r="O614" s="321">
        <v>1</v>
      </c>
      <c r="P614" s="321">
        <v>2</v>
      </c>
      <c r="Q614" s="321"/>
      <c r="R614" s="321"/>
      <c r="S614" s="321" t="s">
        <v>53</v>
      </c>
      <c r="T614" s="326" t="s">
        <v>2191</v>
      </c>
      <c r="U614" s="297"/>
      <c r="V614" s="294"/>
      <c r="W614" s="297"/>
      <c r="X614" s="294"/>
      <c r="Y614" s="329"/>
      <c r="Z614" s="329"/>
      <c r="AA614" s="332">
        <f>Table1[[#This Row],[Selling USD]]-Table1[[#This Row],[Cost USD]]</f>
        <v>0</v>
      </c>
      <c r="AB614" s="335">
        <f>48*2*9</f>
        <v>864</v>
      </c>
      <c r="AC614" s="298">
        <v>900</v>
      </c>
      <c r="AD614" s="299">
        <f>Table1[[#This Row],[Selling EUR]]-Table1[[#This Row],[Cost EUR]]</f>
        <v>36</v>
      </c>
      <c r="AE614" s="321" t="s">
        <v>54</v>
      </c>
      <c r="AF614" s="294">
        <v>46257</v>
      </c>
      <c r="AG614" s="294"/>
      <c r="AH614" s="321"/>
      <c r="AI614" s="323"/>
      <c r="AJ614" s="338"/>
      <c r="AK614" s="323"/>
      <c r="AL614" s="338"/>
      <c r="AM614" s="338"/>
      <c r="AN614" s="323"/>
      <c r="AO614" s="282"/>
      <c r="AP614" s="306"/>
      <c r="AQ614" s="282"/>
      <c r="AR614" s="282"/>
      <c r="AS614" s="282"/>
      <c r="AT614" s="281"/>
      <c r="AU614" s="281"/>
      <c r="AV614" s="281"/>
      <c r="AW614" s="281"/>
      <c r="AX614" s="281"/>
      <c r="AY614" s="281"/>
      <c r="AZ614" s="281"/>
    </row>
    <row r="615" spans="1:52" ht="15" customHeight="1" x14ac:dyDescent="0.3">
      <c r="A615" s="294">
        <v>46175</v>
      </c>
      <c r="B615" s="321" t="s">
        <v>47</v>
      </c>
      <c r="C615" s="321" t="s">
        <v>47</v>
      </c>
      <c r="D615" s="294" t="s">
        <v>48</v>
      </c>
      <c r="E615" s="321" t="s">
        <v>138</v>
      </c>
      <c r="F615" s="295">
        <v>17676646</v>
      </c>
      <c r="G615" s="296"/>
      <c r="H615" s="280" t="s">
        <v>84</v>
      </c>
      <c r="I615" s="323" t="s">
        <v>227</v>
      </c>
      <c r="J615" s="323" t="s">
        <v>128</v>
      </c>
      <c r="K615" s="294">
        <v>46279</v>
      </c>
      <c r="L615" s="294">
        <v>46286</v>
      </c>
      <c r="M615" s="284">
        <f>Table1[[#This Row],[Dep Date]]-Table1[[#This Row],[Arr Date]]</f>
        <v>7</v>
      </c>
      <c r="N615" s="323" t="s">
        <v>52</v>
      </c>
      <c r="O615" s="321">
        <v>1</v>
      </c>
      <c r="P615" s="321">
        <v>2</v>
      </c>
      <c r="Q615" s="321"/>
      <c r="R615" s="321"/>
      <c r="S615" s="321" t="s">
        <v>53</v>
      </c>
      <c r="T615" s="326" t="s">
        <v>2192</v>
      </c>
      <c r="U615" s="297"/>
      <c r="V615" s="294"/>
      <c r="W615" s="297"/>
      <c r="X615" s="294"/>
      <c r="Y615" s="329"/>
      <c r="Z615" s="329"/>
      <c r="AA615" s="332">
        <f>Table1[[#This Row],[Selling USD]]-Table1[[#This Row],[Cost USD]]</f>
        <v>0</v>
      </c>
      <c r="AB615" s="335">
        <f>43*2*7</f>
        <v>602</v>
      </c>
      <c r="AC615" s="298">
        <v>630</v>
      </c>
      <c r="AD615" s="299">
        <f>Table1[[#This Row],[Selling EUR]]-Table1[[#This Row],[Cost EUR]]</f>
        <v>28</v>
      </c>
      <c r="AE615" s="321" t="s">
        <v>54</v>
      </c>
      <c r="AF615" s="294">
        <v>46272</v>
      </c>
      <c r="AG615" s="294"/>
      <c r="AH615" s="321"/>
      <c r="AI615" s="323"/>
      <c r="AJ615" s="338"/>
      <c r="AK615" s="323"/>
      <c r="AL615" s="338"/>
      <c r="AM615" s="338"/>
      <c r="AN615" s="323"/>
      <c r="AO615" s="282"/>
      <c r="AP615" s="306"/>
      <c r="AQ615" s="282"/>
      <c r="AR615" s="282"/>
      <c r="AS615" s="282"/>
      <c r="AT615" s="281"/>
      <c r="AU615" s="281"/>
      <c r="AV615" s="281"/>
      <c r="AW615" s="281"/>
      <c r="AX615" s="281"/>
      <c r="AY615" s="281"/>
      <c r="AZ615" s="281"/>
    </row>
    <row r="616" spans="1:52" ht="15" customHeight="1" x14ac:dyDescent="0.3">
      <c r="A616" s="294">
        <v>46175</v>
      </c>
      <c r="B616" s="321" t="s">
        <v>47</v>
      </c>
      <c r="C616" s="321" t="s">
        <v>47</v>
      </c>
      <c r="D616" s="294" t="s">
        <v>48</v>
      </c>
      <c r="E616" s="321" t="s">
        <v>49</v>
      </c>
      <c r="F616" s="295">
        <v>17677410</v>
      </c>
      <c r="G616" s="296"/>
      <c r="H616" s="280" t="s">
        <v>2650</v>
      </c>
      <c r="I616" s="323" t="s">
        <v>201</v>
      </c>
      <c r="J616" s="323" t="s">
        <v>2574</v>
      </c>
      <c r="K616" s="294">
        <v>46271</v>
      </c>
      <c r="L616" s="294">
        <v>46278</v>
      </c>
      <c r="M616" s="284">
        <f>Table1[[#This Row],[Dep Date]]-Table1[[#This Row],[Arr Date]]</f>
        <v>7</v>
      </c>
      <c r="N616" s="323" t="s">
        <v>52</v>
      </c>
      <c r="O616" s="321">
        <v>1</v>
      </c>
      <c r="P616" s="321">
        <v>2</v>
      </c>
      <c r="Q616" s="321"/>
      <c r="R616" s="321"/>
      <c r="S616" s="321" t="s">
        <v>53</v>
      </c>
      <c r="T616" s="326" t="s">
        <v>2193</v>
      </c>
      <c r="U616" s="297"/>
      <c r="V616" s="294"/>
      <c r="W616" s="297"/>
      <c r="X616" s="294"/>
      <c r="Y616" s="329"/>
      <c r="Z616" s="329"/>
      <c r="AA616" s="332">
        <f>Table1[[#This Row],[Selling USD]]-Table1[[#This Row],[Cost USD]]</f>
        <v>0</v>
      </c>
      <c r="AB616" s="335">
        <f>70*2*7</f>
        <v>980</v>
      </c>
      <c r="AC616" s="298">
        <v>1078</v>
      </c>
      <c r="AD616" s="299">
        <f>Table1[[#This Row],[Selling EUR]]-Table1[[#This Row],[Cost EUR]]</f>
        <v>98</v>
      </c>
      <c r="AE616" s="321" t="s">
        <v>54</v>
      </c>
      <c r="AF616" s="294">
        <v>46260</v>
      </c>
      <c r="AG616" s="294"/>
      <c r="AH616" s="321"/>
      <c r="AI616" s="323"/>
      <c r="AJ616" s="338"/>
      <c r="AK616" s="323"/>
      <c r="AL616" s="338"/>
      <c r="AM616" s="338"/>
      <c r="AN616" s="323"/>
      <c r="AO616" s="282"/>
      <c r="AP616" s="306"/>
      <c r="AQ616" s="282"/>
      <c r="AR616" s="282"/>
      <c r="AS616" s="282"/>
      <c r="AT616" s="281"/>
      <c r="AU616" s="281"/>
      <c r="AV616" s="281"/>
      <c r="AW616" s="281"/>
      <c r="AX616" s="281"/>
      <c r="AY616" s="281"/>
      <c r="AZ616" s="281"/>
    </row>
    <row r="617" spans="1:52" ht="15" customHeight="1" x14ac:dyDescent="0.3">
      <c r="A617" s="294">
        <v>46176</v>
      </c>
      <c r="B617" s="321" t="s">
        <v>47</v>
      </c>
      <c r="C617" s="321" t="s">
        <v>47</v>
      </c>
      <c r="D617" s="294" t="s">
        <v>79</v>
      </c>
      <c r="E617" s="321" t="s">
        <v>138</v>
      </c>
      <c r="F617" s="295">
        <v>17841067</v>
      </c>
      <c r="G617" s="296">
        <v>20303775</v>
      </c>
      <c r="H617" s="280" t="s">
        <v>84</v>
      </c>
      <c r="I617" s="323" t="s">
        <v>2611</v>
      </c>
      <c r="J617" s="323" t="s">
        <v>1402</v>
      </c>
      <c r="K617" s="294">
        <v>46276</v>
      </c>
      <c r="L617" s="294">
        <v>46283</v>
      </c>
      <c r="M617" s="284">
        <f>Table1[[#This Row],[Dep Date]]-Table1[[#This Row],[Arr Date]]</f>
        <v>7</v>
      </c>
      <c r="N617" s="323" t="s">
        <v>52</v>
      </c>
      <c r="O617" s="321">
        <v>1</v>
      </c>
      <c r="P617" s="321">
        <v>2</v>
      </c>
      <c r="Q617" s="321"/>
      <c r="R617" s="321"/>
      <c r="S617" s="321" t="s">
        <v>53</v>
      </c>
      <c r="T617" s="326" t="s">
        <v>2187</v>
      </c>
      <c r="U617" s="297"/>
      <c r="V617" s="294"/>
      <c r="W617" s="297"/>
      <c r="X617" s="294"/>
      <c r="Y617" s="329"/>
      <c r="Z617" s="329"/>
      <c r="AA617" s="332">
        <f>Table1[[#This Row],[Selling USD]]-Table1[[#This Row],[Cost USD]]</f>
        <v>0</v>
      </c>
      <c r="AB617" s="335">
        <f>31*2*7</f>
        <v>434</v>
      </c>
      <c r="AC617" s="298">
        <v>462</v>
      </c>
      <c r="AD617" s="299">
        <f>Table1[[#This Row],[Selling EUR]]-Table1[[#This Row],[Cost EUR]]</f>
        <v>28</v>
      </c>
      <c r="AE617" s="321" t="s">
        <v>54</v>
      </c>
      <c r="AF617" s="294">
        <v>46266</v>
      </c>
      <c r="AG617" s="294"/>
      <c r="AH617" s="321"/>
      <c r="AI617" s="323"/>
      <c r="AJ617" s="338"/>
      <c r="AK617" s="323"/>
      <c r="AL617" s="338"/>
      <c r="AM617" s="338"/>
      <c r="AN617" s="323"/>
      <c r="AO617" s="282"/>
      <c r="AP617" s="306"/>
      <c r="AQ617" s="282"/>
      <c r="AR617" s="282"/>
      <c r="AS617" s="282"/>
      <c r="AT617" s="281"/>
      <c r="AU617" s="281"/>
      <c r="AV617" s="281"/>
      <c r="AW617" s="281"/>
      <c r="AX617" s="281"/>
      <c r="AY617" s="281"/>
      <c r="AZ617" s="281"/>
    </row>
    <row r="618" spans="1:52" ht="15" customHeight="1" x14ac:dyDescent="0.3">
      <c r="A618" s="294">
        <v>46181</v>
      </c>
      <c r="B618" s="321" t="s">
        <v>47</v>
      </c>
      <c r="C618" s="321" t="s">
        <v>47</v>
      </c>
      <c r="D618" s="294" t="s">
        <v>48</v>
      </c>
      <c r="E618" s="321" t="s">
        <v>138</v>
      </c>
      <c r="F618" s="295">
        <v>17695662</v>
      </c>
      <c r="G618" s="296"/>
      <c r="H618" s="280" t="s">
        <v>84</v>
      </c>
      <c r="I618" s="323" t="s">
        <v>227</v>
      </c>
      <c r="J618" s="323" t="s">
        <v>2653</v>
      </c>
      <c r="K618" s="294">
        <v>46251</v>
      </c>
      <c r="L618" s="294">
        <v>46261</v>
      </c>
      <c r="M618" s="284">
        <f>Table1[[#This Row],[Dep Date]]-Table1[[#This Row],[Arr Date]]</f>
        <v>10</v>
      </c>
      <c r="N618" s="323" t="s">
        <v>52</v>
      </c>
      <c r="O618" s="321">
        <v>2</v>
      </c>
      <c r="P618" s="321">
        <v>4</v>
      </c>
      <c r="Q618" s="321"/>
      <c r="R618" s="321"/>
      <c r="S618" s="321" t="s">
        <v>53</v>
      </c>
      <c r="T618" s="326" t="s">
        <v>2194</v>
      </c>
      <c r="U618" s="297"/>
      <c r="V618" s="294"/>
      <c r="W618" s="297"/>
      <c r="X618" s="294"/>
      <c r="Y618" s="329"/>
      <c r="Z618" s="329"/>
      <c r="AA618" s="332">
        <f>Table1[[#This Row],[Selling USD]]-Table1[[#This Row],[Cost USD]]</f>
        <v>0</v>
      </c>
      <c r="AB618" s="335">
        <f>47*2*10*2</f>
        <v>1880</v>
      </c>
      <c r="AC618" s="298">
        <v>1960</v>
      </c>
      <c r="AD618" s="299">
        <f>Table1[[#This Row],[Selling EUR]]-Table1[[#This Row],[Cost EUR]]</f>
        <v>80</v>
      </c>
      <c r="AE618" s="321" t="s">
        <v>54</v>
      </c>
      <c r="AF618" s="294">
        <v>46244</v>
      </c>
      <c r="AG618" s="294"/>
      <c r="AH618" s="321"/>
      <c r="AI618" s="323"/>
      <c r="AJ618" s="338"/>
      <c r="AK618" s="323"/>
      <c r="AL618" s="338"/>
      <c r="AM618" s="338"/>
      <c r="AN618" s="323"/>
      <c r="AO618" s="282"/>
      <c r="AP618" s="306"/>
      <c r="AQ618" s="282"/>
      <c r="AR618" s="282"/>
      <c r="AS618" s="282"/>
      <c r="AT618" s="281"/>
      <c r="AU618" s="281"/>
      <c r="AV618" s="281"/>
      <c r="AW618" s="281"/>
      <c r="AX618" s="281"/>
      <c r="AY618" s="281"/>
      <c r="AZ618" s="281"/>
    </row>
    <row r="619" spans="1:52" ht="15" customHeight="1" x14ac:dyDescent="0.3">
      <c r="A619" s="294">
        <v>46177</v>
      </c>
      <c r="B619" s="321" t="s">
        <v>47</v>
      </c>
      <c r="C619" s="321" t="s">
        <v>47</v>
      </c>
      <c r="D619" s="294" t="s">
        <v>48</v>
      </c>
      <c r="E619" s="321" t="s">
        <v>138</v>
      </c>
      <c r="F619" s="295">
        <v>17685114</v>
      </c>
      <c r="G619" s="296"/>
      <c r="H619" s="280" t="s">
        <v>84</v>
      </c>
      <c r="I619" s="323" t="s">
        <v>168</v>
      </c>
      <c r="J619" s="323" t="s">
        <v>2632</v>
      </c>
      <c r="K619" s="294">
        <v>46283</v>
      </c>
      <c r="L619" s="294">
        <v>46290</v>
      </c>
      <c r="M619" s="284">
        <f>Table1[[#This Row],[Dep Date]]-Table1[[#This Row],[Arr Date]]</f>
        <v>7</v>
      </c>
      <c r="N619" s="323" t="s">
        <v>52</v>
      </c>
      <c r="O619" s="321">
        <v>2</v>
      </c>
      <c r="P619" s="321">
        <v>4</v>
      </c>
      <c r="Q619" s="321"/>
      <c r="R619" s="321">
        <v>1</v>
      </c>
      <c r="S619" s="321" t="s">
        <v>53</v>
      </c>
      <c r="T619" s="326" t="s">
        <v>2195</v>
      </c>
      <c r="U619" s="297">
        <v>2</v>
      </c>
      <c r="V619" s="294"/>
      <c r="W619" s="297"/>
      <c r="X619" s="294"/>
      <c r="Y619" s="329"/>
      <c r="Z619" s="329"/>
      <c r="AA619" s="332">
        <f>Table1[[#This Row],[Selling USD]]-Table1[[#This Row],[Cost USD]]</f>
        <v>0</v>
      </c>
      <c r="AB619" s="335">
        <f>55*2*7*2</f>
        <v>1540</v>
      </c>
      <c r="AC619" s="298">
        <v>1610</v>
      </c>
      <c r="AD619" s="299">
        <f>Table1[[#This Row],[Selling EUR]]-Table1[[#This Row],[Cost EUR]]</f>
        <v>70</v>
      </c>
      <c r="AE619" s="321" t="s">
        <v>54</v>
      </c>
      <c r="AF619" s="294">
        <v>46275</v>
      </c>
      <c r="AG619" s="294"/>
      <c r="AH619" s="321"/>
      <c r="AI619" s="323"/>
      <c r="AJ619" s="338"/>
      <c r="AK619" s="323"/>
      <c r="AL619" s="338"/>
      <c r="AM619" s="338"/>
      <c r="AN619" s="323"/>
      <c r="AO619" s="282"/>
      <c r="AP619" s="306"/>
      <c r="AQ619" s="282"/>
      <c r="AR619" s="282"/>
      <c r="AS619" s="282"/>
      <c r="AT619" s="281"/>
      <c r="AU619" s="281"/>
      <c r="AV619" s="281"/>
      <c r="AW619" s="281"/>
      <c r="AX619" s="281"/>
      <c r="AY619" s="281"/>
      <c r="AZ619" s="281"/>
    </row>
    <row r="620" spans="1:52" ht="15" customHeight="1" x14ac:dyDescent="0.3">
      <c r="A620" s="294">
        <v>46179</v>
      </c>
      <c r="B620" s="321" t="s">
        <v>47</v>
      </c>
      <c r="C620" s="321" t="s">
        <v>47</v>
      </c>
      <c r="D620" s="294" t="s">
        <v>48</v>
      </c>
      <c r="E620" s="321" t="s">
        <v>49</v>
      </c>
      <c r="F620" s="295">
        <v>17690066</v>
      </c>
      <c r="G620" s="296"/>
      <c r="H620" s="280" t="s">
        <v>58</v>
      </c>
      <c r="I620" s="323" t="s">
        <v>189</v>
      </c>
      <c r="J620" s="323" t="s">
        <v>2620</v>
      </c>
      <c r="K620" s="294">
        <v>46266</v>
      </c>
      <c r="L620" s="294">
        <v>46276</v>
      </c>
      <c r="M620" s="284">
        <f>Table1[[#This Row],[Dep Date]]-Table1[[#This Row],[Arr Date]]</f>
        <v>10</v>
      </c>
      <c r="N620" s="323" t="s">
        <v>52</v>
      </c>
      <c r="O620" s="321">
        <v>1</v>
      </c>
      <c r="P620" s="321">
        <v>2</v>
      </c>
      <c r="Q620" s="321">
        <v>1</v>
      </c>
      <c r="R620" s="321"/>
      <c r="S620" s="321" t="s">
        <v>53</v>
      </c>
      <c r="T620" s="326" t="s">
        <v>2196</v>
      </c>
      <c r="U620" s="297">
        <v>3</v>
      </c>
      <c r="V620" s="294"/>
      <c r="W620" s="297"/>
      <c r="X620" s="294"/>
      <c r="Y620" s="329"/>
      <c r="Z620" s="329"/>
      <c r="AA620" s="332">
        <f>Table1[[#This Row],[Selling USD]]-Table1[[#This Row],[Cost USD]]</f>
        <v>0</v>
      </c>
      <c r="AB620" s="335">
        <f>38*2*10</f>
        <v>760</v>
      </c>
      <c r="AC620" s="298">
        <v>800</v>
      </c>
      <c r="AD620" s="299">
        <f>Table1[[#This Row],[Selling EUR]]-Table1[[#This Row],[Cost EUR]]</f>
        <v>40</v>
      </c>
      <c r="AE620" s="321" t="s">
        <v>54</v>
      </c>
      <c r="AF620" s="294">
        <v>46257</v>
      </c>
      <c r="AG620" s="294"/>
      <c r="AH620" s="321"/>
      <c r="AI620" s="323"/>
      <c r="AJ620" s="338"/>
      <c r="AK620" s="323"/>
      <c r="AL620" s="338"/>
      <c r="AM620" s="338"/>
      <c r="AN620" s="323"/>
      <c r="AO620" s="282"/>
      <c r="AP620" s="306"/>
      <c r="AQ620" s="282"/>
      <c r="AR620" s="282"/>
      <c r="AS620" s="282"/>
      <c r="AT620" s="281"/>
      <c r="AU620" s="281"/>
      <c r="AV620" s="281"/>
      <c r="AW620" s="281"/>
      <c r="AX620" s="281"/>
      <c r="AY620" s="281"/>
      <c r="AZ620" s="281"/>
    </row>
    <row r="621" spans="1:52" ht="15" customHeight="1" x14ac:dyDescent="0.3">
      <c r="A621" s="294">
        <v>46177</v>
      </c>
      <c r="B621" s="321" t="s">
        <v>47</v>
      </c>
      <c r="C621" s="321" t="s">
        <v>47</v>
      </c>
      <c r="D621" s="294" t="s">
        <v>79</v>
      </c>
      <c r="E621" s="321" t="s">
        <v>49</v>
      </c>
      <c r="F621" s="295">
        <v>17882429</v>
      </c>
      <c r="G621" s="296">
        <v>20303776</v>
      </c>
      <c r="H621" s="280" t="s">
        <v>58</v>
      </c>
      <c r="I621" s="323" t="s">
        <v>62</v>
      </c>
      <c r="J621" s="323" t="s">
        <v>1562</v>
      </c>
      <c r="K621" s="294">
        <v>46204</v>
      </c>
      <c r="L621" s="294">
        <v>46213</v>
      </c>
      <c r="M621" s="284">
        <f>Table1[[#This Row],[Dep Date]]-Table1[[#This Row],[Arr Date]]</f>
        <v>9</v>
      </c>
      <c r="N621" s="323" t="s">
        <v>65</v>
      </c>
      <c r="O621" s="321">
        <v>1</v>
      </c>
      <c r="P621" s="321">
        <v>1</v>
      </c>
      <c r="Q621" s="321"/>
      <c r="R621" s="321"/>
      <c r="S621" s="321" t="s">
        <v>53</v>
      </c>
      <c r="T621" s="326" t="s">
        <v>2197</v>
      </c>
      <c r="U621" s="297"/>
      <c r="V621" s="294"/>
      <c r="W621" s="297"/>
      <c r="X621" s="294"/>
      <c r="Y621" s="329"/>
      <c r="Z621" s="329"/>
      <c r="AA621" s="332">
        <f>Table1[[#This Row],[Selling USD]]-Table1[[#This Row],[Cost USD]]</f>
        <v>0</v>
      </c>
      <c r="AB621" s="335">
        <f>67*9</f>
        <v>603</v>
      </c>
      <c r="AC621" s="298">
        <v>597.6</v>
      </c>
      <c r="AD621" s="299">
        <f>Table1[[#This Row],[Selling EUR]]-Table1[[#This Row],[Cost EUR]]</f>
        <v>-5.3999999999999773</v>
      </c>
      <c r="AE621" s="321" t="s">
        <v>54</v>
      </c>
      <c r="AF621" s="294">
        <v>46194</v>
      </c>
      <c r="AG621" s="294"/>
      <c r="AH621" s="321"/>
      <c r="AI621" s="323"/>
      <c r="AJ621" s="338"/>
      <c r="AK621" s="323"/>
      <c r="AL621" s="338"/>
      <c r="AM621" s="338"/>
      <c r="AN621" s="323"/>
      <c r="AO621" s="282"/>
      <c r="AP621" s="306"/>
      <c r="AQ621" s="282"/>
      <c r="AR621" s="282"/>
      <c r="AS621" s="282"/>
      <c r="AT621" s="281"/>
      <c r="AU621" s="281"/>
      <c r="AV621" s="281"/>
      <c r="AW621" s="281"/>
      <c r="AX621" s="281"/>
      <c r="AY621" s="281"/>
      <c r="AZ621" s="281"/>
    </row>
    <row r="622" spans="1:52" ht="15" customHeight="1" x14ac:dyDescent="0.3">
      <c r="A622" s="294">
        <v>46179</v>
      </c>
      <c r="B622" s="321" t="s">
        <v>47</v>
      </c>
      <c r="C622" s="321" t="s">
        <v>47</v>
      </c>
      <c r="D622" s="294" t="s">
        <v>79</v>
      </c>
      <c r="E622" s="321" t="s">
        <v>61</v>
      </c>
      <c r="F622" s="295">
        <v>17908878</v>
      </c>
      <c r="G622" s="296">
        <v>20303777</v>
      </c>
      <c r="H622" s="280" t="s">
        <v>50</v>
      </c>
      <c r="I622" s="323" t="s">
        <v>2654</v>
      </c>
      <c r="J622" s="323" t="s">
        <v>2655</v>
      </c>
      <c r="K622" s="294">
        <v>46241</v>
      </c>
      <c r="L622" s="294">
        <v>46248</v>
      </c>
      <c r="M622" s="284">
        <f>Table1[[#This Row],[Dep Date]]-Table1[[#This Row],[Arr Date]]</f>
        <v>7</v>
      </c>
      <c r="N622" s="323" t="s">
        <v>52</v>
      </c>
      <c r="O622" s="321">
        <v>2</v>
      </c>
      <c r="P622" s="321">
        <v>4</v>
      </c>
      <c r="Q622" s="321">
        <v>2</v>
      </c>
      <c r="R622" s="321"/>
      <c r="S622" s="321" t="s">
        <v>53</v>
      </c>
      <c r="T622" s="326" t="s">
        <v>2198</v>
      </c>
      <c r="U622" s="297">
        <v>10</v>
      </c>
      <c r="V622" s="294"/>
      <c r="W622" s="297">
        <v>9</v>
      </c>
      <c r="X622" s="294"/>
      <c r="Y622" s="329"/>
      <c r="Z622" s="329"/>
      <c r="AA622" s="332">
        <f>Table1[[#This Row],[Selling USD]]-Table1[[#This Row],[Cost USD]]</f>
        <v>0</v>
      </c>
      <c r="AB622" s="335">
        <f>66*2*7*2</f>
        <v>1848</v>
      </c>
      <c r="AC622" s="298">
        <v>1848</v>
      </c>
      <c r="AD622" s="299">
        <f>Table1[[#This Row],[Selling EUR]]-Table1[[#This Row],[Cost EUR]]</f>
        <v>0</v>
      </c>
      <c r="AE622" s="321" t="s">
        <v>54</v>
      </c>
      <c r="AF622" s="294">
        <v>46233</v>
      </c>
      <c r="AG622" s="294"/>
      <c r="AH622" s="321"/>
      <c r="AI622" s="323"/>
      <c r="AJ622" s="338"/>
      <c r="AK622" s="323"/>
      <c r="AL622" s="338"/>
      <c r="AM622" s="338"/>
      <c r="AN622" s="323"/>
      <c r="AO622" s="282"/>
      <c r="AP622" s="306"/>
      <c r="AQ622" s="282"/>
      <c r="AR622" s="282"/>
      <c r="AS622" s="282"/>
      <c r="AT622" s="281"/>
      <c r="AU622" s="281"/>
      <c r="AV622" s="281"/>
      <c r="AW622" s="281"/>
      <c r="AX622" s="281"/>
      <c r="AY622" s="281"/>
      <c r="AZ622" s="281"/>
    </row>
    <row r="623" spans="1:52" ht="15" customHeight="1" x14ac:dyDescent="0.3">
      <c r="A623" s="294">
        <v>46180</v>
      </c>
      <c r="B623" s="321" t="s">
        <v>47</v>
      </c>
      <c r="C623" s="321" t="s">
        <v>47</v>
      </c>
      <c r="D623" s="294" t="s">
        <v>1276</v>
      </c>
      <c r="E623" s="321" t="s">
        <v>2656</v>
      </c>
      <c r="F623" s="295">
        <v>73463078</v>
      </c>
      <c r="G623" s="296">
        <v>73463078</v>
      </c>
      <c r="H623" s="280" t="s">
        <v>50</v>
      </c>
      <c r="I623" s="323" t="s">
        <v>2657</v>
      </c>
      <c r="J623" s="323" t="s">
        <v>2658</v>
      </c>
      <c r="K623" s="294">
        <v>46186</v>
      </c>
      <c r="L623" s="294">
        <v>46187</v>
      </c>
      <c r="M623" s="284">
        <f>Table1[[#This Row],[Dep Date]]-Table1[[#This Row],[Arr Date]]</f>
        <v>1</v>
      </c>
      <c r="N623" s="323" t="s">
        <v>52</v>
      </c>
      <c r="O623" s="321">
        <v>1</v>
      </c>
      <c r="P623" s="321">
        <v>2</v>
      </c>
      <c r="Q623" s="321"/>
      <c r="R623" s="321"/>
      <c r="S623" s="321" t="s">
        <v>1294</v>
      </c>
      <c r="T623" s="326" t="s">
        <v>2199</v>
      </c>
      <c r="U623" s="297"/>
      <c r="V623" s="294"/>
      <c r="W623" s="297"/>
      <c r="X623" s="294"/>
      <c r="Y623" s="329">
        <v>120</v>
      </c>
      <c r="Z623" s="329">
        <v>130</v>
      </c>
      <c r="AA623" s="332">
        <f>Table1[[#This Row],[Selling USD]]-Table1[[#This Row],[Cost USD]]</f>
        <v>10</v>
      </c>
      <c r="AB623" s="335"/>
      <c r="AC623" s="298"/>
      <c r="AD623" s="299">
        <f>Table1[[#This Row],[Selling EUR]]-Table1[[#This Row],[Cost EUR]]</f>
        <v>0</v>
      </c>
      <c r="AE623" s="321" t="s">
        <v>54</v>
      </c>
      <c r="AF623" s="294">
        <v>46181</v>
      </c>
      <c r="AG623" s="294"/>
      <c r="AH623" s="321"/>
      <c r="AI623" s="323"/>
      <c r="AJ623" s="338"/>
      <c r="AK623" s="323"/>
      <c r="AL623" s="338"/>
      <c r="AM623" s="338"/>
      <c r="AN623" s="323"/>
      <c r="AO623" s="282"/>
      <c r="AP623" s="306"/>
      <c r="AQ623" s="282"/>
      <c r="AR623" s="282"/>
      <c r="AS623" s="282"/>
      <c r="AT623" s="281"/>
      <c r="AU623" s="281"/>
      <c r="AV623" s="281"/>
      <c r="AW623" s="281"/>
      <c r="AX623" s="281"/>
      <c r="AY623" s="281"/>
      <c r="AZ623" s="281"/>
    </row>
    <row r="624" spans="1:52" ht="15" customHeight="1" x14ac:dyDescent="0.3">
      <c r="A624" s="294">
        <v>46181</v>
      </c>
      <c r="B624" s="321" t="s">
        <v>47</v>
      </c>
      <c r="C624" s="321" t="s">
        <v>47</v>
      </c>
      <c r="D624" s="294" t="s">
        <v>48</v>
      </c>
      <c r="E624" s="321" t="s">
        <v>49</v>
      </c>
      <c r="F624" s="295">
        <v>17696592</v>
      </c>
      <c r="G624" s="296"/>
      <c r="H624" s="280" t="s">
        <v>50</v>
      </c>
      <c r="I624" s="323" t="s">
        <v>67</v>
      </c>
      <c r="J624" s="323" t="s">
        <v>219</v>
      </c>
      <c r="K624" s="294">
        <v>46238</v>
      </c>
      <c r="L624" s="294">
        <v>46250</v>
      </c>
      <c r="M624" s="284">
        <f>Table1[[#This Row],[Dep Date]]-Table1[[#This Row],[Arr Date]]</f>
        <v>12</v>
      </c>
      <c r="N624" s="323" t="s">
        <v>52</v>
      </c>
      <c r="O624" s="321">
        <v>1</v>
      </c>
      <c r="P624" s="321">
        <v>2</v>
      </c>
      <c r="Q624" s="321">
        <v>1</v>
      </c>
      <c r="R624" s="321"/>
      <c r="S624" s="321" t="s">
        <v>53</v>
      </c>
      <c r="T624" s="326" t="s">
        <v>2200</v>
      </c>
      <c r="U624" s="297">
        <v>9</v>
      </c>
      <c r="V624" s="294"/>
      <c r="W624" s="297"/>
      <c r="X624" s="294"/>
      <c r="Y624" s="329"/>
      <c r="Z624" s="329"/>
      <c r="AA624" s="332">
        <f>Table1[[#This Row],[Selling USD]]-Table1[[#This Row],[Cost USD]]</f>
        <v>0</v>
      </c>
      <c r="AB624" s="335">
        <f>63*2*12</f>
        <v>1512</v>
      </c>
      <c r="AC624" s="298">
        <v>1584</v>
      </c>
      <c r="AD624" s="299">
        <f>Table1[[#This Row],[Selling EUR]]-Table1[[#This Row],[Cost EUR]]</f>
        <v>72</v>
      </c>
      <c r="AE624" s="321" t="s">
        <v>54</v>
      </c>
      <c r="AF624" s="294">
        <v>46229</v>
      </c>
      <c r="AG624" s="294"/>
      <c r="AH624" s="321"/>
      <c r="AI624" s="323"/>
      <c r="AJ624" s="338"/>
      <c r="AK624" s="323"/>
      <c r="AL624" s="338"/>
      <c r="AM624" s="338"/>
      <c r="AN624" s="323"/>
      <c r="AO624" s="282"/>
      <c r="AP624" s="306"/>
      <c r="AQ624" s="282"/>
      <c r="AR624" s="282"/>
      <c r="AS624" s="282"/>
      <c r="AT624" s="281"/>
      <c r="AU624" s="281"/>
      <c r="AV624" s="281"/>
      <c r="AW624" s="281"/>
      <c r="AX624" s="281"/>
      <c r="AY624" s="281"/>
      <c r="AZ624" s="281"/>
    </row>
    <row r="625" spans="1:52" ht="15" customHeight="1" x14ac:dyDescent="0.3">
      <c r="A625" s="294">
        <v>46181</v>
      </c>
      <c r="B625" s="321" t="s">
        <v>47</v>
      </c>
      <c r="C625" s="321" t="s">
        <v>47</v>
      </c>
      <c r="D625" s="294" t="s">
        <v>48</v>
      </c>
      <c r="E625" s="321" t="s">
        <v>49</v>
      </c>
      <c r="F625" s="295">
        <v>17697085</v>
      </c>
      <c r="G625" s="296"/>
      <c r="H625" s="280" t="s">
        <v>50</v>
      </c>
      <c r="I625" s="323" t="s">
        <v>2659</v>
      </c>
      <c r="J625" s="323" t="s">
        <v>2647</v>
      </c>
      <c r="K625" s="294">
        <v>46274</v>
      </c>
      <c r="L625" s="294">
        <v>46283</v>
      </c>
      <c r="M625" s="284">
        <f>Table1[[#This Row],[Dep Date]]-Table1[[#This Row],[Arr Date]]</f>
        <v>9</v>
      </c>
      <c r="N625" s="323" t="s">
        <v>52</v>
      </c>
      <c r="O625" s="321">
        <v>1</v>
      </c>
      <c r="P625" s="321">
        <v>2</v>
      </c>
      <c r="Q625" s="321"/>
      <c r="R625" s="321"/>
      <c r="S625" s="321" t="s">
        <v>53</v>
      </c>
      <c r="T625" s="326" t="s">
        <v>2201</v>
      </c>
      <c r="U625" s="297"/>
      <c r="V625" s="294"/>
      <c r="W625" s="297"/>
      <c r="X625" s="294"/>
      <c r="Y625" s="329"/>
      <c r="Z625" s="329"/>
      <c r="AA625" s="332">
        <f>Table1[[#This Row],[Selling USD]]-Table1[[#This Row],[Cost USD]]</f>
        <v>0</v>
      </c>
      <c r="AB625" s="335">
        <f>42*2*9</f>
        <v>756</v>
      </c>
      <c r="AC625" s="298">
        <v>792</v>
      </c>
      <c r="AD625" s="299">
        <f>Table1[[#This Row],[Selling EUR]]-Table1[[#This Row],[Cost EUR]]</f>
        <v>36</v>
      </c>
      <c r="AE625" s="321" t="s">
        <v>54</v>
      </c>
      <c r="AF625" s="294">
        <v>46266</v>
      </c>
      <c r="AG625" s="294"/>
      <c r="AH625" s="321"/>
      <c r="AI625" s="323"/>
      <c r="AJ625" s="338"/>
      <c r="AK625" s="323"/>
      <c r="AL625" s="338"/>
      <c r="AM625" s="338"/>
      <c r="AN625" s="323"/>
      <c r="AO625" s="282"/>
      <c r="AP625" s="306"/>
      <c r="AQ625" s="282"/>
      <c r="AR625" s="282"/>
      <c r="AS625" s="282"/>
      <c r="AT625" s="281"/>
      <c r="AU625" s="281"/>
      <c r="AV625" s="281"/>
      <c r="AW625" s="281"/>
      <c r="AX625" s="281"/>
      <c r="AY625" s="281"/>
      <c r="AZ625" s="281"/>
    </row>
    <row r="626" spans="1:52" ht="15" customHeight="1" x14ac:dyDescent="0.3">
      <c r="A626" s="294">
        <v>46183</v>
      </c>
      <c r="B626" s="321" t="s">
        <v>47</v>
      </c>
      <c r="C626" s="321" t="s">
        <v>47</v>
      </c>
      <c r="D626" s="294" t="s">
        <v>79</v>
      </c>
      <c r="E626" s="321" t="s">
        <v>49</v>
      </c>
      <c r="F626" s="295">
        <v>17988956</v>
      </c>
      <c r="G626" s="296">
        <v>20303778</v>
      </c>
      <c r="H626" s="280" t="s">
        <v>50</v>
      </c>
      <c r="I626" s="323" t="s">
        <v>93</v>
      </c>
      <c r="J626" s="323" t="s">
        <v>2660</v>
      </c>
      <c r="K626" s="294">
        <v>46297</v>
      </c>
      <c r="L626" s="294">
        <v>46310</v>
      </c>
      <c r="M626" s="284">
        <f>Table1[[#This Row],[Dep Date]]-Table1[[#This Row],[Arr Date]]</f>
        <v>13</v>
      </c>
      <c r="N626" s="323" t="s">
        <v>52</v>
      </c>
      <c r="O626" s="321">
        <v>1</v>
      </c>
      <c r="P626" s="321">
        <v>2</v>
      </c>
      <c r="Q626" s="321">
        <v>1</v>
      </c>
      <c r="R626" s="321"/>
      <c r="S626" s="321" t="s">
        <v>53</v>
      </c>
      <c r="T626" s="326" t="s">
        <v>2202</v>
      </c>
      <c r="U626" s="297"/>
      <c r="V626" s="294"/>
      <c r="W626" s="297"/>
      <c r="X626" s="294"/>
      <c r="Y626" s="329"/>
      <c r="Z626" s="329"/>
      <c r="AA626" s="332">
        <f>Table1[[#This Row],[Selling USD]]-Table1[[#This Row],[Cost USD]]</f>
        <v>0</v>
      </c>
      <c r="AB626" s="335">
        <f>98*2*0.65*3+112*2*0.65*10+65*2+55</f>
        <v>2023.2</v>
      </c>
      <c r="AC626" s="298">
        <v>1906.2</v>
      </c>
      <c r="AD626" s="299">
        <f>Table1[[#This Row],[Selling EUR]]-Table1[[#This Row],[Cost EUR]]</f>
        <v>-117</v>
      </c>
      <c r="AE626" s="321" t="s">
        <v>54</v>
      </c>
      <c r="AF626" s="294">
        <v>46285</v>
      </c>
      <c r="AG626" s="294"/>
      <c r="AH626" s="321"/>
      <c r="AI626" s="323"/>
      <c r="AJ626" s="338"/>
      <c r="AK626" s="323"/>
      <c r="AL626" s="338"/>
      <c r="AM626" s="338"/>
      <c r="AN626" s="323"/>
      <c r="AO626" s="282"/>
      <c r="AP626" s="306"/>
      <c r="AQ626" s="282"/>
      <c r="AR626" s="282"/>
      <c r="AS626" s="282"/>
      <c r="AT626" s="281"/>
      <c r="AU626" s="281"/>
      <c r="AV626" s="281"/>
      <c r="AW626" s="281"/>
      <c r="AX626" s="281"/>
      <c r="AY626" s="281"/>
      <c r="AZ626" s="281"/>
    </row>
    <row r="627" spans="1:52" ht="15" customHeight="1" x14ac:dyDescent="0.3">
      <c r="A627" s="294">
        <v>46184</v>
      </c>
      <c r="B627" s="321" t="s">
        <v>47</v>
      </c>
      <c r="C627" s="321" t="s">
        <v>47</v>
      </c>
      <c r="D627" s="294" t="s">
        <v>48</v>
      </c>
      <c r="E627" s="321" t="s">
        <v>138</v>
      </c>
      <c r="F627" s="295">
        <v>17708470</v>
      </c>
      <c r="G627" s="296"/>
      <c r="H627" s="280" t="s">
        <v>84</v>
      </c>
      <c r="I627" s="323" t="s">
        <v>227</v>
      </c>
      <c r="J627" s="323" t="s">
        <v>155</v>
      </c>
      <c r="K627" s="294">
        <v>46252</v>
      </c>
      <c r="L627" s="294">
        <v>46259</v>
      </c>
      <c r="M627" s="284">
        <f>Table1[[#This Row],[Dep Date]]-Table1[[#This Row],[Arr Date]]</f>
        <v>7</v>
      </c>
      <c r="N627" s="323" t="s">
        <v>52</v>
      </c>
      <c r="O627" s="321">
        <v>1</v>
      </c>
      <c r="P627" s="321">
        <v>2</v>
      </c>
      <c r="Q627" s="321"/>
      <c r="R627" s="321"/>
      <c r="S627" s="321" t="s">
        <v>53</v>
      </c>
      <c r="T627" s="326" t="s">
        <v>2203</v>
      </c>
      <c r="U627" s="297"/>
      <c r="V627" s="294"/>
      <c r="W627" s="297"/>
      <c r="X627" s="294"/>
      <c r="Y627" s="329"/>
      <c r="Z627" s="329"/>
      <c r="AA627" s="332">
        <f>Table1[[#This Row],[Selling USD]]-Table1[[#This Row],[Cost USD]]</f>
        <v>0</v>
      </c>
      <c r="AB627" s="335">
        <f>47*2*7</f>
        <v>658</v>
      </c>
      <c r="AC627" s="298">
        <v>686</v>
      </c>
      <c r="AD627" s="299">
        <f>Table1[[#This Row],[Selling EUR]]-Table1[[#This Row],[Cost EUR]]</f>
        <v>28</v>
      </c>
      <c r="AE627" s="321" t="s">
        <v>54</v>
      </c>
      <c r="AF627" s="294">
        <v>46244</v>
      </c>
      <c r="AG627" s="294"/>
      <c r="AH627" s="321"/>
      <c r="AI627" s="323"/>
      <c r="AJ627" s="338"/>
      <c r="AK627" s="323"/>
      <c r="AL627" s="338"/>
      <c r="AM627" s="338"/>
      <c r="AN627" s="323"/>
      <c r="AO627" s="282"/>
      <c r="AP627" s="306"/>
      <c r="AQ627" s="282"/>
      <c r="AR627" s="282"/>
      <c r="AS627" s="282"/>
      <c r="AT627" s="281"/>
      <c r="AU627" s="281"/>
      <c r="AV627" s="281"/>
      <c r="AW627" s="281"/>
      <c r="AX627" s="281"/>
      <c r="AY627" s="281"/>
      <c r="AZ627" s="281"/>
    </row>
    <row r="628" spans="1:52" ht="15" customHeight="1" x14ac:dyDescent="0.3">
      <c r="A628" s="294">
        <v>46188</v>
      </c>
      <c r="B628" s="321" t="s">
        <v>47</v>
      </c>
      <c r="C628" s="321" t="s">
        <v>47</v>
      </c>
      <c r="D628" s="294" t="s">
        <v>48</v>
      </c>
      <c r="E628" s="321" t="s">
        <v>138</v>
      </c>
      <c r="F628" s="295">
        <v>17722418</v>
      </c>
      <c r="G628" s="296"/>
      <c r="H628" s="280" t="s">
        <v>84</v>
      </c>
      <c r="I628" s="323" t="s">
        <v>168</v>
      </c>
      <c r="J628" s="323" t="s">
        <v>145</v>
      </c>
      <c r="K628" s="294">
        <v>46283</v>
      </c>
      <c r="L628" s="294">
        <v>46290</v>
      </c>
      <c r="M628" s="284">
        <f>Table1[[#This Row],[Dep Date]]-Table1[[#This Row],[Arr Date]]</f>
        <v>7</v>
      </c>
      <c r="N628" s="323" t="s">
        <v>52</v>
      </c>
      <c r="O628" s="321">
        <v>1</v>
      </c>
      <c r="P628" s="321">
        <v>2</v>
      </c>
      <c r="Q628" s="321"/>
      <c r="R628" s="321"/>
      <c r="S628" s="321" t="s">
        <v>53</v>
      </c>
      <c r="T628" s="326" t="s">
        <v>2204</v>
      </c>
      <c r="U628" s="297"/>
      <c r="V628" s="294"/>
      <c r="W628" s="297"/>
      <c r="X628" s="294"/>
      <c r="Y628" s="329"/>
      <c r="Z628" s="329"/>
      <c r="AA628" s="332">
        <f>Table1[[#This Row],[Selling USD]]-Table1[[#This Row],[Cost USD]]</f>
        <v>0</v>
      </c>
      <c r="AB628" s="335">
        <f>55*2*7</f>
        <v>770</v>
      </c>
      <c r="AC628" s="298">
        <v>798</v>
      </c>
      <c r="AD628" s="299">
        <f>Table1[[#This Row],[Selling EUR]]-Table1[[#This Row],[Cost EUR]]</f>
        <v>28</v>
      </c>
      <c r="AE628" s="321" t="s">
        <v>54</v>
      </c>
      <c r="AF628" s="294">
        <v>46275</v>
      </c>
      <c r="AG628" s="294"/>
      <c r="AH628" s="321"/>
      <c r="AI628" s="323"/>
      <c r="AJ628" s="338"/>
      <c r="AK628" s="323"/>
      <c r="AL628" s="338"/>
      <c r="AM628" s="338"/>
      <c r="AN628" s="323"/>
      <c r="AO628" s="282"/>
      <c r="AP628" s="306"/>
      <c r="AQ628" s="282"/>
      <c r="AR628" s="282"/>
      <c r="AS628" s="282"/>
      <c r="AT628" s="281"/>
      <c r="AU628" s="281"/>
      <c r="AV628" s="281"/>
      <c r="AW628" s="281"/>
      <c r="AX628" s="281"/>
      <c r="AY628" s="281"/>
      <c r="AZ628" s="281"/>
    </row>
    <row r="629" spans="1:52" ht="15" customHeight="1" x14ac:dyDescent="0.3">
      <c r="A629" s="294">
        <v>46189</v>
      </c>
      <c r="B629" s="321" t="s">
        <v>47</v>
      </c>
      <c r="C629" s="321" t="s">
        <v>47</v>
      </c>
      <c r="D629" s="294" t="s">
        <v>48</v>
      </c>
      <c r="E629" s="321" t="s">
        <v>138</v>
      </c>
      <c r="F629" s="295">
        <v>17724341</v>
      </c>
      <c r="G629" s="296"/>
      <c r="H629" s="280" t="s">
        <v>84</v>
      </c>
      <c r="I629" s="323" t="s">
        <v>168</v>
      </c>
      <c r="J629" s="323" t="s">
        <v>2632</v>
      </c>
      <c r="K629" s="294">
        <v>46290</v>
      </c>
      <c r="L629" s="294">
        <v>46297</v>
      </c>
      <c r="M629" s="284">
        <f>Table1[[#This Row],[Dep Date]]-Table1[[#This Row],[Arr Date]]</f>
        <v>7</v>
      </c>
      <c r="N629" s="323" t="s">
        <v>52</v>
      </c>
      <c r="O629" s="321">
        <v>2</v>
      </c>
      <c r="P629" s="321">
        <v>4</v>
      </c>
      <c r="Q629" s="321"/>
      <c r="R629" s="321"/>
      <c r="S629" s="321" t="s">
        <v>53</v>
      </c>
      <c r="T629" s="326" t="s">
        <v>2205</v>
      </c>
      <c r="U629" s="297"/>
      <c r="V629" s="294"/>
      <c r="W629" s="297"/>
      <c r="X629" s="294"/>
      <c r="Y629" s="329"/>
      <c r="Z629" s="329"/>
      <c r="AA629" s="332">
        <f>Table1[[#This Row],[Selling USD]]-Table1[[#This Row],[Cost USD]]</f>
        <v>0</v>
      </c>
      <c r="AB629" s="335">
        <f>55*2*7*2</f>
        <v>1540</v>
      </c>
      <c r="AC629" s="298">
        <v>1456</v>
      </c>
      <c r="AD629" s="299">
        <f>Table1[[#This Row],[Selling EUR]]-Table1[[#This Row],[Cost EUR]]</f>
        <v>-84</v>
      </c>
      <c r="AE629" s="321" t="s">
        <v>54</v>
      </c>
      <c r="AF629" s="294">
        <v>46280</v>
      </c>
      <c r="AG629" s="294"/>
      <c r="AH629" s="321"/>
      <c r="AI629" s="323"/>
      <c r="AJ629" s="338"/>
      <c r="AK629" s="323"/>
      <c r="AL629" s="338"/>
      <c r="AM629" s="338"/>
      <c r="AN629" s="323"/>
      <c r="AO629" s="282"/>
      <c r="AP629" s="306"/>
      <c r="AQ629" s="282"/>
      <c r="AR629" s="282"/>
      <c r="AS629" s="282"/>
      <c r="AT629" s="281"/>
      <c r="AU629" s="281"/>
      <c r="AV629" s="281"/>
      <c r="AW629" s="281"/>
      <c r="AX629" s="281"/>
      <c r="AY629" s="281"/>
      <c r="AZ629" s="281"/>
    </row>
    <row r="630" spans="1:52" ht="15" customHeight="1" x14ac:dyDescent="0.3">
      <c r="A630" s="294">
        <v>46190</v>
      </c>
      <c r="B630" s="321" t="s">
        <v>47</v>
      </c>
      <c r="C630" s="321" t="s">
        <v>47</v>
      </c>
      <c r="D630" s="294" t="s">
        <v>48</v>
      </c>
      <c r="E630" s="321" t="s">
        <v>49</v>
      </c>
      <c r="F630" s="295">
        <v>17727868</v>
      </c>
      <c r="G630" s="296"/>
      <c r="H630" s="280" t="s">
        <v>58</v>
      </c>
      <c r="I630" s="323" t="s">
        <v>74</v>
      </c>
      <c r="J630" s="323" t="s">
        <v>1562</v>
      </c>
      <c r="K630" s="294">
        <v>46374</v>
      </c>
      <c r="L630" s="294">
        <v>46385</v>
      </c>
      <c r="M630" s="284">
        <f>Table1[[#This Row],[Dep Date]]-Table1[[#This Row],[Arr Date]]</f>
        <v>11</v>
      </c>
      <c r="N630" s="323" t="s">
        <v>52</v>
      </c>
      <c r="O630" s="321">
        <v>1</v>
      </c>
      <c r="P630" s="321">
        <v>2</v>
      </c>
      <c r="Q630" s="321"/>
      <c r="R630" s="321"/>
      <c r="S630" s="321" t="s">
        <v>53</v>
      </c>
      <c r="T630" s="326" t="s">
        <v>2206</v>
      </c>
      <c r="U630" s="297"/>
      <c r="V630" s="294"/>
      <c r="W630" s="297"/>
      <c r="X630" s="294"/>
      <c r="Y630" s="329"/>
      <c r="Z630" s="329"/>
      <c r="AA630" s="332">
        <f>Table1[[#This Row],[Selling USD]]-Table1[[#This Row],[Cost USD]]</f>
        <v>0</v>
      </c>
      <c r="AB630" s="335">
        <f>59*2*0.9*9+87*2*0.9*2+93*2</f>
        <v>1455</v>
      </c>
      <c r="AC630" s="298">
        <v>1516.6</v>
      </c>
      <c r="AD630" s="299">
        <f>Table1[[#This Row],[Selling EUR]]-Table1[[#This Row],[Cost EUR]]</f>
        <v>61.599999999999909</v>
      </c>
      <c r="AE630" s="321" t="s">
        <v>54</v>
      </c>
      <c r="AF630" s="294">
        <v>46364</v>
      </c>
      <c r="AG630" s="294" t="s">
        <v>2431</v>
      </c>
      <c r="AH630" s="321"/>
      <c r="AI630" s="323"/>
      <c r="AJ630" s="338"/>
      <c r="AK630" s="323"/>
      <c r="AL630" s="338"/>
      <c r="AM630" s="338"/>
      <c r="AN630" s="323"/>
      <c r="AO630" s="282"/>
      <c r="AP630" s="306"/>
      <c r="AQ630" s="282"/>
      <c r="AR630" s="282"/>
      <c r="AS630" s="282"/>
      <c r="AT630" s="281"/>
      <c r="AU630" s="281"/>
      <c r="AV630" s="281"/>
      <c r="AW630" s="281"/>
      <c r="AX630" s="281"/>
      <c r="AY630" s="281"/>
      <c r="AZ630" s="281"/>
    </row>
    <row r="631" spans="1:52" ht="15" customHeight="1" x14ac:dyDescent="0.3">
      <c r="A631" s="294">
        <v>46190</v>
      </c>
      <c r="B631" s="321" t="s">
        <v>47</v>
      </c>
      <c r="C631" s="321" t="s">
        <v>47</v>
      </c>
      <c r="D631" s="294" t="s">
        <v>48</v>
      </c>
      <c r="E631" s="321" t="s">
        <v>49</v>
      </c>
      <c r="F631" s="295">
        <v>17727593</v>
      </c>
      <c r="G631" s="296"/>
      <c r="H631" s="280" t="s">
        <v>58</v>
      </c>
      <c r="I631" s="323" t="s">
        <v>74</v>
      </c>
      <c r="J631" s="323" t="s">
        <v>1562</v>
      </c>
      <c r="K631" s="294">
        <v>46374</v>
      </c>
      <c r="L631" s="294">
        <v>46385</v>
      </c>
      <c r="M631" s="284">
        <f>Table1[[#This Row],[Dep Date]]-Table1[[#This Row],[Arr Date]]</f>
        <v>11</v>
      </c>
      <c r="N631" s="323" t="s">
        <v>52</v>
      </c>
      <c r="O631" s="321">
        <v>1</v>
      </c>
      <c r="P631" s="321">
        <v>2</v>
      </c>
      <c r="Q631" s="321"/>
      <c r="R631" s="321"/>
      <c r="S631" s="321" t="s">
        <v>53</v>
      </c>
      <c r="T631" s="326" t="s">
        <v>2207</v>
      </c>
      <c r="U631" s="297"/>
      <c r="V631" s="294"/>
      <c r="W631" s="297"/>
      <c r="X631" s="294"/>
      <c r="Y631" s="329"/>
      <c r="Z631" s="329"/>
      <c r="AA631" s="332">
        <f>Table1[[#This Row],[Selling USD]]-Table1[[#This Row],[Cost USD]]</f>
        <v>0</v>
      </c>
      <c r="AB631" s="335">
        <f>59*2*0.9*9+87*2*0.9*2+93*2</f>
        <v>1455</v>
      </c>
      <c r="AC631" s="298">
        <v>1516.6</v>
      </c>
      <c r="AD631" s="299">
        <f>Table1[[#This Row],[Selling EUR]]-Table1[[#This Row],[Cost EUR]]</f>
        <v>61.599999999999909</v>
      </c>
      <c r="AE631" s="321" t="s">
        <v>54</v>
      </c>
      <c r="AF631" s="294">
        <v>46364</v>
      </c>
      <c r="AG631" s="294" t="s">
        <v>2431</v>
      </c>
      <c r="AH631" s="321"/>
      <c r="AI631" s="323"/>
      <c r="AJ631" s="338"/>
      <c r="AK631" s="323"/>
      <c r="AL631" s="338"/>
      <c r="AM631" s="338"/>
      <c r="AN631" s="323"/>
      <c r="AO631" s="282"/>
      <c r="AP631" s="306"/>
      <c r="AQ631" s="282"/>
      <c r="AR631" s="282"/>
      <c r="AS631" s="282"/>
      <c r="AT631" s="281"/>
      <c r="AU631" s="281"/>
      <c r="AV631" s="281"/>
      <c r="AW631" s="281"/>
      <c r="AX631" s="281"/>
      <c r="AY631" s="281"/>
      <c r="AZ631" s="281"/>
    </row>
    <row r="632" spans="1:52" ht="15" customHeight="1" x14ac:dyDescent="0.3">
      <c r="A632" s="294">
        <v>46190</v>
      </c>
      <c r="B632" s="321" t="s">
        <v>47</v>
      </c>
      <c r="C632" s="321" t="s">
        <v>47</v>
      </c>
      <c r="D632" s="294" t="s">
        <v>48</v>
      </c>
      <c r="E632" s="321" t="s">
        <v>138</v>
      </c>
      <c r="F632" s="295">
        <v>17728548</v>
      </c>
      <c r="G632" s="296"/>
      <c r="H632" s="280" t="s">
        <v>84</v>
      </c>
      <c r="I632" s="323" t="s">
        <v>227</v>
      </c>
      <c r="J632" s="323" t="s">
        <v>155</v>
      </c>
      <c r="K632" s="294">
        <v>46288</v>
      </c>
      <c r="L632" s="294">
        <v>46296</v>
      </c>
      <c r="M632" s="284">
        <f>Table1[[#This Row],[Dep Date]]-Table1[[#This Row],[Arr Date]]</f>
        <v>8</v>
      </c>
      <c r="N632" s="323" t="s">
        <v>52</v>
      </c>
      <c r="O632" s="321">
        <v>1</v>
      </c>
      <c r="P632" s="321">
        <v>2</v>
      </c>
      <c r="Q632" s="321"/>
      <c r="R632" s="321"/>
      <c r="S632" s="321" t="s">
        <v>53</v>
      </c>
      <c r="T632" s="326" t="s">
        <v>2208</v>
      </c>
      <c r="U632" s="297"/>
      <c r="V632" s="294"/>
      <c r="W632" s="297"/>
      <c r="X632" s="294"/>
      <c r="Y632" s="329"/>
      <c r="Z632" s="329"/>
      <c r="AA632" s="332">
        <f>Table1[[#This Row],[Selling USD]]-Table1[[#This Row],[Cost USD]]</f>
        <v>0</v>
      </c>
      <c r="AB632" s="335">
        <f>43*2*8</f>
        <v>688</v>
      </c>
      <c r="AC632" s="298">
        <v>720</v>
      </c>
      <c r="AD632" s="299">
        <f>Table1[[#This Row],[Selling EUR]]-Table1[[#This Row],[Cost EUR]]</f>
        <v>32</v>
      </c>
      <c r="AE632" s="321" t="s">
        <v>54</v>
      </c>
      <c r="AF632" s="294">
        <v>46278</v>
      </c>
      <c r="AG632" s="294"/>
      <c r="AH632" s="321"/>
      <c r="AI632" s="323"/>
      <c r="AJ632" s="338"/>
      <c r="AK632" s="323"/>
      <c r="AL632" s="338"/>
      <c r="AM632" s="338"/>
      <c r="AN632" s="323"/>
      <c r="AO632" s="282"/>
      <c r="AP632" s="306"/>
      <c r="AQ632" s="282"/>
      <c r="AR632" s="282"/>
      <c r="AS632" s="282"/>
      <c r="AT632" s="281"/>
      <c r="AU632" s="281"/>
      <c r="AV632" s="281"/>
      <c r="AW632" s="281"/>
      <c r="AX632" s="281"/>
      <c r="AY632" s="281"/>
      <c r="AZ632" s="281"/>
    </row>
    <row r="633" spans="1:52" ht="15" customHeight="1" x14ac:dyDescent="0.3">
      <c r="A633" s="294">
        <v>46191</v>
      </c>
      <c r="B633" s="321" t="s">
        <v>47</v>
      </c>
      <c r="C633" s="321" t="s">
        <v>47</v>
      </c>
      <c r="D633" s="294" t="s">
        <v>48</v>
      </c>
      <c r="E633" s="321" t="s">
        <v>49</v>
      </c>
      <c r="F633" s="295">
        <v>17731139</v>
      </c>
      <c r="G633" s="296"/>
      <c r="H633" s="280" t="s">
        <v>2650</v>
      </c>
      <c r="I633" s="323" t="s">
        <v>201</v>
      </c>
      <c r="J633" s="323" t="s">
        <v>2574</v>
      </c>
      <c r="K633" s="294">
        <v>46307</v>
      </c>
      <c r="L633" s="294">
        <v>46315</v>
      </c>
      <c r="M633" s="284">
        <f>Table1[[#This Row],[Dep Date]]-Table1[[#This Row],[Arr Date]]</f>
        <v>8</v>
      </c>
      <c r="N633" s="323" t="s">
        <v>52</v>
      </c>
      <c r="O633" s="321">
        <v>1</v>
      </c>
      <c r="P633" s="321">
        <v>2</v>
      </c>
      <c r="Q633" s="321">
        <v>2</v>
      </c>
      <c r="R633" s="321"/>
      <c r="S633" s="321" t="s">
        <v>53</v>
      </c>
      <c r="T633" s="326" t="s">
        <v>2209</v>
      </c>
      <c r="U633" s="297">
        <v>8</v>
      </c>
      <c r="V633" s="294"/>
      <c r="W633" s="297">
        <v>6</v>
      </c>
      <c r="X633" s="294"/>
      <c r="Y633" s="329"/>
      <c r="Z633" s="329"/>
      <c r="AA633" s="332">
        <f>Table1[[#This Row],[Selling USD]]-Table1[[#This Row],[Cost USD]]</f>
        <v>0</v>
      </c>
      <c r="AB633" s="335">
        <f>84*2*8</f>
        <v>1344</v>
      </c>
      <c r="AC633" s="298">
        <v>1472</v>
      </c>
      <c r="AD633" s="299">
        <f>Table1[[#This Row],[Selling EUR]]-Table1[[#This Row],[Cost EUR]]</f>
        <v>128</v>
      </c>
      <c r="AE633" s="321" t="s">
        <v>54</v>
      </c>
      <c r="AF633" s="294">
        <v>46299</v>
      </c>
      <c r="AG633" s="294"/>
      <c r="AH633" s="321"/>
      <c r="AI633" s="323"/>
      <c r="AJ633" s="338"/>
      <c r="AK633" s="323"/>
      <c r="AL633" s="338"/>
      <c r="AM633" s="338"/>
      <c r="AN633" s="323"/>
      <c r="AO633" s="282"/>
      <c r="AP633" s="306"/>
      <c r="AQ633" s="282"/>
      <c r="AR633" s="282"/>
      <c r="AS633" s="282"/>
      <c r="AT633" s="281"/>
      <c r="AU633" s="281"/>
      <c r="AV633" s="281"/>
      <c r="AW633" s="281"/>
      <c r="AX633" s="281"/>
      <c r="AY633" s="281"/>
      <c r="AZ633" s="281"/>
    </row>
    <row r="634" spans="1:52" ht="15" customHeight="1" x14ac:dyDescent="0.3">
      <c r="A634" s="294">
        <v>46191</v>
      </c>
      <c r="B634" s="321" t="s">
        <v>47</v>
      </c>
      <c r="C634" s="321" t="s">
        <v>47</v>
      </c>
      <c r="D634" s="294" t="s">
        <v>48</v>
      </c>
      <c r="E634" s="321" t="s">
        <v>138</v>
      </c>
      <c r="F634" s="295">
        <v>17732167</v>
      </c>
      <c r="G634" s="296"/>
      <c r="H634" s="280" t="s">
        <v>84</v>
      </c>
      <c r="I634" s="323" t="s">
        <v>168</v>
      </c>
      <c r="J634" s="323" t="s">
        <v>2661</v>
      </c>
      <c r="K634" s="294">
        <v>46246</v>
      </c>
      <c r="L634" s="294">
        <v>46253</v>
      </c>
      <c r="M634" s="284">
        <f>Table1[[#This Row],[Dep Date]]-Table1[[#This Row],[Arr Date]]</f>
        <v>7</v>
      </c>
      <c r="N634" s="323" t="s">
        <v>70</v>
      </c>
      <c r="O634" s="321">
        <v>1</v>
      </c>
      <c r="P634" s="321">
        <v>3</v>
      </c>
      <c r="Q634" s="321">
        <v>1</v>
      </c>
      <c r="R634" s="321"/>
      <c r="S634" s="321" t="s">
        <v>53</v>
      </c>
      <c r="T634" s="326" t="s">
        <v>2210</v>
      </c>
      <c r="U634" s="297">
        <v>10</v>
      </c>
      <c r="V634" s="294"/>
      <c r="W634" s="297"/>
      <c r="X634" s="294"/>
      <c r="Y634" s="329"/>
      <c r="Z634" s="329"/>
      <c r="AA634" s="332">
        <f>Table1[[#This Row],[Selling USD]]-Table1[[#This Row],[Cost USD]]</f>
        <v>0</v>
      </c>
      <c r="AB634" s="335">
        <f>56*3*7 + 40*3 + 20</f>
        <v>1316</v>
      </c>
      <c r="AC634" s="298">
        <v>1372</v>
      </c>
      <c r="AD634" s="299">
        <f>Table1[[#This Row],[Selling EUR]]-Table1[[#This Row],[Cost EUR]]</f>
        <v>56</v>
      </c>
      <c r="AE634" s="321" t="s">
        <v>54</v>
      </c>
      <c r="AF634" s="294">
        <v>46236</v>
      </c>
      <c r="AG634" s="294"/>
      <c r="AH634" s="321"/>
      <c r="AI634" s="323"/>
      <c r="AJ634" s="338"/>
      <c r="AK634" s="323"/>
      <c r="AL634" s="338"/>
      <c r="AM634" s="338"/>
      <c r="AN634" s="323"/>
      <c r="AO634" s="282"/>
      <c r="AP634" s="306"/>
      <c r="AQ634" s="282"/>
      <c r="AR634" s="282"/>
      <c r="AS634" s="282"/>
      <c r="AT634" s="281"/>
      <c r="AU634" s="281"/>
      <c r="AV634" s="281"/>
      <c r="AW634" s="281"/>
      <c r="AX634" s="281"/>
      <c r="AY634" s="281"/>
      <c r="AZ634" s="281"/>
    </row>
    <row r="635" spans="1:52" ht="15" customHeight="1" x14ac:dyDescent="0.3">
      <c r="A635" s="294">
        <v>46191</v>
      </c>
      <c r="B635" s="321" t="s">
        <v>47</v>
      </c>
      <c r="C635" s="321" t="s">
        <v>47</v>
      </c>
      <c r="D635" s="294" t="s">
        <v>48</v>
      </c>
      <c r="E635" s="321" t="s">
        <v>138</v>
      </c>
      <c r="F635" s="295">
        <v>17733170</v>
      </c>
      <c r="G635" s="296"/>
      <c r="H635" s="280" t="s">
        <v>84</v>
      </c>
      <c r="I635" s="323" t="s">
        <v>227</v>
      </c>
      <c r="J635" s="323" t="s">
        <v>2662</v>
      </c>
      <c r="K635" s="294">
        <v>46286</v>
      </c>
      <c r="L635" s="294">
        <v>46293</v>
      </c>
      <c r="M635" s="284">
        <f>Table1[[#This Row],[Dep Date]]-Table1[[#This Row],[Arr Date]]</f>
        <v>7</v>
      </c>
      <c r="N635" s="323" t="s">
        <v>52</v>
      </c>
      <c r="O635" s="321">
        <v>1</v>
      </c>
      <c r="P635" s="321">
        <v>2</v>
      </c>
      <c r="Q635" s="321"/>
      <c r="R635" s="321"/>
      <c r="S635" s="321" t="s">
        <v>53</v>
      </c>
      <c r="T635" s="326" t="s">
        <v>2211</v>
      </c>
      <c r="U635" s="297"/>
      <c r="V635" s="294"/>
      <c r="W635" s="297"/>
      <c r="X635" s="294"/>
      <c r="Y635" s="329"/>
      <c r="Z635" s="329"/>
      <c r="AA635" s="332">
        <f>Table1[[#This Row],[Selling USD]]-Table1[[#This Row],[Cost USD]]</f>
        <v>0</v>
      </c>
      <c r="AB635" s="335">
        <f>48*2*7</f>
        <v>672</v>
      </c>
      <c r="AC635" s="298">
        <v>700</v>
      </c>
      <c r="AD635" s="299">
        <f>Table1[[#This Row],[Selling EUR]]-Table1[[#This Row],[Cost EUR]]</f>
        <v>28</v>
      </c>
      <c r="AE635" s="321" t="s">
        <v>54</v>
      </c>
      <c r="AF635" s="294">
        <v>46274</v>
      </c>
      <c r="AG635" s="294"/>
      <c r="AH635" s="321"/>
      <c r="AI635" s="323"/>
      <c r="AJ635" s="338"/>
      <c r="AK635" s="323"/>
      <c r="AL635" s="338"/>
      <c r="AM635" s="338"/>
      <c r="AN635" s="323"/>
      <c r="AO635" s="282"/>
      <c r="AP635" s="306"/>
      <c r="AQ635" s="282"/>
      <c r="AR635" s="282"/>
      <c r="AS635" s="282"/>
      <c r="AT635" s="281"/>
      <c r="AU635" s="281"/>
      <c r="AV635" s="281"/>
      <c r="AW635" s="281"/>
      <c r="AX635" s="281"/>
      <c r="AY635" s="281"/>
      <c r="AZ635" s="281"/>
    </row>
    <row r="636" spans="1:52" ht="15" customHeight="1" x14ac:dyDescent="0.3">
      <c r="A636" s="294">
        <v>46191</v>
      </c>
      <c r="B636" s="321" t="s">
        <v>47</v>
      </c>
      <c r="C636" s="321" t="s">
        <v>47</v>
      </c>
      <c r="D636" s="294" t="s">
        <v>48</v>
      </c>
      <c r="E636" s="321" t="s">
        <v>138</v>
      </c>
      <c r="F636" s="295">
        <v>17733277</v>
      </c>
      <c r="G636" s="296"/>
      <c r="H636" s="280" t="s">
        <v>84</v>
      </c>
      <c r="I636" s="323" t="s">
        <v>168</v>
      </c>
      <c r="J636" s="323" t="s">
        <v>2663</v>
      </c>
      <c r="K636" s="294">
        <v>46240</v>
      </c>
      <c r="L636" s="294">
        <v>46247</v>
      </c>
      <c r="M636" s="284">
        <f>Table1[[#This Row],[Dep Date]]-Table1[[#This Row],[Arr Date]]</f>
        <v>7</v>
      </c>
      <c r="N636" s="323" t="s">
        <v>52</v>
      </c>
      <c r="O636" s="321">
        <v>2</v>
      </c>
      <c r="P636" s="321">
        <v>4</v>
      </c>
      <c r="Q636" s="321"/>
      <c r="R636" s="321"/>
      <c r="S636" s="321" t="s">
        <v>53</v>
      </c>
      <c r="T636" s="326" t="s">
        <v>2212</v>
      </c>
      <c r="U636" s="297"/>
      <c r="V636" s="294"/>
      <c r="W636" s="297"/>
      <c r="X636" s="294"/>
      <c r="Y636" s="329"/>
      <c r="Z636" s="329"/>
      <c r="AA636" s="332">
        <f>Table1[[#This Row],[Selling USD]]-Table1[[#This Row],[Cost USD]]</f>
        <v>0</v>
      </c>
      <c r="AB636" s="335">
        <f>58*2*7*2</f>
        <v>1624</v>
      </c>
      <c r="AC636" s="298">
        <v>1680</v>
      </c>
      <c r="AD636" s="299">
        <f>Table1[[#This Row],[Selling EUR]]-Table1[[#This Row],[Cost EUR]]</f>
        <v>56</v>
      </c>
      <c r="AE636" s="321" t="s">
        <v>54</v>
      </c>
      <c r="AF636" s="294">
        <v>46229</v>
      </c>
      <c r="AG636" s="294"/>
      <c r="AH636" s="321"/>
      <c r="AI636" s="323"/>
      <c r="AJ636" s="338"/>
      <c r="AK636" s="323"/>
      <c r="AL636" s="338"/>
      <c r="AM636" s="338"/>
      <c r="AN636" s="323"/>
      <c r="AO636" s="282"/>
      <c r="AP636" s="306"/>
      <c r="AQ636" s="282"/>
      <c r="AR636" s="282"/>
      <c r="AS636" s="282"/>
      <c r="AT636" s="281"/>
      <c r="AU636" s="281"/>
      <c r="AV636" s="281"/>
      <c r="AW636" s="281"/>
      <c r="AX636" s="281"/>
      <c r="AY636" s="281"/>
      <c r="AZ636" s="281"/>
    </row>
    <row r="637" spans="1:52" ht="15" customHeight="1" x14ac:dyDescent="0.3">
      <c r="A637" s="294">
        <v>46192</v>
      </c>
      <c r="B637" s="321" t="s">
        <v>47</v>
      </c>
      <c r="C637" s="321" t="s">
        <v>47</v>
      </c>
      <c r="D637" s="294" t="s">
        <v>48</v>
      </c>
      <c r="E637" s="321" t="s">
        <v>49</v>
      </c>
      <c r="F637" s="295">
        <v>17736140</v>
      </c>
      <c r="G637" s="296"/>
      <c r="H637" s="280" t="s">
        <v>58</v>
      </c>
      <c r="I637" s="323" t="s">
        <v>64</v>
      </c>
      <c r="J637" s="323" t="s">
        <v>2664</v>
      </c>
      <c r="K637" s="294">
        <v>46238</v>
      </c>
      <c r="L637" s="294">
        <v>46247</v>
      </c>
      <c r="M637" s="284">
        <f>Table1[[#This Row],[Dep Date]]-Table1[[#This Row],[Arr Date]]</f>
        <v>9</v>
      </c>
      <c r="N637" s="323" t="s">
        <v>52</v>
      </c>
      <c r="O637" s="321">
        <v>1</v>
      </c>
      <c r="P637" s="321">
        <v>2</v>
      </c>
      <c r="Q637" s="321">
        <v>1</v>
      </c>
      <c r="R637" s="321"/>
      <c r="S637" s="321" t="s">
        <v>53</v>
      </c>
      <c r="T637" s="326" t="s">
        <v>2213</v>
      </c>
      <c r="U637" s="297">
        <v>14</v>
      </c>
      <c r="V637" s="294"/>
      <c r="W637" s="297"/>
      <c r="X637" s="294"/>
      <c r="Y637" s="329"/>
      <c r="Z637" s="329"/>
      <c r="AA637" s="332">
        <f>Table1[[#This Row],[Selling USD]]-Table1[[#This Row],[Cost USD]]</f>
        <v>0</v>
      </c>
      <c r="AB637" s="335">
        <f>39*2*9</f>
        <v>702</v>
      </c>
      <c r="AC637" s="298">
        <v>738</v>
      </c>
      <c r="AD637" s="299">
        <f>Table1[[#This Row],[Selling EUR]]-Table1[[#This Row],[Cost EUR]]</f>
        <v>36</v>
      </c>
      <c r="AE637" s="321" t="s">
        <v>54</v>
      </c>
      <c r="AF637" s="294">
        <v>46229</v>
      </c>
      <c r="AG637" s="294"/>
      <c r="AH637" s="321"/>
      <c r="AI637" s="323"/>
      <c r="AJ637" s="338"/>
      <c r="AK637" s="323"/>
      <c r="AL637" s="338"/>
      <c r="AM637" s="338"/>
      <c r="AN637" s="323"/>
      <c r="AO637" s="282"/>
      <c r="AP637" s="306"/>
      <c r="AQ637" s="282"/>
      <c r="AR637" s="282"/>
      <c r="AS637" s="282"/>
      <c r="AT637" s="281"/>
      <c r="AU637" s="281"/>
      <c r="AV637" s="281"/>
      <c r="AW637" s="281"/>
      <c r="AX637" s="281"/>
      <c r="AY637" s="281"/>
      <c r="AZ637" s="281"/>
    </row>
    <row r="638" spans="1:52" ht="15" customHeight="1" x14ac:dyDescent="0.3">
      <c r="A638" s="294">
        <v>46193</v>
      </c>
      <c r="B638" s="321" t="s">
        <v>47</v>
      </c>
      <c r="C638" s="321" t="s">
        <v>47</v>
      </c>
      <c r="D638" s="294" t="s">
        <v>48</v>
      </c>
      <c r="E638" s="321" t="s">
        <v>138</v>
      </c>
      <c r="F638" s="295">
        <v>17736834</v>
      </c>
      <c r="G638" s="296"/>
      <c r="H638" s="280" t="s">
        <v>84</v>
      </c>
      <c r="I638" s="323" t="s">
        <v>227</v>
      </c>
      <c r="J638" s="323" t="s">
        <v>155</v>
      </c>
      <c r="K638" s="294">
        <v>46272</v>
      </c>
      <c r="L638" s="294">
        <v>46279</v>
      </c>
      <c r="M638" s="284">
        <f>Table1[[#This Row],[Dep Date]]-Table1[[#This Row],[Arr Date]]</f>
        <v>7</v>
      </c>
      <c r="N638" s="323" t="s">
        <v>52</v>
      </c>
      <c r="O638" s="321">
        <v>1</v>
      </c>
      <c r="P638" s="321">
        <v>2</v>
      </c>
      <c r="Q638" s="321"/>
      <c r="R638" s="321"/>
      <c r="S638" s="321" t="s">
        <v>53</v>
      </c>
      <c r="T638" s="326" t="s">
        <v>2214</v>
      </c>
      <c r="U638" s="297"/>
      <c r="V638" s="294"/>
      <c r="W638" s="297"/>
      <c r="X638" s="294"/>
      <c r="Y638" s="329"/>
      <c r="Z638" s="329"/>
      <c r="AA638" s="332">
        <f>Table1[[#This Row],[Selling USD]]-Table1[[#This Row],[Cost USD]]</f>
        <v>0</v>
      </c>
      <c r="AB638" s="335">
        <f>43*2*7</f>
        <v>602</v>
      </c>
      <c r="AC638" s="298">
        <v>630</v>
      </c>
      <c r="AD638" s="299">
        <f>Table1[[#This Row],[Selling EUR]]-Table1[[#This Row],[Cost EUR]]</f>
        <v>28</v>
      </c>
      <c r="AE638" s="321" t="s">
        <v>54</v>
      </c>
      <c r="AF638" s="294">
        <v>46264</v>
      </c>
      <c r="AG638" s="294"/>
      <c r="AH638" s="321"/>
      <c r="AI638" s="323"/>
      <c r="AJ638" s="338"/>
      <c r="AK638" s="323"/>
      <c r="AL638" s="338"/>
      <c r="AM638" s="338"/>
      <c r="AN638" s="323"/>
      <c r="AO638" s="282"/>
      <c r="AP638" s="306"/>
      <c r="AQ638" s="282"/>
      <c r="AR638" s="282"/>
      <c r="AS638" s="282"/>
      <c r="AT638" s="281"/>
      <c r="AU638" s="281"/>
      <c r="AV638" s="281"/>
      <c r="AW638" s="281"/>
      <c r="AX638" s="281"/>
      <c r="AY638" s="281"/>
      <c r="AZ638" s="281"/>
    </row>
    <row r="639" spans="1:52" ht="15" customHeight="1" x14ac:dyDescent="0.3">
      <c r="A639" s="294">
        <v>46195</v>
      </c>
      <c r="B639" s="321" t="s">
        <v>47</v>
      </c>
      <c r="C639" s="321" t="s">
        <v>47</v>
      </c>
      <c r="D639" s="294" t="s">
        <v>48</v>
      </c>
      <c r="E639" s="321" t="s">
        <v>138</v>
      </c>
      <c r="F639" s="295">
        <v>17742436</v>
      </c>
      <c r="G639" s="296"/>
      <c r="H639" s="280" t="s">
        <v>84</v>
      </c>
      <c r="I639" s="323" t="s">
        <v>227</v>
      </c>
      <c r="J639" s="323" t="s">
        <v>2652</v>
      </c>
      <c r="K639" s="294">
        <v>46293</v>
      </c>
      <c r="L639" s="294">
        <v>46300</v>
      </c>
      <c r="M639" s="284">
        <f>Table1[[#This Row],[Dep Date]]-Table1[[#This Row],[Arr Date]]</f>
        <v>7</v>
      </c>
      <c r="N639" s="323" t="s">
        <v>52</v>
      </c>
      <c r="O639" s="321">
        <v>1</v>
      </c>
      <c r="P639" s="321">
        <v>2</v>
      </c>
      <c r="Q639" s="321"/>
      <c r="R639" s="321"/>
      <c r="S639" s="321" t="s">
        <v>53</v>
      </c>
      <c r="T639" s="326" t="s">
        <v>2215</v>
      </c>
      <c r="U639" s="297"/>
      <c r="V639" s="294"/>
      <c r="W639" s="297"/>
      <c r="X639" s="294"/>
      <c r="Y639" s="329"/>
      <c r="Z639" s="329"/>
      <c r="AA639" s="332">
        <f>Table1[[#This Row],[Selling USD]]-Table1[[#This Row],[Cost USD]]</f>
        <v>0</v>
      </c>
      <c r="AB639" s="335">
        <f>48*2*7</f>
        <v>672</v>
      </c>
      <c r="AC639" s="298">
        <v>700</v>
      </c>
      <c r="AD639" s="299">
        <f>Table1[[#This Row],[Selling EUR]]-Table1[[#This Row],[Cost EUR]]</f>
        <v>28</v>
      </c>
      <c r="AE639" s="321" t="s">
        <v>54</v>
      </c>
      <c r="AF639" s="294">
        <v>46285</v>
      </c>
      <c r="AG639" s="294"/>
      <c r="AH639" s="321"/>
      <c r="AI639" s="323"/>
      <c r="AJ639" s="338"/>
      <c r="AK639" s="323"/>
      <c r="AL639" s="338"/>
      <c r="AM639" s="338"/>
      <c r="AN639" s="323"/>
      <c r="AO639" s="282"/>
      <c r="AP639" s="306"/>
      <c r="AQ639" s="282"/>
      <c r="AR639" s="282"/>
      <c r="AS639" s="282"/>
      <c r="AT639" s="281"/>
      <c r="AU639" s="281"/>
      <c r="AV639" s="281"/>
      <c r="AW639" s="281"/>
      <c r="AX639" s="281"/>
      <c r="AY639" s="281"/>
      <c r="AZ639" s="281"/>
    </row>
    <row r="640" spans="1:52" ht="15" customHeight="1" x14ac:dyDescent="0.3">
      <c r="A640" s="294">
        <v>46195</v>
      </c>
      <c r="B640" s="321" t="s">
        <v>47</v>
      </c>
      <c r="C640" s="321" t="s">
        <v>47</v>
      </c>
      <c r="D640" s="294" t="s">
        <v>48</v>
      </c>
      <c r="E640" s="321" t="s">
        <v>49</v>
      </c>
      <c r="F640" s="295">
        <v>17742591</v>
      </c>
      <c r="G640" s="296"/>
      <c r="H640" s="280" t="s">
        <v>50</v>
      </c>
      <c r="I640" s="323" t="s">
        <v>2659</v>
      </c>
      <c r="J640" s="323" t="s">
        <v>2646</v>
      </c>
      <c r="K640" s="294">
        <v>46319</v>
      </c>
      <c r="L640" s="294">
        <v>46326</v>
      </c>
      <c r="M640" s="284">
        <f>Table1[[#This Row],[Dep Date]]-Table1[[#This Row],[Arr Date]]</f>
        <v>7</v>
      </c>
      <c r="N640" s="323" t="s">
        <v>52</v>
      </c>
      <c r="O640" s="321">
        <v>1</v>
      </c>
      <c r="P640" s="321">
        <v>2</v>
      </c>
      <c r="Q640" s="321">
        <v>1</v>
      </c>
      <c r="R640" s="321"/>
      <c r="S640" s="321" t="s">
        <v>53</v>
      </c>
      <c r="T640" s="326" t="s">
        <v>2216</v>
      </c>
      <c r="U640" s="297">
        <v>13</v>
      </c>
      <c r="V640" s="294"/>
      <c r="W640" s="297"/>
      <c r="X640" s="294"/>
      <c r="Y640" s="329"/>
      <c r="Z640" s="329"/>
      <c r="AA640" s="332">
        <f>Table1[[#This Row],[Selling USD]]-Table1[[#This Row],[Cost USD]]</f>
        <v>0</v>
      </c>
      <c r="AB640" s="335">
        <f>46*2*7</f>
        <v>644</v>
      </c>
      <c r="AC640" s="298">
        <v>686</v>
      </c>
      <c r="AD640" s="299">
        <f>Table1[[#This Row],[Selling EUR]]-Table1[[#This Row],[Cost EUR]]</f>
        <v>42</v>
      </c>
      <c r="AE640" s="321" t="s">
        <v>54</v>
      </c>
      <c r="AF640" s="294">
        <v>46306</v>
      </c>
      <c r="AG640" s="294"/>
      <c r="AH640" s="321"/>
      <c r="AI640" s="323"/>
      <c r="AJ640" s="338"/>
      <c r="AK640" s="323"/>
      <c r="AL640" s="338"/>
      <c r="AM640" s="338"/>
      <c r="AN640" s="323"/>
      <c r="AO640" s="282"/>
      <c r="AP640" s="306"/>
      <c r="AQ640" s="282"/>
      <c r="AR640" s="282"/>
      <c r="AS640" s="282"/>
      <c r="AT640" s="281"/>
      <c r="AU640" s="281"/>
      <c r="AV640" s="281"/>
      <c r="AW640" s="281"/>
      <c r="AX640" s="281"/>
      <c r="AY640" s="281"/>
      <c r="AZ640" s="281"/>
    </row>
    <row r="641" spans="1:52" ht="15" customHeight="1" x14ac:dyDescent="0.3">
      <c r="A641" s="294">
        <v>46195</v>
      </c>
      <c r="B641" s="321" t="s">
        <v>47</v>
      </c>
      <c r="C641" s="321" t="s">
        <v>47</v>
      </c>
      <c r="D641" s="294" t="s">
        <v>48</v>
      </c>
      <c r="E641" s="321" t="s">
        <v>49</v>
      </c>
      <c r="F641" s="295">
        <v>17743275</v>
      </c>
      <c r="G641" s="296"/>
      <c r="H641" s="280" t="s">
        <v>58</v>
      </c>
      <c r="I641" s="323" t="s">
        <v>189</v>
      </c>
      <c r="J641" s="323" t="s">
        <v>1582</v>
      </c>
      <c r="K641" s="294">
        <v>46264</v>
      </c>
      <c r="L641" s="294">
        <v>46274</v>
      </c>
      <c r="M641" s="284">
        <f>Table1[[#This Row],[Dep Date]]-Table1[[#This Row],[Arr Date]]</f>
        <v>10</v>
      </c>
      <c r="N641" s="323" t="s">
        <v>52</v>
      </c>
      <c r="O641" s="321">
        <v>1</v>
      </c>
      <c r="P641" s="321">
        <v>2</v>
      </c>
      <c r="Q641" s="321">
        <v>2</v>
      </c>
      <c r="R641" s="321"/>
      <c r="S641" s="321" t="s">
        <v>53</v>
      </c>
      <c r="T641" s="326" t="s">
        <v>2217</v>
      </c>
      <c r="U641" s="297">
        <v>13</v>
      </c>
      <c r="V641" s="294"/>
      <c r="W641" s="297">
        <v>11</v>
      </c>
      <c r="X641" s="294"/>
      <c r="Y641" s="329"/>
      <c r="Z641" s="329"/>
      <c r="AA641" s="332">
        <f>Table1[[#This Row],[Selling USD]]-Table1[[#This Row],[Cost USD]]</f>
        <v>0</v>
      </c>
      <c r="AB641" s="335">
        <f>51*2*2+50*2*8</f>
        <v>1004</v>
      </c>
      <c r="AC641" s="298">
        <v>1044</v>
      </c>
      <c r="AD641" s="299">
        <f>Table1[[#This Row],[Selling EUR]]-Table1[[#This Row],[Cost EUR]]</f>
        <v>40</v>
      </c>
      <c r="AE641" s="321" t="s">
        <v>54</v>
      </c>
      <c r="AF641" s="294">
        <v>46254</v>
      </c>
      <c r="AG641" s="294"/>
      <c r="AH641" s="321"/>
      <c r="AI641" s="323"/>
      <c r="AJ641" s="338"/>
      <c r="AK641" s="323"/>
      <c r="AL641" s="338"/>
      <c r="AM641" s="338"/>
      <c r="AN641" s="323"/>
      <c r="AO641" s="282"/>
      <c r="AP641" s="306"/>
      <c r="AQ641" s="282"/>
      <c r="AR641" s="282"/>
      <c r="AS641" s="282"/>
      <c r="AT641" s="281"/>
      <c r="AU641" s="281"/>
      <c r="AV641" s="281"/>
      <c r="AW641" s="281"/>
      <c r="AX641" s="281"/>
      <c r="AY641" s="281"/>
      <c r="AZ641" s="281"/>
    </row>
    <row r="642" spans="1:52" ht="15" customHeight="1" x14ac:dyDescent="0.3">
      <c r="A642" s="294">
        <v>46195</v>
      </c>
      <c r="B642" s="321" t="s">
        <v>47</v>
      </c>
      <c r="C642" s="321" t="s">
        <v>47</v>
      </c>
      <c r="D642" s="294" t="s">
        <v>48</v>
      </c>
      <c r="E642" s="321" t="s">
        <v>138</v>
      </c>
      <c r="F642" s="295">
        <v>17743809</v>
      </c>
      <c r="G642" s="296"/>
      <c r="H642" s="280" t="s">
        <v>84</v>
      </c>
      <c r="I642" s="323" t="s">
        <v>2611</v>
      </c>
      <c r="J642" s="323" t="s">
        <v>128</v>
      </c>
      <c r="K642" s="294">
        <v>46292</v>
      </c>
      <c r="L642" s="294">
        <v>46299</v>
      </c>
      <c r="M642" s="284">
        <f>Table1[[#This Row],[Dep Date]]-Table1[[#This Row],[Arr Date]]</f>
        <v>7</v>
      </c>
      <c r="N642" s="323" t="s">
        <v>1618</v>
      </c>
      <c r="O642" s="321">
        <v>2</v>
      </c>
      <c r="P642" s="321">
        <v>3</v>
      </c>
      <c r="Q642" s="321"/>
      <c r="R642" s="321"/>
      <c r="S642" s="321" t="s">
        <v>53</v>
      </c>
      <c r="T642" s="326" t="s">
        <v>2218</v>
      </c>
      <c r="U642" s="297"/>
      <c r="V642" s="294"/>
      <c r="W642" s="297"/>
      <c r="X642" s="294"/>
      <c r="Y642" s="329"/>
      <c r="Z642" s="329"/>
      <c r="AA642" s="332">
        <f>Table1[[#This Row],[Selling USD]]-Table1[[#This Row],[Cost USD]]</f>
        <v>0</v>
      </c>
      <c r="AB642" s="335">
        <f>31*2*7+31*1.5*7</f>
        <v>759.5</v>
      </c>
      <c r="AC642" s="298">
        <v>651</v>
      </c>
      <c r="AD642" s="299">
        <f>Table1[[#This Row],[Selling EUR]]-Table1[[#This Row],[Cost EUR]]</f>
        <v>-108.5</v>
      </c>
      <c r="AE642" s="321" t="s">
        <v>54</v>
      </c>
      <c r="AF642" s="294">
        <v>46282</v>
      </c>
      <c r="AG642" s="294"/>
      <c r="AH642" s="321"/>
      <c r="AI642" s="323"/>
      <c r="AJ642" s="338"/>
      <c r="AK642" s="323"/>
      <c r="AL642" s="338"/>
      <c r="AM642" s="338"/>
      <c r="AN642" s="323"/>
      <c r="AO642" s="282"/>
      <c r="AP642" s="306"/>
      <c r="AQ642" s="282"/>
      <c r="AR642" s="282"/>
      <c r="AS642" s="282"/>
      <c r="AT642" s="281"/>
      <c r="AU642" s="281"/>
      <c r="AV642" s="281"/>
      <c r="AW642" s="281"/>
      <c r="AX642" s="281"/>
      <c r="AY642" s="281"/>
      <c r="AZ642" s="281"/>
    </row>
    <row r="643" spans="1:52" ht="15" customHeight="1" x14ac:dyDescent="0.3">
      <c r="A643" s="294">
        <v>46196</v>
      </c>
      <c r="B643" s="321" t="s">
        <v>47</v>
      </c>
      <c r="C643" s="321" t="s">
        <v>47</v>
      </c>
      <c r="D643" s="294" t="s">
        <v>48</v>
      </c>
      <c r="E643" s="321" t="s">
        <v>138</v>
      </c>
      <c r="F643" s="295">
        <v>17745838</v>
      </c>
      <c r="G643" s="296"/>
      <c r="H643" s="280" t="s">
        <v>84</v>
      </c>
      <c r="I643" s="323" t="s">
        <v>227</v>
      </c>
      <c r="J643" s="323" t="s">
        <v>128</v>
      </c>
      <c r="K643" s="294">
        <v>46290</v>
      </c>
      <c r="L643" s="294">
        <v>46297</v>
      </c>
      <c r="M643" s="284">
        <f>Table1[[#This Row],[Dep Date]]-Table1[[#This Row],[Arr Date]]</f>
        <v>7</v>
      </c>
      <c r="N643" s="323" t="s">
        <v>52</v>
      </c>
      <c r="O643" s="321">
        <v>1</v>
      </c>
      <c r="P643" s="321">
        <v>2</v>
      </c>
      <c r="Q643" s="321"/>
      <c r="R643" s="321"/>
      <c r="S643" s="321" t="s">
        <v>53</v>
      </c>
      <c r="T643" s="326" t="s">
        <v>2219</v>
      </c>
      <c r="U643" s="297"/>
      <c r="V643" s="294"/>
      <c r="W643" s="297"/>
      <c r="X643" s="294"/>
      <c r="Y643" s="329"/>
      <c r="Z643" s="329"/>
      <c r="AA643" s="332">
        <f>Table1[[#This Row],[Selling USD]]-Table1[[#This Row],[Cost USD]]</f>
        <v>0</v>
      </c>
      <c r="AB643" s="335">
        <f>43*2*7</f>
        <v>602</v>
      </c>
      <c r="AC643" s="298">
        <v>630</v>
      </c>
      <c r="AD643" s="299">
        <f>Table1[[#This Row],[Selling EUR]]-Table1[[#This Row],[Cost EUR]]</f>
        <v>28</v>
      </c>
      <c r="AE643" s="321" t="s">
        <v>54</v>
      </c>
      <c r="AF643" s="294">
        <v>46279</v>
      </c>
      <c r="AG643" s="294"/>
      <c r="AH643" s="321"/>
      <c r="AI643" s="323"/>
      <c r="AJ643" s="338"/>
      <c r="AK643" s="323"/>
      <c r="AL643" s="338"/>
      <c r="AM643" s="338"/>
      <c r="AN643" s="323"/>
      <c r="AO643" s="282"/>
      <c r="AP643" s="306"/>
      <c r="AQ643" s="282"/>
      <c r="AR643" s="282"/>
      <c r="AS643" s="282"/>
      <c r="AT643" s="281"/>
      <c r="AU643" s="281"/>
      <c r="AV643" s="281"/>
      <c r="AW643" s="281"/>
      <c r="AX643" s="281"/>
      <c r="AY643" s="281"/>
      <c r="AZ643" s="281"/>
    </row>
    <row r="644" spans="1:52" ht="15" customHeight="1" x14ac:dyDescent="0.3">
      <c r="A644" s="294">
        <v>46196</v>
      </c>
      <c r="B644" s="321" t="s">
        <v>47</v>
      </c>
      <c r="C644" s="321" t="s">
        <v>47</v>
      </c>
      <c r="D644" s="294" t="s">
        <v>48</v>
      </c>
      <c r="E644" s="321" t="s">
        <v>49</v>
      </c>
      <c r="F644" s="295">
        <v>17746550</v>
      </c>
      <c r="G644" s="296"/>
      <c r="H644" s="291" t="s">
        <v>50</v>
      </c>
      <c r="I644" s="323" t="s">
        <v>222</v>
      </c>
      <c r="J644" s="323" t="s">
        <v>2442</v>
      </c>
      <c r="K644" s="294">
        <v>46233</v>
      </c>
      <c r="L644" s="294">
        <v>46247</v>
      </c>
      <c r="M644" s="284">
        <f>Table1[[#This Row],[Dep Date]]-Table1[[#This Row],[Arr Date]]</f>
        <v>14</v>
      </c>
      <c r="N644" s="323" t="s">
        <v>52</v>
      </c>
      <c r="O644" s="321">
        <v>1</v>
      </c>
      <c r="P644" s="321">
        <v>2</v>
      </c>
      <c r="Q644" s="321"/>
      <c r="R644" s="321"/>
      <c r="S644" s="321" t="s">
        <v>53</v>
      </c>
      <c r="T644" s="326" t="s">
        <v>2220</v>
      </c>
      <c r="U644" s="297"/>
      <c r="V644" s="294"/>
      <c r="W644" s="297"/>
      <c r="X644" s="294"/>
      <c r="Y644" s="329"/>
      <c r="Z644" s="329"/>
      <c r="AA644" s="332">
        <f>Table1[[#This Row],[Selling USD]]-Table1[[#This Row],[Cost USD]]</f>
        <v>0</v>
      </c>
      <c r="AB644" s="335">
        <f>55*2*14</f>
        <v>1540</v>
      </c>
      <c r="AC644" s="298">
        <v>1636</v>
      </c>
      <c r="AD644" s="299">
        <f>Table1[[#This Row],[Selling EUR]]-Table1[[#This Row],[Cost EUR]]</f>
        <v>96</v>
      </c>
      <c r="AE644" s="321" t="s">
        <v>54</v>
      </c>
      <c r="AF644" s="294">
        <v>46223</v>
      </c>
      <c r="AG644" s="294"/>
      <c r="AH644" s="321"/>
      <c r="AI644" s="323"/>
      <c r="AJ644" s="338"/>
      <c r="AK644" s="323"/>
      <c r="AL644" s="338"/>
      <c r="AM644" s="338"/>
      <c r="AN644" s="323"/>
      <c r="AO644" s="293"/>
      <c r="AP644" s="307"/>
      <c r="AQ644" s="293"/>
      <c r="AR644" s="293"/>
      <c r="AS644" s="293"/>
      <c r="AT644" s="292"/>
      <c r="AU644" s="292"/>
      <c r="AV644" s="292"/>
      <c r="AW644" s="292"/>
      <c r="AX644" s="292"/>
      <c r="AY644" s="292"/>
      <c r="AZ644" s="292"/>
    </row>
    <row r="645" spans="1:52" ht="15" customHeight="1" x14ac:dyDescent="0.3">
      <c r="A645" s="309">
        <v>46196</v>
      </c>
      <c r="B645" s="291" t="s">
        <v>47</v>
      </c>
      <c r="C645" s="291" t="s">
        <v>47</v>
      </c>
      <c r="D645" s="309" t="s">
        <v>48</v>
      </c>
      <c r="E645" s="291" t="s">
        <v>49</v>
      </c>
      <c r="F645" s="310">
        <v>17747878</v>
      </c>
      <c r="G645" s="311"/>
      <c r="H645" s="280" t="s">
        <v>58</v>
      </c>
      <c r="I645" s="312" t="s">
        <v>74</v>
      </c>
      <c r="J645" s="312" t="s">
        <v>63</v>
      </c>
      <c r="K645" s="309">
        <v>46236</v>
      </c>
      <c r="L645" s="309">
        <v>46249</v>
      </c>
      <c r="M645" s="310">
        <f>Table1[[#This Row],[Dep Date]]-Table1[[#This Row],[Arr Date]]</f>
        <v>13</v>
      </c>
      <c r="N645" s="312" t="s">
        <v>52</v>
      </c>
      <c r="O645" s="291">
        <v>1</v>
      </c>
      <c r="P645" s="291">
        <v>2</v>
      </c>
      <c r="Q645" s="291"/>
      <c r="R645" s="291"/>
      <c r="S645" s="291" t="s">
        <v>53</v>
      </c>
      <c r="T645" s="314" t="s">
        <v>3147</v>
      </c>
      <c r="U645" s="315"/>
      <c r="V645" s="309"/>
      <c r="W645" s="315"/>
      <c r="X645" s="309"/>
      <c r="Y645" s="330"/>
      <c r="Z645" s="330"/>
      <c r="AA645" s="333">
        <f>Table1[[#This Row],[Selling USD]]-Table1[[#This Row],[Cost USD]]</f>
        <v>0</v>
      </c>
      <c r="AB645" s="336">
        <f>47*2*13</f>
        <v>1222</v>
      </c>
      <c r="AC645" s="318">
        <v>1274</v>
      </c>
      <c r="AD645" s="319">
        <f>Table1[[#This Row],[Selling EUR]]-Table1[[#This Row],[Cost EUR]]</f>
        <v>52</v>
      </c>
      <c r="AE645" s="291" t="s">
        <v>54</v>
      </c>
      <c r="AF645" s="309">
        <v>46229</v>
      </c>
      <c r="AG645" s="309"/>
      <c r="AH645" s="291"/>
      <c r="AI645" s="312"/>
      <c r="AJ645" s="339"/>
      <c r="AK645" s="312"/>
      <c r="AL645" s="339"/>
      <c r="AM645" s="339"/>
      <c r="AN645" s="312"/>
      <c r="AO645" s="282"/>
      <c r="AP645" s="306"/>
      <c r="AQ645" s="282"/>
      <c r="AR645" s="282"/>
      <c r="AS645" s="282"/>
      <c r="AT645" s="281"/>
      <c r="AU645" s="281"/>
      <c r="AV645" s="281"/>
      <c r="AW645" s="281"/>
      <c r="AX645" s="281"/>
      <c r="AY645" s="281"/>
      <c r="AZ645" s="281"/>
    </row>
    <row r="646" spans="1:52" ht="15" customHeight="1" x14ac:dyDescent="0.3">
      <c r="A646" s="308">
        <v>46198</v>
      </c>
      <c r="B646" s="291" t="s">
        <v>47</v>
      </c>
      <c r="C646" s="291" t="s">
        <v>47</v>
      </c>
      <c r="D646" s="309" t="s">
        <v>48</v>
      </c>
      <c r="E646" s="309" t="s">
        <v>138</v>
      </c>
      <c r="F646" s="310">
        <v>17753919</v>
      </c>
      <c r="G646" s="311"/>
      <c r="H646" s="280" t="s">
        <v>84</v>
      </c>
      <c r="I646" s="312" t="s">
        <v>168</v>
      </c>
      <c r="J646" s="313" t="s">
        <v>1410</v>
      </c>
      <c r="K646" s="308">
        <v>46244</v>
      </c>
      <c r="L646" s="308">
        <v>46251</v>
      </c>
      <c r="M646" s="310">
        <f>Table1[[#This Row],[Dep Date]]-Table1[[#This Row],[Arr Date]]</f>
        <v>7</v>
      </c>
      <c r="N646" s="312" t="s">
        <v>52</v>
      </c>
      <c r="O646" s="291">
        <v>1</v>
      </c>
      <c r="P646" s="291">
        <v>2</v>
      </c>
      <c r="Q646" s="291">
        <v>1</v>
      </c>
      <c r="R646" s="291"/>
      <c r="S646" s="291" t="s">
        <v>53</v>
      </c>
      <c r="T646" s="314" t="s">
        <v>3018</v>
      </c>
      <c r="U646" s="315">
        <v>3</v>
      </c>
      <c r="V646" s="308"/>
      <c r="W646" s="315"/>
      <c r="X646" s="308"/>
      <c r="Y646" s="316">
        <v>0</v>
      </c>
      <c r="Z646" s="316">
        <v>0</v>
      </c>
      <c r="AA646" s="317">
        <f>Table1[[#This Row],[Selling USD]]-Table1[[#This Row],[Cost USD]]</f>
        <v>0</v>
      </c>
      <c r="AB646" s="318">
        <f t="shared" ref="AB646:AB649" si="0">47*2*13</f>
        <v>1222</v>
      </c>
      <c r="AC646" s="318">
        <v>934</v>
      </c>
      <c r="AD646" s="319">
        <f>Table1[[#This Row],[Selling EUR]]-Table1[[#This Row],[Cost EUR]]</f>
        <v>-288</v>
      </c>
      <c r="AE646" s="291" t="s">
        <v>54</v>
      </c>
      <c r="AF646" s="308">
        <v>46233</v>
      </c>
      <c r="AG646" s="309"/>
      <c r="AH646" s="309"/>
      <c r="AI646" s="292"/>
      <c r="AJ646" s="292"/>
      <c r="AK646" s="292"/>
      <c r="AL646" s="292"/>
      <c r="AM646" s="292"/>
      <c r="AN646" s="292"/>
      <c r="AO646" s="282"/>
      <c r="AP646" s="306"/>
      <c r="AQ646" s="282"/>
      <c r="AR646" s="282"/>
      <c r="AS646" s="282"/>
      <c r="AT646" s="281"/>
      <c r="AU646" s="281"/>
      <c r="AV646" s="281"/>
      <c r="AW646" s="281"/>
      <c r="AX646" s="281"/>
      <c r="AY646" s="281"/>
      <c r="AZ646" s="281"/>
    </row>
    <row r="647" spans="1:52" ht="15" customHeight="1" x14ac:dyDescent="0.3">
      <c r="A647" s="308">
        <v>46199</v>
      </c>
      <c r="B647" s="291" t="s">
        <v>47</v>
      </c>
      <c r="C647" s="291" t="s">
        <v>47</v>
      </c>
      <c r="D647" s="309" t="s">
        <v>48</v>
      </c>
      <c r="E647" s="309" t="s">
        <v>138</v>
      </c>
      <c r="F647" s="310">
        <v>17756401</v>
      </c>
      <c r="G647" s="311"/>
      <c r="H647" s="280" t="s">
        <v>84</v>
      </c>
      <c r="I647" s="312" t="s">
        <v>1389</v>
      </c>
      <c r="J647" s="313" t="s">
        <v>1402</v>
      </c>
      <c r="K647" s="308">
        <v>46268</v>
      </c>
      <c r="L647" s="308">
        <v>46278</v>
      </c>
      <c r="M647" s="310">
        <f>Table1[[#This Row],[Dep Date]]-Table1[[#This Row],[Arr Date]]</f>
        <v>10</v>
      </c>
      <c r="N647" s="312" t="s">
        <v>70</v>
      </c>
      <c r="O647" s="291">
        <v>1</v>
      </c>
      <c r="P647" s="291">
        <v>3</v>
      </c>
      <c r="Q647" s="291"/>
      <c r="R647" s="291"/>
      <c r="S647" s="291" t="s">
        <v>53</v>
      </c>
      <c r="T647" s="314" t="s">
        <v>3060</v>
      </c>
      <c r="U647" s="315"/>
      <c r="V647" s="308"/>
      <c r="W647" s="315"/>
      <c r="X647" s="308"/>
      <c r="Y647" s="316">
        <v>0</v>
      </c>
      <c r="Z647" s="316">
        <v>0</v>
      </c>
      <c r="AA647" s="317">
        <f>Table1[[#This Row],[Selling USD]]-Table1[[#This Row],[Cost USD]]</f>
        <v>0</v>
      </c>
      <c r="AB647" s="318">
        <f t="shared" si="0"/>
        <v>1222</v>
      </c>
      <c r="AC647" s="318">
        <v>1290</v>
      </c>
      <c r="AD647" s="319">
        <f>Table1[[#This Row],[Selling EUR]]-Table1[[#This Row],[Cost EUR]]</f>
        <v>68</v>
      </c>
      <c r="AE647" s="291" t="s">
        <v>54</v>
      </c>
      <c r="AF647" s="308">
        <v>46260</v>
      </c>
      <c r="AG647" s="309"/>
      <c r="AH647" s="309"/>
      <c r="AI647" s="292"/>
      <c r="AJ647" s="292"/>
      <c r="AK647" s="292"/>
      <c r="AL647" s="292"/>
      <c r="AM647" s="292"/>
      <c r="AN647" s="292"/>
      <c r="AO647" s="282"/>
      <c r="AP647" s="306"/>
      <c r="AQ647" s="282"/>
      <c r="AR647" s="282"/>
      <c r="AS647" s="282"/>
      <c r="AT647" s="281"/>
      <c r="AU647" s="281"/>
      <c r="AV647" s="281"/>
      <c r="AW647" s="281"/>
      <c r="AX647" s="281"/>
      <c r="AY647" s="281"/>
      <c r="AZ647" s="281"/>
    </row>
    <row r="648" spans="1:52" ht="15" customHeight="1" x14ac:dyDescent="0.3">
      <c r="A648" s="308">
        <v>46199</v>
      </c>
      <c r="B648" s="291" t="s">
        <v>47</v>
      </c>
      <c r="C648" s="291" t="s">
        <v>47</v>
      </c>
      <c r="D648" s="309" t="s">
        <v>48</v>
      </c>
      <c r="E648" s="309" t="s">
        <v>138</v>
      </c>
      <c r="F648" s="310">
        <v>17757691</v>
      </c>
      <c r="G648" s="311"/>
      <c r="H648" s="280" t="s">
        <v>84</v>
      </c>
      <c r="I648" s="312" t="s">
        <v>168</v>
      </c>
      <c r="J648" s="313" t="s">
        <v>1410</v>
      </c>
      <c r="K648" s="308">
        <v>46248</v>
      </c>
      <c r="L648" s="308">
        <v>46261</v>
      </c>
      <c r="M648" s="310">
        <f>Table1[[#This Row],[Dep Date]]-Table1[[#This Row],[Arr Date]]</f>
        <v>13</v>
      </c>
      <c r="N648" s="312" t="s">
        <v>65</v>
      </c>
      <c r="O648" s="291">
        <v>1</v>
      </c>
      <c r="P648" s="291">
        <v>1</v>
      </c>
      <c r="Q648" s="291"/>
      <c r="R648" s="291"/>
      <c r="S648" s="291" t="s">
        <v>53</v>
      </c>
      <c r="T648" s="314" t="s">
        <v>3096</v>
      </c>
      <c r="U648" s="315"/>
      <c r="V648" s="308"/>
      <c r="W648" s="315"/>
      <c r="X648" s="308"/>
      <c r="Y648" s="316">
        <v>0</v>
      </c>
      <c r="Z648" s="316">
        <v>0</v>
      </c>
      <c r="AA648" s="317">
        <f>Table1[[#This Row],[Selling USD]]-Table1[[#This Row],[Cost USD]]</f>
        <v>0</v>
      </c>
      <c r="AB648" s="318">
        <f t="shared" si="0"/>
        <v>1222</v>
      </c>
      <c r="AC648" s="318">
        <v>1197</v>
      </c>
      <c r="AD648" s="319">
        <f>Table1[[#This Row],[Selling EUR]]-Table1[[#This Row],[Cost EUR]]</f>
        <v>-25</v>
      </c>
      <c r="AE648" s="291" t="s">
        <v>54</v>
      </c>
      <c r="AF648" s="308">
        <v>46237</v>
      </c>
      <c r="AG648" s="309"/>
      <c r="AH648" s="309"/>
      <c r="AI648" s="292"/>
      <c r="AJ648" s="292"/>
      <c r="AK648" s="292"/>
      <c r="AL648" s="292"/>
      <c r="AM648" s="292"/>
      <c r="AN648" s="292"/>
      <c r="AO648" s="282"/>
      <c r="AP648" s="306"/>
      <c r="AQ648" s="282"/>
      <c r="AR648" s="282"/>
      <c r="AS648" s="282"/>
      <c r="AT648" s="281"/>
      <c r="AU648" s="281"/>
      <c r="AV648" s="281"/>
      <c r="AW648" s="281"/>
      <c r="AX648" s="281"/>
      <c r="AY648" s="281"/>
      <c r="AZ648" s="281"/>
    </row>
    <row r="649" spans="1:52" ht="15" customHeight="1" x14ac:dyDescent="0.3">
      <c r="A649" s="308">
        <v>46199</v>
      </c>
      <c r="B649" s="291" t="s">
        <v>47</v>
      </c>
      <c r="C649" s="291" t="s">
        <v>47</v>
      </c>
      <c r="D649" s="309" t="s">
        <v>48</v>
      </c>
      <c r="E649" s="309" t="s">
        <v>138</v>
      </c>
      <c r="F649" s="310">
        <v>17758397</v>
      </c>
      <c r="G649" s="311"/>
      <c r="H649" s="280" t="s">
        <v>84</v>
      </c>
      <c r="I649" s="312" t="s">
        <v>1389</v>
      </c>
      <c r="J649" s="313" t="s">
        <v>1415</v>
      </c>
      <c r="K649" s="308">
        <v>46277</v>
      </c>
      <c r="L649" s="308">
        <v>46284</v>
      </c>
      <c r="M649" s="310">
        <f>Table1[[#This Row],[Dep Date]]-Table1[[#This Row],[Arr Date]]</f>
        <v>7</v>
      </c>
      <c r="N649" s="312" t="s">
        <v>70</v>
      </c>
      <c r="O649" s="291">
        <v>1</v>
      </c>
      <c r="P649" s="291">
        <v>3</v>
      </c>
      <c r="Q649" s="291"/>
      <c r="R649" s="291"/>
      <c r="S649" s="291" t="s">
        <v>53</v>
      </c>
      <c r="T649" s="314" t="s">
        <v>3132</v>
      </c>
      <c r="U649" s="315"/>
      <c r="V649" s="308"/>
      <c r="W649" s="315"/>
      <c r="X649" s="308"/>
      <c r="Y649" s="316">
        <v>0</v>
      </c>
      <c r="Z649" s="316">
        <v>0</v>
      </c>
      <c r="AA649" s="317">
        <f>Table1[[#This Row],[Selling USD]]-Table1[[#This Row],[Cost USD]]</f>
        <v>0</v>
      </c>
      <c r="AB649" s="318">
        <f t="shared" si="0"/>
        <v>1222</v>
      </c>
      <c r="AC649" s="318">
        <v>1008</v>
      </c>
      <c r="AD649" s="319">
        <f>Table1[[#This Row],[Selling EUR]]-Table1[[#This Row],[Cost EUR]]</f>
        <v>-214</v>
      </c>
      <c r="AE649" s="291" t="s">
        <v>54</v>
      </c>
      <c r="AF649" s="308">
        <v>46266</v>
      </c>
      <c r="AG649" s="309"/>
      <c r="AH649" s="309"/>
      <c r="AI649" s="292"/>
      <c r="AJ649" s="292"/>
      <c r="AK649" s="292"/>
      <c r="AL649" s="292"/>
      <c r="AM649" s="292"/>
      <c r="AN649" s="292"/>
      <c r="AO649" s="282"/>
      <c r="AP649" s="306"/>
      <c r="AQ649" s="282"/>
      <c r="AR649" s="282"/>
      <c r="AS649" s="282"/>
      <c r="AT649" s="281"/>
      <c r="AU649" s="281"/>
      <c r="AV649" s="281"/>
      <c r="AW649" s="281"/>
      <c r="AX649" s="281"/>
      <c r="AY649" s="281"/>
      <c r="AZ649" s="281"/>
    </row>
    <row r="1047317" spans="25:30" ht="15" customHeight="1" x14ac:dyDescent="0.3">
      <c r="Y1047317" s="115"/>
      <c r="Z1047317" s="116"/>
      <c r="AA1047317" s="115"/>
      <c r="AB1047317" s="116"/>
    </row>
    <row r="1047318" spans="25:30" ht="15" customHeight="1" x14ac:dyDescent="0.3">
      <c r="Y1047318" s="135"/>
      <c r="AA1047318" s="133"/>
      <c r="AB1047318" s="134"/>
      <c r="AD1047318" s="133"/>
    </row>
  </sheetData>
  <phoneticPr fontId="4" type="noConversion"/>
  <conditionalFormatting sqref="Y2:Y649">
    <cfRule type="cellIs" dxfId="113" priority="12" operator="equal">
      <formula>FALSE</formula>
    </cfRule>
  </conditionalFormatting>
  <conditionalFormatting sqref="AB2:AB649">
    <cfRule type="cellIs" dxfId="112" priority="10" operator="equal">
      <formula>0</formula>
    </cfRule>
    <cfRule type="cellIs" dxfId="111" priority="11" operator="equal">
      <formula>FALSE</formula>
    </cfRule>
  </conditionalFormatting>
  <dataValidations count="1">
    <dataValidation type="list" allowBlank="1" showInputMessage="1" showErrorMessage="1" sqref="AE2:AE649" xr:uid="{8046E560-581D-4F57-9465-906D463068D7}">
      <formula1>Payment</formula1>
    </dataValidation>
  </dataValidations>
  <pageMargins left="0.7" right="0.7" top="0.75" bottom="0.75" header="0.3" footer="0.3"/>
  <pageSetup orientation="portrait" r:id="rId1"/>
  <legacy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7B2B68-8E1D-442A-B55A-C29375311CBC}">
  <sheetPr codeName="Sheet3">
    <tabColor rgb="FF1F4E78"/>
  </sheetPr>
  <dimension ref="A1:AE458"/>
  <sheetViews>
    <sheetView showGridLines="0" showRowColHeaders="0" workbookViewId="0">
      <selection activeCell="C30" sqref="C30"/>
    </sheetView>
  </sheetViews>
  <sheetFormatPr defaultRowHeight="14.4" outlineLevelCol="2" x14ac:dyDescent="0.3"/>
  <cols>
    <col min="1" max="1" width="15" bestFit="1" customWidth="1"/>
    <col min="2" max="2" width="31.33203125" customWidth="1"/>
    <col min="3" max="3" width="9.6640625" bestFit="1" customWidth="1"/>
    <col min="4" max="4" width="12.6640625" bestFit="1" customWidth="1"/>
    <col min="5" max="5" width="12" bestFit="1" customWidth="1"/>
    <col min="6" max="6" width="9.6640625" bestFit="1" customWidth="1"/>
    <col min="7" max="7" width="12.33203125" bestFit="1" customWidth="1"/>
    <col min="8" max="9" width="12" bestFit="1" customWidth="1"/>
    <col min="10" max="10" width="10.5546875" bestFit="1" customWidth="1"/>
    <col min="11" max="11" width="12.33203125" bestFit="1" customWidth="1"/>
    <col min="12" max="12" width="15.6640625" bestFit="1" customWidth="1"/>
    <col min="13" max="13" width="47.44140625" bestFit="1" customWidth="1"/>
    <col min="14" max="14" width="12" bestFit="1" customWidth="1"/>
    <col min="15" max="15" width="50.5546875" bestFit="1" customWidth="1"/>
    <col min="17" max="31" width="8.88671875" customWidth="1" outlineLevel="2"/>
  </cols>
  <sheetData>
    <row r="1" spans="1:31" ht="29.4" x14ac:dyDescent="0.65">
      <c r="A1" s="352" t="s">
        <v>1312</v>
      </c>
      <c r="B1" s="353"/>
      <c r="C1" s="353"/>
      <c r="D1" s="353"/>
      <c r="E1" s="353"/>
      <c r="F1" s="353"/>
      <c r="G1" s="353"/>
      <c r="H1" s="353"/>
      <c r="I1" s="353"/>
      <c r="J1" s="353"/>
      <c r="K1" s="353"/>
      <c r="L1" s="353"/>
      <c r="M1" s="353"/>
      <c r="N1" s="353"/>
      <c r="O1" s="353"/>
      <c r="P1" s="148"/>
      <c r="Q1" s="347" t="s">
        <v>1350</v>
      </c>
      <c r="R1" s="348"/>
      <c r="S1" s="348"/>
      <c r="T1" s="348"/>
      <c r="U1" s="348"/>
      <c r="V1" s="348"/>
      <c r="W1" s="348"/>
      <c r="X1" s="148"/>
      <c r="Y1" s="149" t="s">
        <v>1356</v>
      </c>
      <c r="Z1" s="148"/>
      <c r="AA1" s="148"/>
      <c r="AB1" s="148"/>
      <c r="AC1" s="148"/>
      <c r="AD1" s="148"/>
      <c r="AE1" s="148"/>
    </row>
    <row r="2" spans="1:31" ht="15" x14ac:dyDescent="0.35">
      <c r="A2" s="354" t="s">
        <v>1313</v>
      </c>
      <c r="B2" s="355"/>
      <c r="C2" s="355"/>
      <c r="D2" s="355"/>
      <c r="E2" s="355"/>
      <c r="F2" s="355"/>
      <c r="G2" s="355"/>
      <c r="H2" s="355"/>
      <c r="I2" s="355"/>
      <c r="J2" s="355"/>
      <c r="K2" s="355"/>
      <c r="L2" s="355"/>
      <c r="M2" s="355"/>
      <c r="N2" s="355"/>
      <c r="O2" s="355"/>
      <c r="P2" s="148"/>
      <c r="Q2" s="150" t="s">
        <v>1332</v>
      </c>
      <c r="R2" s="150" t="s">
        <v>1342</v>
      </c>
      <c r="S2" s="150" t="s">
        <v>1326</v>
      </c>
      <c r="T2" s="150" t="s">
        <v>1351</v>
      </c>
      <c r="U2" s="150" t="s">
        <v>28</v>
      </c>
      <c r="V2" s="150" t="s">
        <v>29</v>
      </c>
      <c r="W2" s="150" t="s">
        <v>1352</v>
      </c>
      <c r="X2" s="148"/>
      <c r="Y2" s="150" t="s">
        <v>1357</v>
      </c>
      <c r="Z2" s="150" t="s">
        <v>1358</v>
      </c>
      <c r="AA2" s="150" t="s">
        <v>1355</v>
      </c>
      <c r="AB2" s="150" t="s">
        <v>1359</v>
      </c>
      <c r="AC2" s="150" t="s">
        <v>1360</v>
      </c>
      <c r="AD2" s="150" t="s">
        <v>1361</v>
      </c>
      <c r="AE2" s="150" t="s">
        <v>1362</v>
      </c>
    </row>
    <row r="3" spans="1:31" x14ac:dyDescent="0.3">
      <c r="A3" s="148"/>
      <c r="B3" s="148"/>
      <c r="C3" s="148"/>
      <c r="D3" s="148"/>
      <c r="E3" s="148"/>
      <c r="F3" s="148"/>
      <c r="G3" s="148"/>
      <c r="H3" s="148"/>
      <c r="I3" s="148"/>
      <c r="J3" s="148"/>
      <c r="K3" s="148"/>
      <c r="L3" s="148"/>
      <c r="M3" s="148"/>
      <c r="N3" s="148"/>
      <c r="O3" s="148"/>
      <c r="P3" s="148"/>
      <c r="Q3" s="148" t="s">
        <v>62</v>
      </c>
      <c r="R3" s="148" cm="1">
        <f t="array" ref="R3">IF($Q3="",0,SUMPRODUCT((Table1[Arr Date]&gt;=$B$5)*(Table1[Arr Date]&lt;=$B$6)*(($B$7="ALL")+(Table1[HTL BKG Status]=$B$7)&gt;0)*(($B$8="ALL")+(Table1[T/O]=$B$8)&gt;0)*(($B$9="ALL")+(TRIM(Table1[Market])=$B$9)&gt;0)*(($B$10="ALL")+(Table1[Resort]=$B$10)&gt;0)*(TRIM(Table1[Hotel Name])=$Q3)))</f>
        <v>7</v>
      </c>
      <c r="S3" s="148" cm="1">
        <f t="array" ref="S3">IF($Q3="",0,SUMPRODUCT((Table1[Arr Date]&gt;=$B$5)*(Table1[Arr Date]&lt;=$B$6)*(($B$7="ALL")+(Table1[HTL BKG Status]=$B$7)&gt;0)*(($B$8="ALL")+(Table1[T/O]=$B$8)&gt;0)*(($B$9="ALL")+(TRIM(Table1[Market])=$B$9)&gt;0)*(($B$10="ALL")+(Table1[Resort]=$B$10)&gt;0)*(TRIM(Table1[Hotel Name])=$Q3)*IFERROR(Table1[No RMS]+0,0)))</f>
        <v>7</v>
      </c>
      <c r="T3" s="148" cm="1">
        <f t="array" ref="T3">IF($Q3="",0,SUMPRODUCT((Table1[Arr Date]&gt;=$B$5)*(Table1[Arr Date]&lt;=$B$6)*(($B$7="ALL")+(Table1[HTL BKG Status]=$B$7)&gt;0)*(($B$8="ALL")+(Table1[T/O]=$B$8)&gt;0)*(($B$9="ALL")+(TRIM(Table1[Market])=$B$9)&gt;0)*(($B$10="ALL")+(Table1[Resort]=$B$10)&gt;0)*(TRIM(Table1[Hotel Name])=$Q3)*IFERROR(Table1[NTS]+0,0)*IFERROR(Table1[No RMS]+0,0)))</f>
        <v>60</v>
      </c>
      <c r="U3" s="148" cm="1">
        <f t="array" ref="U3">IF($Q3="",0,SUMPRODUCT((Table1[Arr Date]&gt;=$B$5)*(Table1[Arr Date]&lt;=$B$6)*(($B$7="ALL")+(Table1[HTL BKG Status]=$B$7)&gt;0)*(($B$8="ALL")+(Table1[T/O]=$B$8)&gt;0)*(($B$9="ALL")+(TRIM(Table1[Market])=$B$9)&gt;0)*(($B$10="ALL")+(Table1[Resort]=$B$10)&gt;0)*(TRIM(Table1[Hotel Name])=$Q3)*IFERROR(Table1[Selling EUR]+0,0)))</f>
        <v>3810.6</v>
      </c>
      <c r="V3" s="148" cm="1">
        <f t="array" ref="V3">IF($Q3="",0,SUMPRODUCT((Table1[Arr Date]&gt;=$B$5)*(Table1[Arr Date]&lt;=$B$6)*(($B$7="ALL")+(Table1[HTL BKG Status]=$B$7)&gt;0)*(($B$8="ALL")+(Table1[T/O]=$B$8)&gt;0)*(($B$9="ALL")+(TRIM(Table1[Market])=$B$9)&gt;0)*(($B$10="ALL")+(Table1[Resort]=$B$10)&gt;0)*(TRIM(Table1[Hotel Name])=$Q3)*IFERROR(Table1[P/L EUR]+0,0)))</f>
        <v>794.60000000000025</v>
      </c>
      <c r="W3" s="148">
        <f>R3+ROW()/100000</f>
        <v>7.0000299999999998</v>
      </c>
      <c r="X3" s="148"/>
      <c r="Y3" s="148">
        <v>45932</v>
      </c>
      <c r="Z3" s="148">
        <v>16140636</v>
      </c>
      <c r="AA3" s="148" t="s">
        <v>51</v>
      </c>
      <c r="AB3" s="148">
        <v>45937</v>
      </c>
      <c r="AC3" s="148">
        <v>1071</v>
      </c>
      <c r="AD3" s="148">
        <f ca="1">IF(Y3="","",Y3-TODAY())</f>
        <v>-270</v>
      </c>
      <c r="AE3" s="148">
        <f ca="1">IF(OR(Y3="",AD3&lt;0,AD3&gt;60),-10000000000,-AD3*1000+ROW()/100000)</f>
        <v>-10000000000</v>
      </c>
    </row>
    <row r="4" spans="1:31" ht="16.8" x14ac:dyDescent="0.4">
      <c r="A4" s="342" t="s">
        <v>1314</v>
      </c>
      <c r="B4" s="345"/>
      <c r="C4" s="356" t="s">
        <v>1322</v>
      </c>
      <c r="D4" s="357"/>
      <c r="E4" s="357"/>
      <c r="F4" s="357"/>
      <c r="G4" s="357"/>
      <c r="H4" s="357"/>
      <c r="I4" s="357"/>
      <c r="J4" s="357"/>
      <c r="K4" s="357"/>
      <c r="L4" s="357"/>
      <c r="M4" s="357"/>
      <c r="N4" s="357"/>
      <c r="O4" s="357"/>
      <c r="P4" s="148"/>
      <c r="Q4" s="148" t="s">
        <v>168</v>
      </c>
      <c r="R4" s="148" cm="1">
        <f t="array" ref="R4">IF($Q4="",0,SUMPRODUCT((Table1[Arr Date]&gt;=$B$5)*(Table1[Arr Date]&lt;=$B$6)*(($B$7="ALL")+(Table1[HTL BKG Status]=$B$7)&gt;0)*(($B$8="ALL")+(Table1[T/O]=$B$8)&gt;0)*(($B$9="ALL")+(TRIM(Table1[Market])=$B$9)&gt;0)*(($B$10="ALL")+(Table1[Resort]=$B$10)&gt;0)*(TRIM(Table1[Hotel Name])=$Q4)))</f>
        <v>2</v>
      </c>
      <c r="S4" s="148" cm="1">
        <f t="array" ref="S4">IF($Q4="",0,SUMPRODUCT((Table1[Arr Date]&gt;=$B$5)*(Table1[Arr Date]&lt;=$B$6)*(($B$7="ALL")+(Table1[HTL BKG Status]=$B$7)&gt;0)*(($B$8="ALL")+(Table1[T/O]=$B$8)&gt;0)*(($B$9="ALL")+(TRIM(Table1[Market])=$B$9)&gt;0)*(($B$10="ALL")+(Table1[Resort]=$B$10)&gt;0)*(TRIM(Table1[Hotel Name])=$Q4)*IFERROR(Table1[No RMS]+0,0)))</f>
        <v>2</v>
      </c>
      <c r="T4" s="148" cm="1">
        <f t="array" ref="T4">IF($Q4="",0,SUMPRODUCT((Table1[Arr Date]&gt;=$B$5)*(Table1[Arr Date]&lt;=$B$6)*(($B$7="ALL")+(Table1[HTL BKG Status]=$B$7)&gt;0)*(($B$8="ALL")+(Table1[T/O]=$B$8)&gt;0)*(($B$9="ALL")+(TRIM(Table1[Market])=$B$9)&gt;0)*(($B$10="ALL")+(Table1[Resort]=$B$10)&gt;0)*(TRIM(Table1[Hotel Name])=$Q4)*IFERROR(Table1[NTS]+0,0)*IFERROR(Table1[No RMS]+0,0)))</f>
        <v>15</v>
      </c>
      <c r="U4" s="148" cm="1">
        <f t="array" ref="U4">IF($Q4="",0,SUMPRODUCT((Table1[Arr Date]&gt;=$B$5)*(Table1[Arr Date]&lt;=$B$6)*(($B$7="ALL")+(Table1[HTL BKG Status]=$B$7)&gt;0)*(($B$8="ALL")+(Table1[T/O]=$B$8)&gt;0)*(($B$9="ALL")+(TRIM(Table1[Market])=$B$9)&gt;0)*(($B$10="ALL")+(Table1[Resort]=$B$10)&gt;0)*(TRIM(Table1[Hotel Name])=$Q4)*IFERROR(Table1[Selling EUR]+0,0)))</f>
        <v>0</v>
      </c>
      <c r="V4" s="148" cm="1">
        <f t="array" ref="V4">IF($Q4="",0,SUMPRODUCT((Table1[Arr Date]&gt;=$B$5)*(Table1[Arr Date]&lt;=$B$6)*(($B$7="ALL")+(Table1[HTL BKG Status]=$B$7)&gt;0)*(($B$8="ALL")+(Table1[T/O]=$B$8)&gt;0)*(($B$9="ALL")+(TRIM(Table1[Market])=$B$9)&gt;0)*(($B$10="ALL")+(Table1[Resort]=$B$10)&gt;0)*(TRIM(Table1[Hotel Name])=$Q4)*IFERROR(Table1[P/L EUR]+0,0)))</f>
        <v>0</v>
      </c>
      <c r="W4" s="148">
        <f t="shared" ref="W4:W52" si="0">R4+ROW()/100000</f>
        <v>2.0000399999999998</v>
      </c>
      <c r="X4" s="148"/>
      <c r="Y4" s="148">
        <v>45929</v>
      </c>
      <c r="Z4" s="148">
        <v>16198359</v>
      </c>
      <c r="AA4" s="148" t="s">
        <v>55</v>
      </c>
      <c r="AB4" s="148">
        <v>45933</v>
      </c>
      <c r="AC4" s="148">
        <v>1610</v>
      </c>
      <c r="AD4" s="148">
        <f t="shared" ref="AD4:AD67" ca="1" si="1">IF(Y4="","",Y4-TODAY())</f>
        <v>-273</v>
      </c>
      <c r="AE4" s="148">
        <f t="shared" ref="AE4:AE67" ca="1" si="2">IF(OR(Y4="",AD4&lt;0,AD4&gt;60),-10000000000,-AD4*1000+ROW()/100000)</f>
        <v>-10000000000</v>
      </c>
    </row>
    <row r="5" spans="1:31" ht="19.2" x14ac:dyDescent="0.45">
      <c r="A5" s="184" t="s">
        <v>1315</v>
      </c>
      <c r="B5" s="156">
        <v>46204</v>
      </c>
      <c r="C5" s="158"/>
      <c r="D5" s="358" t="s">
        <v>1323</v>
      </c>
      <c r="E5" s="359"/>
      <c r="F5" s="359"/>
      <c r="G5" s="359"/>
      <c r="H5" s="359"/>
      <c r="I5" s="359"/>
      <c r="J5" s="359"/>
      <c r="K5" s="359"/>
      <c r="L5" s="359"/>
      <c r="M5" s="359"/>
      <c r="N5" s="359"/>
      <c r="O5" s="360"/>
      <c r="P5" s="148"/>
      <c r="Q5" s="148" t="s">
        <v>123</v>
      </c>
      <c r="R5" s="148" cm="1">
        <f t="array" ref="R5">IF($Q5="",0,SUMPRODUCT((Table1[Arr Date]&gt;=$B$5)*(Table1[Arr Date]&lt;=$B$6)*(($B$7="ALL")+(Table1[HTL BKG Status]=$B$7)&gt;0)*(($B$8="ALL")+(Table1[T/O]=$B$8)&gt;0)*(($B$9="ALL")+(TRIM(Table1[Market])=$B$9)&gt;0)*(($B$10="ALL")+(Table1[Resort]=$B$10)&gt;0)*(TRIM(Table1[Hotel Name])=$Q5)))</f>
        <v>0</v>
      </c>
      <c r="S5" s="148" cm="1">
        <f t="array" ref="S5">IF($Q5="",0,SUMPRODUCT((Table1[Arr Date]&gt;=$B$5)*(Table1[Arr Date]&lt;=$B$6)*(($B$7="ALL")+(Table1[HTL BKG Status]=$B$7)&gt;0)*(($B$8="ALL")+(Table1[T/O]=$B$8)&gt;0)*(($B$9="ALL")+(TRIM(Table1[Market])=$B$9)&gt;0)*(($B$10="ALL")+(Table1[Resort]=$B$10)&gt;0)*(TRIM(Table1[Hotel Name])=$Q5)*IFERROR(Table1[No RMS]+0,0)))</f>
        <v>0</v>
      </c>
      <c r="T5" s="148" cm="1">
        <f t="array" ref="T5">IF($Q5="",0,SUMPRODUCT((Table1[Arr Date]&gt;=$B$5)*(Table1[Arr Date]&lt;=$B$6)*(($B$7="ALL")+(Table1[HTL BKG Status]=$B$7)&gt;0)*(($B$8="ALL")+(Table1[T/O]=$B$8)&gt;0)*(($B$9="ALL")+(TRIM(Table1[Market])=$B$9)&gt;0)*(($B$10="ALL")+(Table1[Resort]=$B$10)&gt;0)*(TRIM(Table1[Hotel Name])=$Q5)*IFERROR(Table1[NTS]+0,0)*IFERROR(Table1[No RMS]+0,0)))</f>
        <v>0</v>
      </c>
      <c r="U5" s="148" cm="1">
        <f t="array" ref="U5">IF($Q5="",0,SUMPRODUCT((Table1[Arr Date]&gt;=$B$5)*(Table1[Arr Date]&lt;=$B$6)*(($B$7="ALL")+(Table1[HTL BKG Status]=$B$7)&gt;0)*(($B$8="ALL")+(Table1[T/O]=$B$8)&gt;0)*(($B$9="ALL")+(TRIM(Table1[Market])=$B$9)&gt;0)*(($B$10="ALL")+(Table1[Resort]=$B$10)&gt;0)*(TRIM(Table1[Hotel Name])=$Q5)*IFERROR(Table1[Selling EUR]+0,0)))</f>
        <v>0</v>
      </c>
      <c r="V5" s="148" cm="1">
        <f t="array" ref="V5">IF($Q5="",0,SUMPRODUCT((Table1[Arr Date]&gt;=$B$5)*(Table1[Arr Date]&lt;=$B$6)*(($B$7="ALL")+(Table1[HTL BKG Status]=$B$7)&gt;0)*(($B$8="ALL")+(Table1[T/O]=$B$8)&gt;0)*(($B$9="ALL")+(TRIM(Table1[Market])=$B$9)&gt;0)*(($B$10="ALL")+(Table1[Resort]=$B$10)&gt;0)*(TRIM(Table1[Hotel Name])=$Q5)*IFERROR(Table1[P/L EUR]+0,0)))</f>
        <v>0</v>
      </c>
      <c r="W5" s="148">
        <f t="shared" si="0"/>
        <v>5.0000000000000002E-5</v>
      </c>
      <c r="X5" s="148"/>
      <c r="Y5" s="148">
        <v>45957</v>
      </c>
      <c r="Z5" s="148">
        <v>16203902</v>
      </c>
      <c r="AA5" s="148" t="s">
        <v>57</v>
      </c>
      <c r="AB5" s="148">
        <v>45964</v>
      </c>
      <c r="AC5" s="148">
        <v>2340</v>
      </c>
      <c r="AD5" s="148">
        <f t="shared" ca="1" si="1"/>
        <v>-245</v>
      </c>
      <c r="AE5" s="148">
        <f t="shared" ca="1" si="2"/>
        <v>-10000000000</v>
      </c>
    </row>
    <row r="6" spans="1:31" ht="16.8" x14ac:dyDescent="0.4">
      <c r="A6" s="184" t="s">
        <v>1316</v>
      </c>
      <c r="B6" s="156">
        <v>46234</v>
      </c>
      <c r="C6" s="158"/>
      <c r="D6" s="187" t="s">
        <v>1324</v>
      </c>
      <c r="E6" s="159" t="s">
        <v>47</v>
      </c>
      <c r="F6" s="159" t="s">
        <v>1325</v>
      </c>
      <c r="G6" s="159" t="s">
        <v>60</v>
      </c>
      <c r="H6" s="159" t="s">
        <v>1326</v>
      </c>
      <c r="I6" s="159" t="s">
        <v>1327</v>
      </c>
      <c r="J6" s="159" t="s">
        <v>1328</v>
      </c>
      <c r="K6" s="159" t="s">
        <v>1329</v>
      </c>
      <c r="L6" s="159" t="s">
        <v>1330</v>
      </c>
      <c r="M6" s="159" t="s">
        <v>1331</v>
      </c>
      <c r="N6" s="159" t="s">
        <v>1332</v>
      </c>
      <c r="O6" s="194" t="s">
        <v>1333</v>
      </c>
      <c r="P6" s="148"/>
      <c r="Q6" s="148" t="s">
        <v>68</v>
      </c>
      <c r="R6" s="148" cm="1">
        <f t="array" ref="R6">IF($Q6="",0,SUMPRODUCT((Table1[Arr Date]&gt;=$B$5)*(Table1[Arr Date]&lt;=$B$6)*(($B$7="ALL")+(Table1[HTL BKG Status]=$B$7)&gt;0)*(($B$8="ALL")+(Table1[T/O]=$B$8)&gt;0)*(($B$9="ALL")+(TRIM(Table1[Market])=$B$9)&gt;0)*(($B$10="ALL")+(Table1[Resort]=$B$10)&gt;0)*(TRIM(Table1[Hotel Name])=$Q6)))</f>
        <v>5</v>
      </c>
      <c r="S6" s="148" cm="1">
        <f t="array" ref="S6">IF($Q6="",0,SUMPRODUCT((Table1[Arr Date]&gt;=$B$5)*(Table1[Arr Date]&lt;=$B$6)*(($B$7="ALL")+(Table1[HTL BKG Status]=$B$7)&gt;0)*(($B$8="ALL")+(Table1[T/O]=$B$8)&gt;0)*(($B$9="ALL")+(TRIM(Table1[Market])=$B$9)&gt;0)*(($B$10="ALL")+(Table1[Resort]=$B$10)&gt;0)*(TRIM(Table1[Hotel Name])=$Q6)*IFERROR(Table1[No RMS]+0,0)))</f>
        <v>6</v>
      </c>
      <c r="T6" s="148" cm="1">
        <f t="array" ref="T6">IF($Q6="",0,SUMPRODUCT((Table1[Arr Date]&gt;=$B$5)*(Table1[Arr Date]&lt;=$B$6)*(($B$7="ALL")+(Table1[HTL BKG Status]=$B$7)&gt;0)*(($B$8="ALL")+(Table1[T/O]=$B$8)&gt;0)*(($B$9="ALL")+(TRIM(Table1[Market])=$B$9)&gt;0)*(($B$10="ALL")+(Table1[Resort]=$B$10)&gt;0)*(TRIM(Table1[Hotel Name])=$Q6)*IFERROR(Table1[NTS]+0,0)*IFERROR(Table1[No RMS]+0,0)))</f>
        <v>73</v>
      </c>
      <c r="U6" s="148" cm="1">
        <f t="array" ref="U6">IF($Q6="",0,SUMPRODUCT((Table1[Arr Date]&gt;=$B$5)*(Table1[Arr Date]&lt;=$B$6)*(($B$7="ALL")+(Table1[HTL BKG Status]=$B$7)&gt;0)*(($B$8="ALL")+(Table1[T/O]=$B$8)&gt;0)*(($B$9="ALL")+(TRIM(Table1[Market])=$B$9)&gt;0)*(($B$10="ALL")+(Table1[Resort]=$B$10)&gt;0)*(TRIM(Table1[Hotel Name])=$Q6)*IFERROR(Table1[Selling EUR]+0,0)))</f>
        <v>5682.6</v>
      </c>
      <c r="V6" s="148" cm="1">
        <f t="array" ref="V6">IF($Q6="",0,SUMPRODUCT((Table1[Arr Date]&gt;=$B$5)*(Table1[Arr Date]&lt;=$B$6)*(($B$7="ALL")+(Table1[HTL BKG Status]=$B$7)&gt;0)*(($B$8="ALL")+(Table1[T/O]=$B$8)&gt;0)*(($B$9="ALL")+(TRIM(Table1[Market])=$B$9)&gt;0)*(($B$10="ALL")+(Table1[Resort]=$B$10)&gt;0)*(TRIM(Table1[Hotel Name])=$Q6)*IFERROR(Table1[P/L EUR]+0,0)))</f>
        <v>162.00000000000011</v>
      </c>
      <c r="W6" s="148">
        <f t="shared" si="0"/>
        <v>5.0000600000000004</v>
      </c>
      <c r="X6" s="148"/>
      <c r="Y6" s="148">
        <v>45977</v>
      </c>
      <c r="Z6" s="148">
        <v>16203734</v>
      </c>
      <c r="AA6" s="148" t="s">
        <v>57</v>
      </c>
      <c r="AB6" s="148">
        <v>45983</v>
      </c>
      <c r="AC6" s="148">
        <v>940.24</v>
      </c>
      <c r="AD6" s="148">
        <f t="shared" ca="1" si="1"/>
        <v>-225</v>
      </c>
      <c r="AE6" s="148">
        <f t="shared" ca="1" si="2"/>
        <v>-10000000000</v>
      </c>
    </row>
    <row r="7" spans="1:31" ht="20.399999999999999" x14ac:dyDescent="0.4">
      <c r="A7" s="184" t="s">
        <v>1317</v>
      </c>
      <c r="B7" s="157" t="s">
        <v>1318</v>
      </c>
      <c r="C7" s="158"/>
      <c r="D7" s="188" cm="1">
        <f t="array" ref="D7">SUMPRODUCT((Table1[Arr Date]&gt;=$B$5)*(Table1[Arr Date]&lt;=$B$6)*(($B$7="ALL")+(Table1[HTL BKG Status]=$B$7)&gt;0)*(($B$8="ALL")+(Table1[T/O]=$B$8)&gt;0)*(($B$9="ALL")+(TRIM(Table1[Market])=$B$9)&gt;0)*(($B$10="ALL")+(Table1[Resort]=$B$10)&gt;0))</f>
        <v>23</v>
      </c>
      <c r="E7" s="189" cm="1">
        <f t="array" ref="E7">SUMPRODUCT((Table1[Arr Date]&gt;=$B$5)*(Table1[Arr Date]&lt;=$B$6)*(Table1[HTL BKG Status]="Confirmed")*(($B$8="ALL")+(Table1[T/O]=$B$8)&gt;0)*(($B$9="ALL")+(TRIM(Table1[Market])=$B$9)&gt;0)*(($B$10="ALL")+(Table1[Resort]=$B$10)&gt;0))</f>
        <v>15</v>
      </c>
      <c r="F7" s="190" cm="1">
        <f t="array" ref="F7">SUMPRODUCT((Table1[Arr Date]&gt;=$B$5)*(Table1[Arr Date]&lt;=$B$6)*(Table1[HTL BKG Status]="CXL")*(($B$8="ALL")+(Table1[T/O]=$B$8)&gt;0)*(($B$9="ALL")+(TRIM(Table1[Market])=$B$9)&gt;0)*(($B$10="ALL")+(Table1[Resort]=$B$10)&gt;0))</f>
        <v>8</v>
      </c>
      <c r="G7" s="191" cm="1">
        <f t="array" ref="G7">SUMPRODUCT((Table1[Arr Date]&gt;=$B$5)*(Table1[Arr Date]&lt;=$B$6)*(Table1[HTL BKG Status]="No Show")*(($B$8="ALL")+(Table1[T/O]=$B$8)&gt;0)*(($B$9="ALL")+(TRIM(Table1[Market])=$B$9)&gt;0)*(($B$10="ALL")+(Table1[Resort]=$B$10)&gt;0))</f>
        <v>0</v>
      </c>
      <c r="H7" s="192" cm="1">
        <f t="array" ref="H7">SUMPRODUCT((Table1[Arr Date]&gt;=$B$5)*(Table1[Arr Date]&lt;=$B$6)*(($B$7="ALL")+(Table1[HTL BKG Status]=$B$7)&gt;0)*(($B$8="ALL")+(Table1[T/O]=$B$8)&gt;0)*(($B$9="ALL")+(TRIM(Table1[Market])=$B$9)&gt;0)*(($B$10="ALL")+(Table1[Resort]=$B$10)&gt;0)*IFERROR(Table1[No RMS]+0,0))</f>
        <v>24</v>
      </c>
      <c r="I7" s="192" cm="1">
        <f t="array" ref="I7">SUMPRODUCT((Table1[Arr Date]&gt;=$B$5)*(Table1[Arr Date]&lt;=$B$6)*(($B$7="ALL")+(Table1[HTL BKG Status]=$B$7)&gt;0)*(($B$8="ALL")+(Table1[T/O]=$B$8)&gt;0)*(($B$9="ALL")+(TRIM(Table1[Market])=$B$9)&gt;0)*(($B$10="ALL")+(Table1[Resort]=$B$10)&gt;0)*IFERROR(Table1[AD]+0,0))</f>
        <v>53</v>
      </c>
      <c r="J7" s="192" cm="1">
        <f t="array" ref="J7">SUMPRODUCT((Table1[Arr Date]&gt;=$B$5)*(Table1[Arr Date]&lt;=$B$6)*(($B$7="ALL")+(Table1[HTL BKG Status]=$B$7)&gt;0)*(($B$8="ALL")+(Table1[T/O]=$B$8)&gt;0)*(($B$9="ALL")+(TRIM(Table1[Market])=$B$9)&gt;0)*(($B$10="ALL")+(Table1[Resort]=$B$10)&gt;0)*IFERROR(Table1[CH]+0,0))</f>
        <v>20</v>
      </c>
      <c r="K7" s="192" cm="1">
        <f t="array" ref="K7">SUMPRODUCT((Table1[Arr Date]&gt;=$B$5)*(Table1[Arr Date]&lt;=$B$6)*(($B$7="ALL")+(Table1[HTL BKG Status]=$B$7)&gt;0)*(($B$8="ALL")+(Table1[T/O]=$B$8)&gt;0)*(($B$9="ALL")+(TRIM(Table1[Market])=$B$9)&gt;0)*(($B$10="ALL")+(Table1[Resort]=$B$10)&gt;0)*IFERROR(Table1[INF]+0,0))</f>
        <v>0</v>
      </c>
      <c r="L7" s="192" cm="1">
        <f t="array" ref="L7">SUMPRODUCT((Table1[Arr Date]&gt;=$B$5)*(Table1[Arr Date]&lt;=$B$6)*(($B$7="ALL")+(Table1[HTL BKG Status]=$B$7)&gt;0)*(($B$8="ALL")+(Table1[T/O]=$B$8)&gt;0)*(($B$9="ALL")+(TRIM(Table1[Market])=$B$9)&gt;0)*(($B$10="ALL")+(Table1[Resort]=$B$10)&gt;0)*IFERROR(Table1[NTS]+0,0)*IFERROR(Table1[No RMS]+0,0))</f>
        <v>242</v>
      </c>
      <c r="M7" s="193">
        <f>IFERROR(L7/H7,0)</f>
        <v>10.083333333333334</v>
      </c>
      <c r="N7" s="192" cm="1">
        <f t="array" ref="N7">SUMPRODUCT((COUNTIFS(Table1[Arr Date],"&gt;="&amp;$B$5,Table1[Arr Date],"&lt;="&amp;$B$6,Table1[Hotel Name],Table1[Hotel Name])&gt;0)/COUNTIF(Table1[Hotel Name],Table1[Hotel Name]))</f>
        <v>10</v>
      </c>
      <c r="O7" s="195" t="str" cm="1">
        <f t="array" ref="O7">IFERROR(INDEX(Table1[Hotel Name],MATCH(MAX(COUNTIF(Table1[Hotel Name],Table1[Hotel Name])*((Table1[Arr Date]&gt;=$B$5)*(Table1[Arr Date]&lt;=$B$6))),COUNTIF(Table1[Hotel Name],Table1[Hotel Name])*((Table1[Arr Date]&gt;=$B$5)*(Table1[Arr Date]&lt;=$B$6)),0)),"-")</f>
        <v>THE THREE CORNERS FAYROUZ PLAZA BEACH RESORT (RMF)</v>
      </c>
      <c r="P7" s="148"/>
      <c r="Q7" s="148" t="s">
        <v>59</v>
      </c>
      <c r="R7" s="148" cm="1">
        <f t="array" ref="R7">IF($Q7="",0,SUMPRODUCT((Table1[Arr Date]&gt;=$B$5)*(Table1[Arr Date]&lt;=$B$6)*(($B$7="ALL")+(Table1[HTL BKG Status]=$B$7)&gt;0)*(($B$8="ALL")+(Table1[T/O]=$B$8)&gt;0)*(($B$9="ALL")+(TRIM(Table1[Market])=$B$9)&gt;0)*(($B$10="ALL")+(Table1[Resort]=$B$10)&gt;0)*(TRIM(Table1[Hotel Name])=$Q7)))</f>
        <v>0</v>
      </c>
      <c r="S7" s="148" cm="1">
        <f t="array" ref="S7">IF($Q7="",0,SUMPRODUCT((Table1[Arr Date]&gt;=$B$5)*(Table1[Arr Date]&lt;=$B$6)*(($B$7="ALL")+(Table1[HTL BKG Status]=$B$7)&gt;0)*(($B$8="ALL")+(Table1[T/O]=$B$8)&gt;0)*(($B$9="ALL")+(TRIM(Table1[Market])=$B$9)&gt;0)*(($B$10="ALL")+(Table1[Resort]=$B$10)&gt;0)*(TRIM(Table1[Hotel Name])=$Q7)*IFERROR(Table1[No RMS]+0,0)))</f>
        <v>0</v>
      </c>
      <c r="T7" s="148" cm="1">
        <f t="array" ref="T7">IF($Q7="",0,SUMPRODUCT((Table1[Arr Date]&gt;=$B$5)*(Table1[Arr Date]&lt;=$B$6)*(($B$7="ALL")+(Table1[HTL BKG Status]=$B$7)&gt;0)*(($B$8="ALL")+(Table1[T/O]=$B$8)&gt;0)*(($B$9="ALL")+(TRIM(Table1[Market])=$B$9)&gt;0)*(($B$10="ALL")+(Table1[Resort]=$B$10)&gt;0)*(TRIM(Table1[Hotel Name])=$Q7)*IFERROR(Table1[NTS]+0,0)*IFERROR(Table1[No RMS]+0,0)))</f>
        <v>0</v>
      </c>
      <c r="U7" s="148" cm="1">
        <f t="array" ref="U7">IF($Q7="",0,SUMPRODUCT((Table1[Arr Date]&gt;=$B$5)*(Table1[Arr Date]&lt;=$B$6)*(($B$7="ALL")+(Table1[HTL BKG Status]=$B$7)&gt;0)*(($B$8="ALL")+(Table1[T/O]=$B$8)&gt;0)*(($B$9="ALL")+(TRIM(Table1[Market])=$B$9)&gt;0)*(($B$10="ALL")+(Table1[Resort]=$B$10)&gt;0)*(TRIM(Table1[Hotel Name])=$Q7)*IFERROR(Table1[Selling EUR]+0,0)))</f>
        <v>0</v>
      </c>
      <c r="V7" s="148" cm="1">
        <f t="array" ref="V7">IF($Q7="",0,SUMPRODUCT((Table1[Arr Date]&gt;=$B$5)*(Table1[Arr Date]&lt;=$B$6)*(($B$7="ALL")+(Table1[HTL BKG Status]=$B$7)&gt;0)*(($B$8="ALL")+(Table1[T/O]=$B$8)&gt;0)*(($B$9="ALL")+(TRIM(Table1[Market])=$B$9)&gt;0)*(($B$10="ALL")+(Table1[Resort]=$B$10)&gt;0)*(TRIM(Table1[Hotel Name])=$Q7)*IFERROR(Table1[P/L EUR]+0,0)))</f>
        <v>0</v>
      </c>
      <c r="W7" s="148">
        <f t="shared" si="0"/>
        <v>6.9999999999999994E-5</v>
      </c>
      <c r="X7" s="148"/>
      <c r="Y7" s="148">
        <v>45995</v>
      </c>
      <c r="Z7" s="148">
        <v>16204280</v>
      </c>
      <c r="AA7" s="148" t="s">
        <v>59</v>
      </c>
      <c r="AB7" s="148">
        <v>46002</v>
      </c>
      <c r="AC7" s="148">
        <v>1799.4</v>
      </c>
      <c r="AD7" s="148">
        <f t="shared" ca="1" si="1"/>
        <v>-207</v>
      </c>
      <c r="AE7" s="148">
        <f t="shared" ca="1" si="2"/>
        <v>-10000000000</v>
      </c>
    </row>
    <row r="8" spans="1:31" ht="16.8" x14ac:dyDescent="0.4">
      <c r="A8" s="184" t="s">
        <v>1319</v>
      </c>
      <c r="B8" s="157" t="s">
        <v>1318</v>
      </c>
      <c r="C8" s="186"/>
      <c r="D8" s="148"/>
      <c r="E8" s="148"/>
      <c r="F8" s="148"/>
      <c r="G8" s="148"/>
      <c r="H8" s="148"/>
      <c r="I8" s="148"/>
      <c r="J8" s="148"/>
      <c r="K8" s="148"/>
      <c r="L8" s="148"/>
      <c r="M8" s="148"/>
      <c r="N8" s="148"/>
      <c r="O8" s="148"/>
      <c r="P8" s="148"/>
      <c r="Q8" s="148" t="s">
        <v>82</v>
      </c>
      <c r="R8" s="148" cm="1">
        <f t="array" ref="R8">IF($Q8="",0,SUMPRODUCT((Table1[Arr Date]&gt;=$B$5)*(Table1[Arr Date]&lt;=$B$6)*(($B$7="ALL")+(Table1[HTL BKG Status]=$B$7)&gt;0)*(($B$8="ALL")+(Table1[T/O]=$B$8)&gt;0)*(($B$9="ALL")+(TRIM(Table1[Market])=$B$9)&gt;0)*(($B$10="ALL")+(Table1[Resort]=$B$10)&gt;0)*(TRIM(Table1[Hotel Name])=$Q8)))</f>
        <v>0</v>
      </c>
      <c r="S8" s="148" cm="1">
        <f t="array" ref="S8">IF($Q8="",0,SUMPRODUCT((Table1[Arr Date]&gt;=$B$5)*(Table1[Arr Date]&lt;=$B$6)*(($B$7="ALL")+(Table1[HTL BKG Status]=$B$7)&gt;0)*(($B$8="ALL")+(Table1[T/O]=$B$8)&gt;0)*(($B$9="ALL")+(TRIM(Table1[Market])=$B$9)&gt;0)*(($B$10="ALL")+(Table1[Resort]=$B$10)&gt;0)*(TRIM(Table1[Hotel Name])=$Q8)*IFERROR(Table1[No RMS]+0,0)))</f>
        <v>0</v>
      </c>
      <c r="T8" s="148" cm="1">
        <f t="array" ref="T8">IF($Q8="",0,SUMPRODUCT((Table1[Arr Date]&gt;=$B$5)*(Table1[Arr Date]&lt;=$B$6)*(($B$7="ALL")+(Table1[HTL BKG Status]=$B$7)&gt;0)*(($B$8="ALL")+(Table1[T/O]=$B$8)&gt;0)*(($B$9="ALL")+(TRIM(Table1[Market])=$B$9)&gt;0)*(($B$10="ALL")+(Table1[Resort]=$B$10)&gt;0)*(TRIM(Table1[Hotel Name])=$Q8)*IFERROR(Table1[NTS]+0,0)*IFERROR(Table1[No RMS]+0,0)))</f>
        <v>0</v>
      </c>
      <c r="U8" s="148" cm="1">
        <f t="array" ref="U8">IF($Q8="",0,SUMPRODUCT((Table1[Arr Date]&gt;=$B$5)*(Table1[Arr Date]&lt;=$B$6)*(($B$7="ALL")+(Table1[HTL BKG Status]=$B$7)&gt;0)*(($B$8="ALL")+(Table1[T/O]=$B$8)&gt;0)*(($B$9="ALL")+(TRIM(Table1[Market])=$B$9)&gt;0)*(($B$10="ALL")+(Table1[Resort]=$B$10)&gt;0)*(TRIM(Table1[Hotel Name])=$Q8)*IFERROR(Table1[Selling EUR]+0,0)))</f>
        <v>0</v>
      </c>
      <c r="V8" s="148" cm="1">
        <f t="array" ref="V8">IF($Q8="",0,SUMPRODUCT((Table1[Arr Date]&gt;=$B$5)*(Table1[Arr Date]&lt;=$B$6)*(($B$7="ALL")+(Table1[HTL BKG Status]=$B$7)&gt;0)*(($B$8="ALL")+(Table1[T/O]=$B$8)&gt;0)*(($B$9="ALL")+(TRIM(Table1[Market])=$B$9)&gt;0)*(($B$10="ALL")+(Table1[Resort]=$B$10)&gt;0)*(TRIM(Table1[Hotel Name])=$Q8)*IFERROR(Table1[P/L EUR]+0,0)))</f>
        <v>0</v>
      </c>
      <c r="W8" s="148">
        <f t="shared" si="0"/>
        <v>8.0000000000000007E-5</v>
      </c>
      <c r="X8" s="148"/>
      <c r="Y8" s="148">
        <v>45957</v>
      </c>
      <c r="Z8" s="148">
        <v>16233694</v>
      </c>
      <c r="AA8" s="148" t="s">
        <v>57</v>
      </c>
      <c r="AB8" s="148">
        <v>45965</v>
      </c>
      <c r="AC8" s="148">
        <v>1254.4000000000001</v>
      </c>
      <c r="AD8" s="148">
        <f t="shared" ca="1" si="1"/>
        <v>-245</v>
      </c>
      <c r="AE8" s="148">
        <f t="shared" ca="1" si="2"/>
        <v>-10000000000</v>
      </c>
    </row>
    <row r="9" spans="1:31" ht="19.2" x14ac:dyDescent="0.45">
      <c r="A9" s="184" t="s">
        <v>1320</v>
      </c>
      <c r="B9" s="157" t="s">
        <v>1318</v>
      </c>
      <c r="C9" s="158"/>
      <c r="D9" s="361" t="s">
        <v>1334</v>
      </c>
      <c r="E9" s="362"/>
      <c r="F9" s="362"/>
      <c r="G9" s="362"/>
      <c r="H9" s="362"/>
      <c r="I9" s="362"/>
      <c r="J9" s="362"/>
      <c r="K9" s="362"/>
      <c r="L9" s="362"/>
      <c r="M9" s="362"/>
      <c r="N9" s="362"/>
      <c r="O9" s="363"/>
      <c r="P9" s="148"/>
      <c r="Q9" s="148" t="s">
        <v>125</v>
      </c>
      <c r="R9" s="148" cm="1">
        <f t="array" ref="R9">IF($Q9="",0,SUMPRODUCT((Table1[Arr Date]&gt;=$B$5)*(Table1[Arr Date]&lt;=$B$6)*(($B$7="ALL")+(Table1[HTL BKG Status]=$B$7)&gt;0)*(($B$8="ALL")+(Table1[T/O]=$B$8)&gt;0)*(($B$9="ALL")+(TRIM(Table1[Market])=$B$9)&gt;0)*(($B$10="ALL")+(Table1[Resort]=$B$10)&gt;0)*(TRIM(Table1[Hotel Name])=$Q9)))</f>
        <v>0</v>
      </c>
      <c r="S9" s="148" cm="1">
        <f t="array" ref="S9">IF($Q9="",0,SUMPRODUCT((Table1[Arr Date]&gt;=$B$5)*(Table1[Arr Date]&lt;=$B$6)*(($B$7="ALL")+(Table1[HTL BKG Status]=$B$7)&gt;0)*(($B$8="ALL")+(Table1[T/O]=$B$8)&gt;0)*(($B$9="ALL")+(TRIM(Table1[Market])=$B$9)&gt;0)*(($B$10="ALL")+(Table1[Resort]=$B$10)&gt;0)*(TRIM(Table1[Hotel Name])=$Q9)*IFERROR(Table1[No RMS]+0,0)))</f>
        <v>0</v>
      </c>
      <c r="T9" s="148" cm="1">
        <f t="array" ref="T9">IF($Q9="",0,SUMPRODUCT((Table1[Arr Date]&gt;=$B$5)*(Table1[Arr Date]&lt;=$B$6)*(($B$7="ALL")+(Table1[HTL BKG Status]=$B$7)&gt;0)*(($B$8="ALL")+(Table1[T/O]=$B$8)&gt;0)*(($B$9="ALL")+(TRIM(Table1[Market])=$B$9)&gt;0)*(($B$10="ALL")+(Table1[Resort]=$B$10)&gt;0)*(TRIM(Table1[Hotel Name])=$Q9)*IFERROR(Table1[NTS]+0,0)*IFERROR(Table1[No RMS]+0,0)))</f>
        <v>0</v>
      </c>
      <c r="U9" s="148" cm="1">
        <f t="array" ref="U9">IF($Q9="",0,SUMPRODUCT((Table1[Arr Date]&gt;=$B$5)*(Table1[Arr Date]&lt;=$B$6)*(($B$7="ALL")+(Table1[HTL BKG Status]=$B$7)&gt;0)*(($B$8="ALL")+(Table1[T/O]=$B$8)&gt;0)*(($B$9="ALL")+(TRIM(Table1[Market])=$B$9)&gt;0)*(($B$10="ALL")+(Table1[Resort]=$B$10)&gt;0)*(TRIM(Table1[Hotel Name])=$Q9)*IFERROR(Table1[Selling EUR]+0,0)))</f>
        <v>0</v>
      </c>
      <c r="V9" s="148" cm="1">
        <f t="array" ref="V9">IF($Q9="",0,SUMPRODUCT((Table1[Arr Date]&gt;=$B$5)*(Table1[Arr Date]&lt;=$B$6)*(($B$7="ALL")+(Table1[HTL BKG Status]=$B$7)&gt;0)*(($B$8="ALL")+(Table1[T/O]=$B$8)&gt;0)*(($B$9="ALL")+(TRIM(Table1[Market])=$B$9)&gt;0)*(($B$10="ALL")+(Table1[Resort]=$B$10)&gt;0)*(TRIM(Table1[Hotel Name])=$Q9)*IFERROR(Table1[P/L EUR]+0,0)))</f>
        <v>0</v>
      </c>
      <c r="W9" s="148">
        <f t="shared" si="0"/>
        <v>9.0000000000000006E-5</v>
      </c>
      <c r="X9" s="148"/>
      <c r="Y9" s="148">
        <v>45956</v>
      </c>
      <c r="Z9" s="148">
        <v>16253005</v>
      </c>
      <c r="AA9" s="148" t="s">
        <v>51</v>
      </c>
      <c r="AB9" s="148">
        <v>45959</v>
      </c>
      <c r="AC9" s="148">
        <v>0</v>
      </c>
      <c r="AD9" s="148">
        <f t="shared" ca="1" si="1"/>
        <v>-246</v>
      </c>
      <c r="AE9" s="148">
        <f t="shared" ca="1" si="2"/>
        <v>-10000000000</v>
      </c>
    </row>
    <row r="10" spans="1:31" ht="16.8" x14ac:dyDescent="0.4">
      <c r="A10" s="185" t="s">
        <v>1321</v>
      </c>
      <c r="B10" s="183" t="s">
        <v>1318</v>
      </c>
      <c r="C10" s="196"/>
      <c r="D10" s="187" t="s">
        <v>24</v>
      </c>
      <c r="E10" s="159" t="s">
        <v>25</v>
      </c>
      <c r="F10" s="159" t="s">
        <v>26</v>
      </c>
      <c r="G10" s="159" t="s">
        <v>1335</v>
      </c>
      <c r="H10" s="159" t="s">
        <v>27</v>
      </c>
      <c r="I10" s="159" t="s">
        <v>28</v>
      </c>
      <c r="J10" s="159" t="s">
        <v>29</v>
      </c>
      <c r="K10" s="159" t="s">
        <v>1336</v>
      </c>
      <c r="L10" s="159" t="s">
        <v>1337</v>
      </c>
      <c r="M10" s="159" t="s">
        <v>1338</v>
      </c>
      <c r="N10" s="159" t="s">
        <v>1339</v>
      </c>
      <c r="O10" s="194" t="s">
        <v>1340</v>
      </c>
      <c r="P10" s="148"/>
      <c r="Q10" s="148" t="s">
        <v>113</v>
      </c>
      <c r="R10" s="148" cm="1">
        <f t="array" ref="R10">IF($Q10="",0,SUMPRODUCT((Table1[Arr Date]&gt;=$B$5)*(Table1[Arr Date]&lt;=$B$6)*(($B$7="ALL")+(Table1[HTL BKG Status]=$B$7)&gt;0)*(($B$8="ALL")+(Table1[T/O]=$B$8)&gt;0)*(($B$9="ALL")+(TRIM(Table1[Market])=$B$9)&gt;0)*(($B$10="ALL")+(Table1[Resort]=$B$10)&gt;0)*(TRIM(Table1[Hotel Name])=$Q10)))</f>
        <v>0</v>
      </c>
      <c r="S10" s="148" cm="1">
        <f t="array" ref="S10">IF($Q10="",0,SUMPRODUCT((Table1[Arr Date]&gt;=$B$5)*(Table1[Arr Date]&lt;=$B$6)*(($B$7="ALL")+(Table1[HTL BKG Status]=$B$7)&gt;0)*(($B$8="ALL")+(Table1[T/O]=$B$8)&gt;0)*(($B$9="ALL")+(TRIM(Table1[Market])=$B$9)&gt;0)*(($B$10="ALL")+(Table1[Resort]=$B$10)&gt;0)*(TRIM(Table1[Hotel Name])=$Q10)*IFERROR(Table1[No RMS]+0,0)))</f>
        <v>0</v>
      </c>
      <c r="T10" s="148" cm="1">
        <f t="array" ref="T10">IF($Q10="",0,SUMPRODUCT((Table1[Arr Date]&gt;=$B$5)*(Table1[Arr Date]&lt;=$B$6)*(($B$7="ALL")+(Table1[HTL BKG Status]=$B$7)&gt;0)*(($B$8="ALL")+(Table1[T/O]=$B$8)&gt;0)*(($B$9="ALL")+(TRIM(Table1[Market])=$B$9)&gt;0)*(($B$10="ALL")+(Table1[Resort]=$B$10)&gt;0)*(TRIM(Table1[Hotel Name])=$Q10)*IFERROR(Table1[NTS]+0,0)*IFERROR(Table1[No RMS]+0,0)))</f>
        <v>0</v>
      </c>
      <c r="U10" s="148" cm="1">
        <f t="array" ref="U10">IF($Q10="",0,SUMPRODUCT((Table1[Arr Date]&gt;=$B$5)*(Table1[Arr Date]&lt;=$B$6)*(($B$7="ALL")+(Table1[HTL BKG Status]=$B$7)&gt;0)*(($B$8="ALL")+(Table1[T/O]=$B$8)&gt;0)*(($B$9="ALL")+(TRIM(Table1[Market])=$B$9)&gt;0)*(($B$10="ALL")+(Table1[Resort]=$B$10)&gt;0)*(TRIM(Table1[Hotel Name])=$Q10)*IFERROR(Table1[Selling EUR]+0,0)))</f>
        <v>0</v>
      </c>
      <c r="V10" s="148" cm="1">
        <f t="array" ref="V10">IF($Q10="",0,SUMPRODUCT((Table1[Arr Date]&gt;=$B$5)*(Table1[Arr Date]&lt;=$B$6)*(($B$7="ALL")+(Table1[HTL BKG Status]=$B$7)&gt;0)*(($B$8="ALL")+(Table1[T/O]=$B$8)&gt;0)*(($B$9="ALL")+(TRIM(Table1[Market])=$B$9)&gt;0)*(($B$10="ALL")+(Table1[Resort]=$B$10)&gt;0)*(TRIM(Table1[Hotel Name])=$Q10)*IFERROR(Table1[P/L EUR]+0,0)))</f>
        <v>0</v>
      </c>
      <c r="W10" s="148">
        <f t="shared" si="0"/>
        <v>1E-4</v>
      </c>
      <c r="X10" s="148"/>
      <c r="Y10" s="148">
        <v>45921</v>
      </c>
      <c r="Z10" s="148">
        <v>16256529</v>
      </c>
      <c r="AA10" s="148" t="s">
        <v>59</v>
      </c>
      <c r="AB10" s="148">
        <v>45924</v>
      </c>
      <c r="AC10" s="148">
        <v>216</v>
      </c>
      <c r="AD10" s="148">
        <f t="shared" ca="1" si="1"/>
        <v>-281</v>
      </c>
      <c r="AE10" s="148">
        <f t="shared" ca="1" si="2"/>
        <v>-10000000000</v>
      </c>
    </row>
    <row r="11" spans="1:31" ht="19.8" x14ac:dyDescent="0.3">
      <c r="A11" s="148"/>
      <c r="B11" s="148"/>
      <c r="C11" s="148"/>
      <c r="D11" s="205" cm="1">
        <f t="array" ref="D11">SUMPRODUCT((Table1[Arr Date]&gt;=$B$5)*(Table1[Arr Date]&lt;=$B$6)*(($B$7="ALL")+(Table1[HTL BKG Status]=$B$7)&gt;0)*(($B$8="ALL")+(Table1[T/O]=$B$8)&gt;0)*(($B$9="ALL")+(TRIM(Table1[Market])=$B$9)&gt;0)*(($B$10="ALL")+(Table1[Resort]=$B$10)&gt;0)*IFERROR(Table1[Cost USD]+0,0))</f>
        <v>3189</v>
      </c>
      <c r="E11" s="197" cm="1">
        <f t="array" ref="E11">SUMPRODUCT((Table1[Arr Date]&gt;=$B$5)*(Table1[Arr Date]&lt;=$B$6)*(($B$7="ALL")+(Table1[HTL BKG Status]=$B$7)&gt;0)*(($B$8="ALL")+(Table1[T/O]=$B$8)&gt;0)*(($B$9="ALL")+(TRIM(Table1[Market])=$B$9)&gt;0)*(($B$10="ALL")+(Table1[Resort]=$B$10)&gt;0)*IFERROR(Table1[Selling USD]+0,0))</f>
        <v>3575.4</v>
      </c>
      <c r="F11" s="198" cm="1">
        <f t="array" ref="F11">SUMPRODUCT((Table1[Arr Date]&gt;=$B$5)*(Table1[Arr Date]&lt;=$B$6)*(($B$7="ALL")+(Table1[HTL BKG Status]=$B$7)&gt;0)*(($B$8="ALL")+(Table1[T/O]=$B$8)&gt;0)*(($B$9="ALL")+(TRIM(Table1[Market])=$B$9)&gt;0)*(($B$10="ALL")+(Table1[Resort]=$B$10)&gt;0)*IFERROR(Table1[P/L USD]+0,0))</f>
        <v>386.40000000000009</v>
      </c>
      <c r="G11" s="199">
        <f>IFERROR(F11/E11,0)</f>
        <v>0.10807182413156573</v>
      </c>
      <c r="H11" s="200" cm="1">
        <f t="array" ref="H11">SUMPRODUCT((Table1[Arr Date]&gt;=$B$5)*(Table1[Arr Date]&lt;=$B$6)*(($B$7="ALL")+(Table1[HTL BKG Status]=$B$7)&gt;0)*(($B$8="ALL")+(Table1[T/O]=$B$8)&gt;0)*(($B$9="ALL")+(TRIM(Table1[Market])=$B$9)&gt;0)*(($B$10="ALL")+(Table1[Resort]=$B$10)&gt;0)*IFERROR(Table1[Cost EUR]+0,0))</f>
        <v>15309.2</v>
      </c>
      <c r="I11" s="200" cm="1">
        <f t="array" ref="I11">SUMPRODUCT((Table1[Arr Date]&gt;=$B$5)*(Table1[Arr Date]&lt;=$B$6)*(($B$7="ALL")+(Table1[HTL BKG Status]=$B$7)&gt;0)*(($B$8="ALL")+(Table1[T/O]=$B$8)&gt;0)*(($B$9="ALL")+(TRIM(Table1[Market])=$B$9)&gt;0)*(($B$10="ALL")+(Table1[Resort]=$B$10)&gt;0)*IFERROR(Table1[Selling EUR]+0,0))</f>
        <v>17259.599999999999</v>
      </c>
      <c r="J11" s="201" cm="1">
        <f t="array" ref="J11">SUMPRODUCT((Table1[Arr Date]&gt;=$B$5)*(Table1[Arr Date]&lt;=$B$6)*(($B$7="ALL")+(Table1[HTL BKG Status]=$B$7)&gt;0)*(($B$8="ALL")+(Table1[T/O]=$B$8)&gt;0)*(($B$9="ALL")+(TRIM(Table1[Market])=$B$9)&gt;0)*(($B$10="ALL")+(Table1[Resort]=$B$10)&gt;0)*IFERROR(Table1[P/L EUR]+0,0))</f>
        <v>1950.4</v>
      </c>
      <c r="K11" s="199">
        <f>IFERROR(J11/I11,0)</f>
        <v>0.11300377760782407</v>
      </c>
      <c r="L11" s="202">
        <f>IFERROR(J11/D7,0)</f>
        <v>84.8</v>
      </c>
      <c r="M11" s="203" cm="1">
        <f t="array" ref="M11">SUMPRODUCT((Table1[Arr Date]&gt;=$B$5)*(Table1[Arr Date]&lt;=$B$6)*(($B$7="ALL")+(Table1[HTL BKG Status]=$B$7)&gt;0)*(($B$8="ALL")+(Table1[T/O]=$B$8)&gt;0)*(($B$9="ALL")+(TRIM(Table1[Market])=$B$9)&gt;0)*(($B$10="ALL")+(Table1[Resort]=$B$10)&gt;0)*(IFERROR(Table1[P/L EUR]+0,0)&gt;0))</f>
        <v>12</v>
      </c>
      <c r="N11" s="204" cm="1">
        <f t="array" ref="N11">SUMPRODUCT((Table1[Arr Date]&gt;=$B$5)*(Table1[Arr Date]&lt;=$B$6)*(($B$7="ALL")+(Table1[HTL BKG Status]=$B$7)&gt;0)*(($B$8="ALL")+(Table1[T/O]=$B$8)&gt;0)*(($B$9="ALL")+(TRIM(Table1[Market])=$B$9)&gt;0)*(($B$10="ALL")+(Table1[Resort]=$B$10)&gt;0)*(IFERROR(Table1[P/L EUR]+0,0)&lt;0))</f>
        <v>1</v>
      </c>
      <c r="O11" s="206">
        <f>IFERROR(N11/(M11+N11),0)</f>
        <v>7.6923076923076927E-2</v>
      </c>
      <c r="P11" s="148"/>
      <c r="Q11" s="148" t="s">
        <v>67</v>
      </c>
      <c r="R11" s="148" cm="1">
        <f t="array" ref="R11">IF($Q11="",0,SUMPRODUCT((Table1[Arr Date]&gt;=$B$5)*(Table1[Arr Date]&lt;=$B$6)*(($B$7="ALL")+(Table1[HTL BKG Status]=$B$7)&gt;0)*(($B$8="ALL")+(Table1[T/O]=$B$8)&gt;0)*(($B$9="ALL")+(TRIM(Table1[Market])=$B$9)&gt;0)*(($B$10="ALL")+(Table1[Resort]=$B$10)&gt;0)*(TRIM(Table1[Hotel Name])=$Q11)))</f>
        <v>2</v>
      </c>
      <c r="S11" s="148" cm="1">
        <f t="array" ref="S11">IF($Q11="",0,SUMPRODUCT((Table1[Arr Date]&gt;=$B$5)*(Table1[Arr Date]&lt;=$B$6)*(($B$7="ALL")+(Table1[HTL BKG Status]=$B$7)&gt;0)*(($B$8="ALL")+(Table1[T/O]=$B$8)&gt;0)*(($B$9="ALL")+(TRIM(Table1[Market])=$B$9)&gt;0)*(($B$10="ALL")+(Table1[Resort]=$B$10)&gt;0)*(TRIM(Table1[Hotel Name])=$Q11)*IFERROR(Table1[No RMS]+0,0)))</f>
        <v>2</v>
      </c>
      <c r="T11" s="148" cm="1">
        <f t="array" ref="T11">IF($Q11="",0,SUMPRODUCT((Table1[Arr Date]&gt;=$B$5)*(Table1[Arr Date]&lt;=$B$6)*(($B$7="ALL")+(Table1[HTL BKG Status]=$B$7)&gt;0)*(($B$8="ALL")+(Table1[T/O]=$B$8)&gt;0)*(($B$9="ALL")+(TRIM(Table1[Market])=$B$9)&gt;0)*(($B$10="ALL")+(Table1[Resort]=$B$10)&gt;0)*(TRIM(Table1[Hotel Name])=$Q11)*IFERROR(Table1[NTS]+0,0)*IFERROR(Table1[No RMS]+0,0)))</f>
        <v>14</v>
      </c>
      <c r="U11" s="148" cm="1">
        <f t="array" ref="U11">IF($Q11="",0,SUMPRODUCT((Table1[Arr Date]&gt;=$B$5)*(Table1[Arr Date]&lt;=$B$6)*(($B$7="ALL")+(Table1[HTL BKG Status]=$B$7)&gt;0)*(($B$8="ALL")+(Table1[T/O]=$B$8)&gt;0)*(($B$9="ALL")+(TRIM(Table1[Market])=$B$9)&gt;0)*(($B$10="ALL")+(Table1[Resort]=$B$10)&gt;0)*(TRIM(Table1[Hotel Name])=$Q11)*IFERROR(Table1[Selling EUR]+0,0)))</f>
        <v>1897</v>
      </c>
      <c r="V11" s="148" cm="1">
        <f t="array" ref="V11">IF($Q11="",0,SUMPRODUCT((Table1[Arr Date]&gt;=$B$5)*(Table1[Arr Date]&lt;=$B$6)*(($B$7="ALL")+(Table1[HTL BKG Status]=$B$7)&gt;0)*(($B$8="ALL")+(Table1[T/O]=$B$8)&gt;0)*(($B$9="ALL")+(TRIM(Table1[Market])=$B$9)&gt;0)*(($B$10="ALL")+(Table1[Resort]=$B$10)&gt;0)*(TRIM(Table1[Hotel Name])=$Q11)*IFERROR(Table1[P/L EUR]+0,0)))</f>
        <v>189</v>
      </c>
      <c r="W11" s="148">
        <f t="shared" si="0"/>
        <v>2.0001099999999998</v>
      </c>
      <c r="X11" s="148"/>
      <c r="Y11" s="148">
        <v>45951</v>
      </c>
      <c r="Z11" s="148">
        <v>16294745</v>
      </c>
      <c r="AA11" s="148" t="s">
        <v>57</v>
      </c>
      <c r="AB11" s="148">
        <v>45957</v>
      </c>
      <c r="AC11" s="148">
        <v>0</v>
      </c>
      <c r="AD11" s="148">
        <f t="shared" ca="1" si="1"/>
        <v>-251</v>
      </c>
      <c r="AE11" s="148">
        <f t="shared" ca="1" si="2"/>
        <v>-10000000000</v>
      </c>
    </row>
    <row r="12" spans="1:31" x14ac:dyDescent="0.3">
      <c r="A12" s="148"/>
      <c r="B12" s="148"/>
      <c r="C12" s="148"/>
      <c r="D12" s="148"/>
      <c r="E12" s="148"/>
      <c r="F12" s="148"/>
      <c r="G12" s="148"/>
      <c r="H12" s="148"/>
      <c r="I12" s="148"/>
      <c r="J12" s="148"/>
      <c r="K12" s="148"/>
      <c r="L12" s="148"/>
      <c r="M12" s="148"/>
      <c r="N12" s="148"/>
      <c r="O12" s="148"/>
      <c r="P12" s="148"/>
      <c r="Q12" s="148" t="s">
        <v>64</v>
      </c>
      <c r="R12" s="148" cm="1">
        <f t="array" ref="R12">IF($Q12="",0,SUMPRODUCT((Table1[Arr Date]&gt;=$B$5)*(Table1[Arr Date]&lt;=$B$6)*(($B$7="ALL")+(Table1[HTL BKG Status]=$B$7)&gt;0)*(($B$8="ALL")+(Table1[T/O]=$B$8)&gt;0)*(($B$9="ALL")+(TRIM(Table1[Market])=$B$9)&gt;0)*(($B$10="ALL")+(Table1[Resort]=$B$10)&gt;0)*(TRIM(Table1[Hotel Name])=$Q12)))</f>
        <v>1</v>
      </c>
      <c r="S12" s="148" cm="1">
        <f t="array" ref="S12">IF($Q12="",0,SUMPRODUCT((Table1[Arr Date]&gt;=$B$5)*(Table1[Arr Date]&lt;=$B$6)*(($B$7="ALL")+(Table1[HTL BKG Status]=$B$7)&gt;0)*(($B$8="ALL")+(Table1[T/O]=$B$8)&gt;0)*(($B$9="ALL")+(TRIM(Table1[Market])=$B$9)&gt;0)*(($B$10="ALL")+(Table1[Resort]=$B$10)&gt;0)*(TRIM(Table1[Hotel Name])=$Q12)*IFERROR(Table1[No RMS]+0,0)))</f>
        <v>1</v>
      </c>
      <c r="T12" s="148" cm="1">
        <f t="array" ref="T12">IF($Q12="",0,SUMPRODUCT((Table1[Arr Date]&gt;=$B$5)*(Table1[Arr Date]&lt;=$B$6)*(($B$7="ALL")+(Table1[HTL BKG Status]=$B$7)&gt;0)*(($B$8="ALL")+(Table1[T/O]=$B$8)&gt;0)*(($B$9="ALL")+(TRIM(Table1[Market])=$B$9)&gt;0)*(($B$10="ALL")+(Table1[Resort]=$B$10)&gt;0)*(TRIM(Table1[Hotel Name])=$Q12)*IFERROR(Table1[NTS]+0,0)*IFERROR(Table1[No RMS]+0,0)))</f>
        <v>10</v>
      </c>
      <c r="U12" s="148" cm="1">
        <f t="array" ref="U12">IF($Q12="",0,SUMPRODUCT((Table1[Arr Date]&gt;=$B$5)*(Table1[Arr Date]&lt;=$B$6)*(($B$7="ALL")+(Table1[HTL BKG Status]=$B$7)&gt;0)*(($B$8="ALL")+(Table1[T/O]=$B$8)&gt;0)*(($B$9="ALL")+(TRIM(Table1[Market])=$B$9)&gt;0)*(($B$10="ALL")+(Table1[Resort]=$B$10)&gt;0)*(TRIM(Table1[Hotel Name])=$Q12)*IFERROR(Table1[Selling EUR]+0,0)))</f>
        <v>1260</v>
      </c>
      <c r="V12" s="148" cm="1">
        <f t="array" ref="V12">IF($Q12="",0,SUMPRODUCT((Table1[Arr Date]&gt;=$B$5)*(Table1[Arr Date]&lt;=$B$6)*(($B$7="ALL")+(Table1[HTL BKG Status]=$B$7)&gt;0)*(($B$8="ALL")+(Table1[T/O]=$B$8)&gt;0)*(($B$9="ALL")+(TRIM(Table1[Market])=$B$9)&gt;0)*(($B$10="ALL")+(Table1[Resort]=$B$10)&gt;0)*(TRIM(Table1[Hotel Name])=$Q12)*IFERROR(Table1[P/L EUR]+0,0)))</f>
        <v>240</v>
      </c>
      <c r="W12" s="148">
        <f t="shared" si="0"/>
        <v>1.0001199999999999</v>
      </c>
      <c r="X12" s="148"/>
      <c r="Y12" s="148">
        <v>45981</v>
      </c>
      <c r="Z12" s="148">
        <v>16300986</v>
      </c>
      <c r="AA12" s="148" t="s">
        <v>51</v>
      </c>
      <c r="AB12" s="148">
        <v>45988</v>
      </c>
      <c r="AC12" s="148">
        <v>0</v>
      </c>
      <c r="AD12" s="148">
        <f t="shared" ca="1" si="1"/>
        <v>-221</v>
      </c>
      <c r="AE12" s="148">
        <f t="shared" ca="1" si="2"/>
        <v>-10000000000</v>
      </c>
    </row>
    <row r="13" spans="1:31" ht="16.8" x14ac:dyDescent="0.4">
      <c r="A13" s="342" t="s">
        <v>1341</v>
      </c>
      <c r="B13" s="345"/>
      <c r="C13" s="345"/>
      <c r="D13" s="345"/>
      <c r="E13" s="346"/>
      <c r="F13" s="148"/>
      <c r="G13" s="342" t="s">
        <v>1346</v>
      </c>
      <c r="H13" s="345"/>
      <c r="I13" s="345"/>
      <c r="J13" s="346"/>
      <c r="K13" s="148"/>
      <c r="L13" s="342" t="s">
        <v>1347</v>
      </c>
      <c r="M13" s="345"/>
      <c r="N13" s="345"/>
      <c r="O13" s="346"/>
      <c r="P13" s="148"/>
      <c r="Q13" s="148" t="s">
        <v>96</v>
      </c>
      <c r="R13" s="148" cm="1">
        <f t="array" ref="R13">IF($Q13="",0,SUMPRODUCT((Table1[Arr Date]&gt;=$B$5)*(Table1[Arr Date]&lt;=$B$6)*(($B$7="ALL")+(Table1[HTL BKG Status]=$B$7)&gt;0)*(($B$8="ALL")+(Table1[T/O]=$B$8)&gt;0)*(($B$9="ALL")+(TRIM(Table1[Market])=$B$9)&gt;0)*(($B$10="ALL")+(Table1[Resort]=$B$10)&gt;0)*(TRIM(Table1[Hotel Name])=$Q13)))</f>
        <v>0</v>
      </c>
      <c r="S13" s="148" cm="1">
        <f t="array" ref="S13">IF($Q13="",0,SUMPRODUCT((Table1[Arr Date]&gt;=$B$5)*(Table1[Arr Date]&lt;=$B$6)*(($B$7="ALL")+(Table1[HTL BKG Status]=$B$7)&gt;0)*(($B$8="ALL")+(Table1[T/O]=$B$8)&gt;0)*(($B$9="ALL")+(TRIM(Table1[Market])=$B$9)&gt;0)*(($B$10="ALL")+(Table1[Resort]=$B$10)&gt;0)*(TRIM(Table1[Hotel Name])=$Q13)*IFERROR(Table1[No RMS]+0,0)))</f>
        <v>0</v>
      </c>
      <c r="T13" s="148" cm="1">
        <f t="array" ref="T13">IF($Q13="",0,SUMPRODUCT((Table1[Arr Date]&gt;=$B$5)*(Table1[Arr Date]&lt;=$B$6)*(($B$7="ALL")+(Table1[HTL BKG Status]=$B$7)&gt;0)*(($B$8="ALL")+(Table1[T/O]=$B$8)&gt;0)*(($B$9="ALL")+(TRIM(Table1[Market])=$B$9)&gt;0)*(($B$10="ALL")+(Table1[Resort]=$B$10)&gt;0)*(TRIM(Table1[Hotel Name])=$Q13)*IFERROR(Table1[NTS]+0,0)*IFERROR(Table1[No RMS]+0,0)))</f>
        <v>0</v>
      </c>
      <c r="U13" s="148" cm="1">
        <f t="array" ref="U13">IF($Q13="",0,SUMPRODUCT((Table1[Arr Date]&gt;=$B$5)*(Table1[Arr Date]&lt;=$B$6)*(($B$7="ALL")+(Table1[HTL BKG Status]=$B$7)&gt;0)*(($B$8="ALL")+(Table1[T/O]=$B$8)&gt;0)*(($B$9="ALL")+(TRIM(Table1[Market])=$B$9)&gt;0)*(($B$10="ALL")+(Table1[Resort]=$B$10)&gt;0)*(TRIM(Table1[Hotel Name])=$Q13)*IFERROR(Table1[Selling EUR]+0,0)))</f>
        <v>0</v>
      </c>
      <c r="V13" s="148" cm="1">
        <f t="array" ref="V13">IF($Q13="",0,SUMPRODUCT((Table1[Arr Date]&gt;=$B$5)*(Table1[Arr Date]&lt;=$B$6)*(($B$7="ALL")+(Table1[HTL BKG Status]=$B$7)&gt;0)*(($B$8="ALL")+(Table1[T/O]=$B$8)&gt;0)*(($B$9="ALL")+(TRIM(Table1[Market])=$B$9)&gt;0)*(($B$10="ALL")+(Table1[Resort]=$B$10)&gt;0)*(TRIM(Table1[Hotel Name])=$Q13)*IFERROR(Table1[P/L EUR]+0,0)))</f>
        <v>0</v>
      </c>
      <c r="W13" s="148">
        <f t="shared" si="0"/>
        <v>1.2999999999999999E-4</v>
      </c>
      <c r="X13" s="148"/>
      <c r="Y13" s="148">
        <v>46075</v>
      </c>
      <c r="Z13" s="148">
        <v>16303959</v>
      </c>
      <c r="AA13" s="148" t="s">
        <v>57</v>
      </c>
      <c r="AB13" s="148">
        <v>46083</v>
      </c>
      <c r="AC13" s="148">
        <v>0</v>
      </c>
      <c r="AD13" s="148">
        <f t="shared" ca="1" si="1"/>
        <v>-127</v>
      </c>
      <c r="AE13" s="148">
        <f t="shared" ca="1" si="2"/>
        <v>-10000000000</v>
      </c>
    </row>
    <row r="14" spans="1:31" x14ac:dyDescent="0.3">
      <c r="A14" s="187" t="s">
        <v>3</v>
      </c>
      <c r="B14" s="159" t="s">
        <v>1342</v>
      </c>
      <c r="C14" s="159" t="s">
        <v>28</v>
      </c>
      <c r="D14" s="159" t="s">
        <v>29</v>
      </c>
      <c r="E14" s="194" t="s">
        <v>1343</v>
      </c>
      <c r="F14" s="148"/>
      <c r="G14" s="187" t="s">
        <v>4</v>
      </c>
      <c r="H14" s="159" t="s">
        <v>1342</v>
      </c>
      <c r="I14" s="159" t="s">
        <v>28</v>
      </c>
      <c r="J14" s="194" t="s">
        <v>29</v>
      </c>
      <c r="K14" s="148"/>
      <c r="L14" s="187" t="s">
        <v>7</v>
      </c>
      <c r="M14" s="159" t="s">
        <v>1342</v>
      </c>
      <c r="N14" s="159" t="s">
        <v>28</v>
      </c>
      <c r="O14" s="194" t="s">
        <v>29</v>
      </c>
      <c r="P14" s="148"/>
      <c r="Q14" s="148" t="s">
        <v>133</v>
      </c>
      <c r="R14" s="148" cm="1">
        <f t="array" ref="R14">IF($Q14="",0,SUMPRODUCT((Table1[Arr Date]&gt;=$B$5)*(Table1[Arr Date]&lt;=$B$6)*(($B$7="ALL")+(Table1[HTL BKG Status]=$B$7)&gt;0)*(($B$8="ALL")+(Table1[T/O]=$B$8)&gt;0)*(($B$9="ALL")+(TRIM(Table1[Market])=$B$9)&gt;0)*(($B$10="ALL")+(Table1[Resort]=$B$10)&gt;0)*(TRIM(Table1[Hotel Name])=$Q14)))</f>
        <v>0</v>
      </c>
      <c r="S14" s="148" cm="1">
        <f t="array" ref="S14">IF($Q14="",0,SUMPRODUCT((Table1[Arr Date]&gt;=$B$5)*(Table1[Arr Date]&lt;=$B$6)*(($B$7="ALL")+(Table1[HTL BKG Status]=$B$7)&gt;0)*(($B$8="ALL")+(Table1[T/O]=$B$8)&gt;0)*(($B$9="ALL")+(TRIM(Table1[Market])=$B$9)&gt;0)*(($B$10="ALL")+(Table1[Resort]=$B$10)&gt;0)*(TRIM(Table1[Hotel Name])=$Q14)*IFERROR(Table1[No RMS]+0,0)))</f>
        <v>0</v>
      </c>
      <c r="T14" s="148" cm="1">
        <f t="array" ref="T14">IF($Q14="",0,SUMPRODUCT((Table1[Arr Date]&gt;=$B$5)*(Table1[Arr Date]&lt;=$B$6)*(($B$7="ALL")+(Table1[HTL BKG Status]=$B$7)&gt;0)*(($B$8="ALL")+(Table1[T/O]=$B$8)&gt;0)*(($B$9="ALL")+(TRIM(Table1[Market])=$B$9)&gt;0)*(($B$10="ALL")+(Table1[Resort]=$B$10)&gt;0)*(TRIM(Table1[Hotel Name])=$Q14)*IFERROR(Table1[NTS]+0,0)*IFERROR(Table1[No RMS]+0,0)))</f>
        <v>0</v>
      </c>
      <c r="U14" s="148" cm="1">
        <f t="array" ref="U14">IF($Q14="",0,SUMPRODUCT((Table1[Arr Date]&gt;=$B$5)*(Table1[Arr Date]&lt;=$B$6)*(($B$7="ALL")+(Table1[HTL BKG Status]=$B$7)&gt;0)*(($B$8="ALL")+(Table1[T/O]=$B$8)&gt;0)*(($B$9="ALL")+(TRIM(Table1[Market])=$B$9)&gt;0)*(($B$10="ALL")+(Table1[Resort]=$B$10)&gt;0)*(TRIM(Table1[Hotel Name])=$Q14)*IFERROR(Table1[Selling EUR]+0,0)))</f>
        <v>0</v>
      </c>
      <c r="V14" s="148" cm="1">
        <f t="array" ref="V14">IF($Q14="",0,SUMPRODUCT((Table1[Arr Date]&gt;=$B$5)*(Table1[Arr Date]&lt;=$B$6)*(($B$7="ALL")+(Table1[HTL BKG Status]=$B$7)&gt;0)*(($B$8="ALL")+(Table1[T/O]=$B$8)&gt;0)*(($B$9="ALL")+(TRIM(Table1[Market])=$B$9)&gt;0)*(($B$10="ALL")+(Table1[Resort]=$B$10)&gt;0)*(TRIM(Table1[Hotel Name])=$Q14)*IFERROR(Table1[P/L EUR]+0,0)))</f>
        <v>0</v>
      </c>
      <c r="W14" s="148">
        <f t="shared" si="0"/>
        <v>1.3999999999999999E-4</v>
      </c>
      <c r="X14" s="148"/>
      <c r="Y14" s="148">
        <v>45970</v>
      </c>
      <c r="Z14" s="148">
        <v>16312026</v>
      </c>
      <c r="AA14" s="148" t="s">
        <v>62</v>
      </c>
      <c r="AB14" s="148">
        <v>45979</v>
      </c>
      <c r="AC14" s="148">
        <v>1260</v>
      </c>
      <c r="AD14" s="148">
        <f t="shared" ca="1" si="1"/>
        <v>-232</v>
      </c>
      <c r="AE14" s="148">
        <f t="shared" ca="1" si="2"/>
        <v>-10000000000</v>
      </c>
    </row>
    <row r="15" spans="1:31" ht="15" x14ac:dyDescent="0.35">
      <c r="A15" s="210" t="s">
        <v>48</v>
      </c>
      <c r="B15" s="160" cm="1">
        <f t="array" ref="B15">SUMPRODUCT((Table1[Arr Date]&gt;=$B$5)*(Table1[Arr Date]&lt;=$B$6)*(UPPER(TRIM(Table1[T/O]))=UPPER($A15)))</f>
        <v>17</v>
      </c>
      <c r="C15" s="161" cm="1">
        <f t="array" ref="C15">SUMPRODUCT((Table1[Arr Date]&gt;=$B$5)*(Table1[Arr Date]&lt;=$B$6)*(UPPER(TRIM(Table1[T/O]))=UPPER($A15))*IFERROR(Table1[Selling EUR]+0,0))</f>
        <v>12729.600000000002</v>
      </c>
      <c r="D15" s="162" cm="1">
        <f t="array" ref="D15">SUMPRODUCT((Table1[Arr Date]&gt;=$B$5)*(Table1[Arr Date]&lt;=$B$6)*(UPPER(TRIM(Table1[T/O]))=UPPER($A15))*IFERROR(Table1[P/L EUR]+0,0))</f>
        <v>1340.0000000000005</v>
      </c>
      <c r="E15" s="212">
        <f>IFERROR(D15/C15,0)</f>
        <v>0.10526646556058322</v>
      </c>
      <c r="F15" s="148"/>
      <c r="G15" s="210" t="s">
        <v>49</v>
      </c>
      <c r="H15" s="160" cm="1">
        <f t="array" ref="H15">SUMPRODUCT((Table1[Arr Date]&gt;=$B$5)*(Table1[Arr Date]&lt;=$B$6)*(UPPER(TRIM(Table1[Market]))=UPPER($G15)))</f>
        <v>16</v>
      </c>
      <c r="I15" s="161" cm="1">
        <f t="array" ref="I15">SUMPRODUCT((Table1[Arr Date]&gt;=$B$5)*(Table1[Arr Date]&lt;=$B$6)*(UPPER(TRIM(Table1[Market]))=UPPER($G15))*IFERROR(Table1[Selling EUR]+0,0))</f>
        <v>15565.800000000001</v>
      </c>
      <c r="J15" s="214" cm="1">
        <f t="array" ref="J15">SUMPRODUCT((Table1[Arr Date]&gt;=$B$5)*(Table1[Arr Date]&lt;=$B$6)*(UPPER(TRIM(Table1[Market]))=UPPER($G15))*IFERROR(Table1[P/L EUR]+0,0))</f>
        <v>1495.6000000000004</v>
      </c>
      <c r="K15" s="148"/>
      <c r="L15" s="210" t="s">
        <v>50</v>
      </c>
      <c r="M15" s="160" cm="1">
        <f t="array" ref="M15">SUMPRODUCT((Table1[Arr Date]&gt;=$B$5)*(Table1[Arr Date]&lt;=$B$6)*(UPPER(TRIM(Table1[Resort]))=UPPER($L15)))</f>
        <v>11</v>
      </c>
      <c r="N15" s="161" cm="1">
        <f t="array" ref="N15">SUMPRODUCT((Table1[Arr Date]&gt;=$B$5)*(Table1[Arr Date]&lt;=$B$6)*(UPPER(TRIM(Table1[Resort]))=UPPER($L15))*IFERROR(Table1[Selling EUR]+0,0))</f>
        <v>10495.199999999999</v>
      </c>
      <c r="O15" s="214" cm="1">
        <f t="array" ref="O15">SUMPRODUCT((Table1[Arr Date]&gt;=$B$5)*(Table1[Arr Date]&lt;=$B$6)*(UPPER(TRIM(Table1[Resort]))=UPPER($L15))*IFERROR(Table1[P/L EUR]+0,0))</f>
        <v>460.99999999999989</v>
      </c>
      <c r="P15" s="148"/>
      <c r="Q15" s="148" t="s">
        <v>57</v>
      </c>
      <c r="R15" s="148" cm="1">
        <f t="array" ref="R15">IF($Q15="",0,SUMPRODUCT((Table1[Arr Date]&gt;=$B$5)*(Table1[Arr Date]&lt;=$B$6)*(($B$7="ALL")+(Table1[HTL BKG Status]=$B$7)&gt;0)*(($B$8="ALL")+(Table1[T/O]=$B$8)&gt;0)*(($B$9="ALL")+(TRIM(Table1[Market])=$B$9)&gt;0)*(($B$10="ALL")+(Table1[Resort]=$B$10)&gt;0)*(TRIM(Table1[Hotel Name])=$Q15)))</f>
        <v>0</v>
      </c>
      <c r="S15" s="148" cm="1">
        <f t="array" ref="S15">IF($Q15="",0,SUMPRODUCT((Table1[Arr Date]&gt;=$B$5)*(Table1[Arr Date]&lt;=$B$6)*(($B$7="ALL")+(Table1[HTL BKG Status]=$B$7)&gt;0)*(($B$8="ALL")+(Table1[T/O]=$B$8)&gt;0)*(($B$9="ALL")+(TRIM(Table1[Market])=$B$9)&gt;0)*(($B$10="ALL")+(Table1[Resort]=$B$10)&gt;0)*(TRIM(Table1[Hotel Name])=$Q15)*IFERROR(Table1[No RMS]+0,0)))</f>
        <v>0</v>
      </c>
      <c r="T15" s="148" cm="1">
        <f t="array" ref="T15">IF($Q15="",0,SUMPRODUCT((Table1[Arr Date]&gt;=$B$5)*(Table1[Arr Date]&lt;=$B$6)*(($B$7="ALL")+(Table1[HTL BKG Status]=$B$7)&gt;0)*(($B$8="ALL")+(Table1[T/O]=$B$8)&gt;0)*(($B$9="ALL")+(TRIM(Table1[Market])=$B$9)&gt;0)*(($B$10="ALL")+(Table1[Resort]=$B$10)&gt;0)*(TRIM(Table1[Hotel Name])=$Q15)*IFERROR(Table1[NTS]+0,0)*IFERROR(Table1[No RMS]+0,0)))</f>
        <v>0</v>
      </c>
      <c r="U15" s="148" cm="1">
        <f t="array" ref="U15">IF($Q15="",0,SUMPRODUCT((Table1[Arr Date]&gt;=$B$5)*(Table1[Arr Date]&lt;=$B$6)*(($B$7="ALL")+(Table1[HTL BKG Status]=$B$7)&gt;0)*(($B$8="ALL")+(Table1[T/O]=$B$8)&gt;0)*(($B$9="ALL")+(TRIM(Table1[Market])=$B$9)&gt;0)*(($B$10="ALL")+(Table1[Resort]=$B$10)&gt;0)*(TRIM(Table1[Hotel Name])=$Q15)*IFERROR(Table1[Selling EUR]+0,0)))</f>
        <v>0</v>
      </c>
      <c r="V15" s="148" cm="1">
        <f t="array" ref="V15">IF($Q15="",0,SUMPRODUCT((Table1[Arr Date]&gt;=$B$5)*(Table1[Arr Date]&lt;=$B$6)*(($B$7="ALL")+(Table1[HTL BKG Status]=$B$7)&gt;0)*(($B$8="ALL")+(Table1[T/O]=$B$8)&gt;0)*(($B$9="ALL")+(TRIM(Table1[Market])=$B$9)&gt;0)*(($B$10="ALL")+(Table1[Resort]=$B$10)&gt;0)*(TRIM(Table1[Hotel Name])=$Q15)*IFERROR(Table1[P/L EUR]+0,0)))</f>
        <v>0</v>
      </c>
      <c r="W15" s="148">
        <f t="shared" si="0"/>
        <v>1.4999999999999999E-4</v>
      </c>
      <c r="X15" s="148"/>
      <c r="Y15" s="148">
        <v>45986</v>
      </c>
      <c r="Z15" s="148">
        <v>16318110</v>
      </c>
      <c r="AA15" s="148" t="s">
        <v>64</v>
      </c>
      <c r="AB15" s="148">
        <v>45991</v>
      </c>
      <c r="AC15" s="148">
        <v>1003</v>
      </c>
      <c r="AD15" s="148">
        <f t="shared" ca="1" si="1"/>
        <v>-216</v>
      </c>
      <c r="AE15" s="148">
        <f t="shared" ca="1" si="2"/>
        <v>-10000000000</v>
      </c>
    </row>
    <row r="16" spans="1:31" ht="15" x14ac:dyDescent="0.35">
      <c r="A16" s="210" t="s">
        <v>79</v>
      </c>
      <c r="B16" s="160" cm="1">
        <f t="array" ref="B16">SUMPRODUCT((Table1[Arr Date]&gt;=$B$5)*(Table1[Arr Date]&lt;=$B$6)*(UPPER(TRIM(Table1[T/O]))=UPPER($A16)))</f>
        <v>6</v>
      </c>
      <c r="C16" s="161" cm="1">
        <f t="array" ref="C16">SUMPRODUCT((Table1[Arr Date]&gt;=$B$5)*(Table1[Arr Date]&lt;=$B$6)*(UPPER(TRIM(Table1[T/O]))=UPPER($A16))*IFERROR(Table1[Selling EUR]+0,0))</f>
        <v>4530</v>
      </c>
      <c r="D16" s="162" cm="1">
        <f t="array" ref="D16">SUMPRODUCT((Table1[Arr Date]&gt;=$B$5)*(Table1[Arr Date]&lt;=$B$6)*(UPPER(TRIM(Table1[T/O]))=UPPER($A16))*IFERROR(Table1[P/L EUR]+0,0))</f>
        <v>610.39999999999975</v>
      </c>
      <c r="E16" s="212">
        <f t="shared" ref="E16:E17" si="3">IFERROR(D16/C16,0)</f>
        <v>0.13474613686534212</v>
      </c>
      <c r="F16" s="148"/>
      <c r="G16" s="210" t="s">
        <v>61</v>
      </c>
      <c r="H16" s="160" cm="1">
        <f t="array" ref="H16">SUMPRODUCT((Table1[Arr Date]&gt;=$B$5)*(Table1[Arr Date]&lt;=$B$6)*(UPPER(TRIM(Table1[Market]))=UPPER($G16)))</f>
        <v>3</v>
      </c>
      <c r="I16" s="161" cm="1">
        <f t="array" ref="I16">SUMPRODUCT((Table1[Arr Date]&gt;=$B$5)*(Table1[Arr Date]&lt;=$B$6)*(UPPER(TRIM(Table1[Market]))=UPPER($G16))*IFERROR(Table1[Selling EUR]+0,0))</f>
        <v>0</v>
      </c>
      <c r="J16" s="214" cm="1">
        <f t="array" ref="J16">SUMPRODUCT((Table1[Arr Date]&gt;=$B$5)*(Table1[Arr Date]&lt;=$B$6)*(UPPER(TRIM(Table1[Market]))=UPPER($G16))*IFERROR(Table1[P/L EUR]+0,0))</f>
        <v>0</v>
      </c>
      <c r="K16" s="148"/>
      <c r="L16" s="210" t="s">
        <v>84</v>
      </c>
      <c r="M16" s="160" cm="1">
        <f t="array" ref="M16">SUMPRODUCT((Table1[Arr Date]&gt;=$B$5)*(Table1[Arr Date]&lt;=$B$6)*(UPPER(TRIM(Table1[Resort]))=UPPER($L16)))</f>
        <v>4</v>
      </c>
      <c r="N16" s="161" cm="1">
        <f t="array" ref="N16">SUMPRODUCT((Table1[Arr Date]&gt;=$B$5)*(Table1[Arr Date]&lt;=$B$6)*(UPPER(TRIM(Table1[Resort]))=UPPER($L16))*IFERROR(Table1[Selling EUR]+0,0))</f>
        <v>1693.8</v>
      </c>
      <c r="O16" s="214" cm="1">
        <f t="array" ref="O16">SUMPRODUCT((Table1[Arr Date]&gt;=$B$5)*(Table1[Arr Date]&lt;=$B$6)*(UPPER(TRIM(Table1[Resort]))=UPPER($L16))*IFERROR(Table1[P/L EUR]+0,0))</f>
        <v>454.79999999999995</v>
      </c>
      <c r="P16" s="148"/>
      <c r="Q16" s="148" t="s">
        <v>115</v>
      </c>
      <c r="R16" s="148" cm="1">
        <f t="array" ref="R16">IF($Q16="",0,SUMPRODUCT((Table1[Arr Date]&gt;=$B$5)*(Table1[Arr Date]&lt;=$B$6)*(($B$7="ALL")+(Table1[HTL BKG Status]=$B$7)&gt;0)*(($B$8="ALL")+(Table1[T/O]=$B$8)&gt;0)*(($B$9="ALL")+(TRIM(Table1[Market])=$B$9)&gt;0)*(($B$10="ALL")+(Table1[Resort]=$B$10)&gt;0)*(TRIM(Table1[Hotel Name])=$Q16)))</f>
        <v>0</v>
      </c>
      <c r="S16" s="148" cm="1">
        <f t="array" ref="S16">IF($Q16="",0,SUMPRODUCT((Table1[Arr Date]&gt;=$B$5)*(Table1[Arr Date]&lt;=$B$6)*(($B$7="ALL")+(Table1[HTL BKG Status]=$B$7)&gt;0)*(($B$8="ALL")+(Table1[T/O]=$B$8)&gt;0)*(($B$9="ALL")+(TRIM(Table1[Market])=$B$9)&gt;0)*(($B$10="ALL")+(Table1[Resort]=$B$10)&gt;0)*(TRIM(Table1[Hotel Name])=$Q16)*IFERROR(Table1[No RMS]+0,0)))</f>
        <v>0</v>
      </c>
      <c r="T16" s="148" cm="1">
        <f t="array" ref="T16">IF($Q16="",0,SUMPRODUCT((Table1[Arr Date]&gt;=$B$5)*(Table1[Arr Date]&lt;=$B$6)*(($B$7="ALL")+(Table1[HTL BKG Status]=$B$7)&gt;0)*(($B$8="ALL")+(Table1[T/O]=$B$8)&gt;0)*(($B$9="ALL")+(TRIM(Table1[Market])=$B$9)&gt;0)*(($B$10="ALL")+(Table1[Resort]=$B$10)&gt;0)*(TRIM(Table1[Hotel Name])=$Q16)*IFERROR(Table1[NTS]+0,0)*IFERROR(Table1[No RMS]+0,0)))</f>
        <v>0</v>
      </c>
      <c r="U16" s="148" cm="1">
        <f t="array" ref="U16">IF($Q16="",0,SUMPRODUCT((Table1[Arr Date]&gt;=$B$5)*(Table1[Arr Date]&lt;=$B$6)*(($B$7="ALL")+(Table1[HTL BKG Status]=$B$7)&gt;0)*(($B$8="ALL")+(Table1[T/O]=$B$8)&gt;0)*(($B$9="ALL")+(TRIM(Table1[Market])=$B$9)&gt;0)*(($B$10="ALL")+(Table1[Resort]=$B$10)&gt;0)*(TRIM(Table1[Hotel Name])=$Q16)*IFERROR(Table1[Selling EUR]+0,0)))</f>
        <v>0</v>
      </c>
      <c r="V16" s="148" cm="1">
        <f t="array" ref="V16">IF($Q16="",0,SUMPRODUCT((Table1[Arr Date]&gt;=$B$5)*(Table1[Arr Date]&lt;=$B$6)*(($B$7="ALL")+(Table1[HTL BKG Status]=$B$7)&gt;0)*(($B$8="ALL")+(Table1[T/O]=$B$8)&gt;0)*(($B$9="ALL")+(TRIM(Table1[Market])=$B$9)&gt;0)*(($B$10="ALL")+(Table1[Resort]=$B$10)&gt;0)*(TRIM(Table1[Hotel Name])=$Q16)*IFERROR(Table1[P/L EUR]+0,0)))</f>
        <v>0</v>
      </c>
      <c r="W16" s="148">
        <f t="shared" si="0"/>
        <v>1.6000000000000001E-4</v>
      </c>
      <c r="X16" s="148"/>
      <c r="Y16" s="148">
        <v>45962</v>
      </c>
      <c r="Z16" s="148">
        <v>16331772</v>
      </c>
      <c r="AA16" s="148" t="s">
        <v>66</v>
      </c>
      <c r="AB16" s="148">
        <v>45969</v>
      </c>
      <c r="AC16" s="148">
        <v>574</v>
      </c>
      <c r="AD16" s="148">
        <f t="shared" ca="1" si="1"/>
        <v>-240</v>
      </c>
      <c r="AE16" s="148">
        <f t="shared" ca="1" si="2"/>
        <v>-10000000000</v>
      </c>
    </row>
    <row r="17" spans="1:31" ht="15" x14ac:dyDescent="0.35">
      <c r="A17" s="210" t="s">
        <v>137</v>
      </c>
      <c r="B17" s="160" cm="1">
        <f t="array" ref="B17">SUMPRODUCT((Table1[Arr Date]&gt;=$B$5)*(Table1[Arr Date]&lt;=$B$6)*(UPPER(TRIM(Table1[T/O]))=UPPER($A17)))</f>
        <v>0</v>
      </c>
      <c r="C17" s="161" cm="1">
        <f t="array" ref="C17">SUMPRODUCT((Table1[Arr Date]&gt;=$B$5)*(Table1[Arr Date]&lt;=$B$6)*(UPPER(TRIM(Table1[T/O]))=UPPER($A17))*IFERROR(Table1[Selling EUR]+0,0))</f>
        <v>0</v>
      </c>
      <c r="D17" s="162" cm="1">
        <f t="array" ref="D17">SUMPRODUCT((Table1[Arr Date]&gt;=$B$5)*(Table1[Arr Date]&lt;=$B$6)*(UPPER(TRIM(Table1[T/O]))=UPPER($A17))*IFERROR(Table1[P/L EUR]+0,0))</f>
        <v>0</v>
      </c>
      <c r="E17" s="212">
        <f t="shared" si="3"/>
        <v>0</v>
      </c>
      <c r="F17" s="148"/>
      <c r="G17" s="210" t="s">
        <v>83</v>
      </c>
      <c r="H17" s="160" cm="1">
        <f t="array" ref="H17">SUMPRODUCT((Table1[Arr Date]&gt;=$B$5)*(Table1[Arr Date]&lt;=$B$6)*(UPPER(TRIM(Table1[Market]))=UPPER($G17)))</f>
        <v>0</v>
      </c>
      <c r="I17" s="161" cm="1">
        <f t="array" ref="I17">SUMPRODUCT((Table1[Arr Date]&gt;=$B$5)*(Table1[Arr Date]&lt;=$B$6)*(UPPER(TRIM(Table1[Market]))=UPPER($G17))*IFERROR(Table1[Selling EUR]+0,0))</f>
        <v>0</v>
      </c>
      <c r="J17" s="214" cm="1">
        <f t="array" ref="J17">SUMPRODUCT((Table1[Arr Date]&gt;=$B$5)*(Table1[Arr Date]&lt;=$B$6)*(UPPER(TRIM(Table1[Market]))=UPPER($G17))*IFERROR(Table1[P/L EUR]+0,0))</f>
        <v>0</v>
      </c>
      <c r="K17" s="148"/>
      <c r="L17" s="210" t="s">
        <v>58</v>
      </c>
      <c r="M17" s="160" cm="1">
        <f t="array" ref="M17">SUMPRODUCT((Table1[Arr Date]&gt;=$B$5)*(Table1[Arr Date]&lt;=$B$6)*(UPPER(TRIM(Table1[Resort]))=UPPER($L17)))</f>
        <v>8</v>
      </c>
      <c r="N17" s="161" cm="1">
        <f t="array" ref="N17">SUMPRODUCT((Table1[Arr Date]&gt;=$B$5)*(Table1[Arr Date]&lt;=$B$6)*(UPPER(TRIM(Table1[Resort]))=UPPER($L17))*IFERROR(Table1[Selling EUR]+0,0))</f>
        <v>5070.6000000000004</v>
      </c>
      <c r="O17" s="214" cm="1">
        <f t="array" ref="O17">SUMPRODUCT((Table1[Arr Date]&gt;=$B$5)*(Table1[Arr Date]&lt;=$B$6)*(UPPER(TRIM(Table1[Resort]))=UPPER($L17))*IFERROR(Table1[P/L EUR]+0,0))</f>
        <v>1034.6000000000004</v>
      </c>
      <c r="P17" s="148"/>
      <c r="Q17" s="148" t="s">
        <v>51</v>
      </c>
      <c r="R17" s="148" cm="1">
        <f t="array" ref="R17">IF($Q17="",0,SUMPRODUCT((Table1[Arr Date]&gt;=$B$5)*(Table1[Arr Date]&lt;=$B$6)*(($B$7="ALL")+(Table1[HTL BKG Status]=$B$7)&gt;0)*(($B$8="ALL")+(Table1[T/O]=$B$8)&gt;0)*(($B$9="ALL")+(TRIM(Table1[Market])=$B$9)&gt;0)*(($B$10="ALL")+(Table1[Resort]=$B$10)&gt;0)*(TRIM(Table1[Hotel Name])=$Q17)))</f>
        <v>1</v>
      </c>
      <c r="S17" s="148" cm="1">
        <f t="array" ref="S17">IF($Q17="",0,SUMPRODUCT((Table1[Arr Date]&gt;=$B$5)*(Table1[Arr Date]&lt;=$B$6)*(($B$7="ALL")+(Table1[HTL BKG Status]=$B$7)&gt;0)*(($B$8="ALL")+(Table1[T/O]=$B$8)&gt;0)*(($B$9="ALL")+(TRIM(Table1[Market])=$B$9)&gt;0)*(($B$10="ALL")+(Table1[Resort]=$B$10)&gt;0)*(TRIM(Table1[Hotel Name])=$Q17)*IFERROR(Table1[No RMS]+0,0)))</f>
        <v>1</v>
      </c>
      <c r="T17" s="148" cm="1">
        <f t="array" ref="T17">IF($Q17="",0,SUMPRODUCT((Table1[Arr Date]&gt;=$B$5)*(Table1[Arr Date]&lt;=$B$6)*(($B$7="ALL")+(Table1[HTL BKG Status]=$B$7)&gt;0)*(($B$8="ALL")+(Table1[T/O]=$B$8)&gt;0)*(($B$9="ALL")+(TRIM(Table1[Market])=$B$9)&gt;0)*(($B$10="ALL")+(Table1[Resort]=$B$10)&gt;0)*(TRIM(Table1[Hotel Name])=$Q17)*IFERROR(Table1[NTS]+0,0)*IFERROR(Table1[No RMS]+0,0)))</f>
        <v>14</v>
      </c>
      <c r="U17" s="148" cm="1">
        <f t="array" ref="U17">IF($Q17="",0,SUMPRODUCT((Table1[Arr Date]&gt;=$B$5)*(Table1[Arr Date]&lt;=$B$6)*(($B$7="ALL")+(Table1[HTL BKG Status]=$B$7)&gt;0)*(($B$8="ALL")+(Table1[T/O]=$B$8)&gt;0)*(($B$9="ALL")+(TRIM(Table1[Market])=$B$9)&gt;0)*(($B$10="ALL")+(Table1[Resort]=$B$10)&gt;0)*(TRIM(Table1[Hotel Name])=$Q17)*IFERROR(Table1[Selling EUR]+0,0)))</f>
        <v>0</v>
      </c>
      <c r="V17" s="148" cm="1">
        <f t="array" ref="V17">IF($Q17="",0,SUMPRODUCT((Table1[Arr Date]&gt;=$B$5)*(Table1[Arr Date]&lt;=$B$6)*(($B$7="ALL")+(Table1[HTL BKG Status]=$B$7)&gt;0)*(($B$8="ALL")+(Table1[T/O]=$B$8)&gt;0)*(($B$9="ALL")+(TRIM(Table1[Market])=$B$9)&gt;0)*(($B$10="ALL")+(Table1[Resort]=$B$10)&gt;0)*(TRIM(Table1[Hotel Name])=$Q17)*IFERROR(Table1[P/L EUR]+0,0)))</f>
        <v>0</v>
      </c>
      <c r="W17" s="148">
        <f t="shared" si="0"/>
        <v>1.00017</v>
      </c>
      <c r="X17" s="148"/>
      <c r="Y17" s="148">
        <v>45914</v>
      </c>
      <c r="Z17" s="148">
        <v>16343734</v>
      </c>
      <c r="AA17" s="148" t="s">
        <v>59</v>
      </c>
      <c r="AB17" s="148">
        <v>45920</v>
      </c>
      <c r="AC17" s="148">
        <v>392</v>
      </c>
      <c r="AD17" s="148">
        <f t="shared" ca="1" si="1"/>
        <v>-288</v>
      </c>
      <c r="AE17" s="148">
        <f t="shared" ca="1" si="2"/>
        <v>-10000000000</v>
      </c>
    </row>
    <row r="18" spans="1:31" ht="15" x14ac:dyDescent="0.35">
      <c r="A18" s="210" t="s">
        <v>1344</v>
      </c>
      <c r="B18" s="160">
        <f>B19-SUM(B15:B17)</f>
        <v>0</v>
      </c>
      <c r="C18" s="161">
        <f>C19-SUM(C15:C17)</f>
        <v>0</v>
      </c>
      <c r="D18" s="162">
        <f>D19-SUM(D15:D17)</f>
        <v>0</v>
      </c>
      <c r="E18" s="212">
        <f>IFERROR(D18/C18,0)</f>
        <v>0</v>
      </c>
      <c r="F18" s="148"/>
      <c r="G18" s="210" t="s">
        <v>138</v>
      </c>
      <c r="H18" s="160" cm="1">
        <f t="array" ref="H18">SUMPRODUCT((Table1[Arr Date]&gt;=$B$5)*(Table1[Arr Date]&lt;=$B$6)*(UPPER(TRIM(Table1[Market]))=UPPER($G18)))</f>
        <v>3</v>
      </c>
      <c r="I18" s="161" cm="1">
        <f t="array" ref="I18">SUMPRODUCT((Table1[Arr Date]&gt;=$B$5)*(Table1[Arr Date]&lt;=$B$6)*(UPPER(TRIM(Table1[Market]))=UPPER($G18))*IFERROR(Table1[Selling EUR]+0,0))</f>
        <v>1693.8</v>
      </c>
      <c r="J18" s="214" cm="1">
        <f t="array" ref="J18">SUMPRODUCT((Table1[Arr Date]&gt;=$B$5)*(Table1[Arr Date]&lt;=$B$6)*(UPPER(TRIM(Table1[Market]))=UPPER($G18))*IFERROR(Table1[P/L EUR]+0,0))</f>
        <v>454.79999999999995</v>
      </c>
      <c r="K18" s="148"/>
      <c r="L18" s="210" t="s">
        <v>1344</v>
      </c>
      <c r="M18" s="160">
        <f>M19-SUM(M15:M17)</f>
        <v>0</v>
      </c>
      <c r="N18" s="161">
        <f>N19-SUM(N15:N17)</f>
        <v>0</v>
      </c>
      <c r="O18" s="214">
        <f>O19-SUM(O15:O17)</f>
        <v>0</v>
      </c>
      <c r="P18" s="148"/>
      <c r="Q18" s="148" t="s">
        <v>95</v>
      </c>
      <c r="R18" s="148" cm="1">
        <f t="array" ref="R18">IF($Q18="",0,SUMPRODUCT((Table1[Arr Date]&gt;=$B$5)*(Table1[Arr Date]&lt;=$B$6)*(($B$7="ALL")+(Table1[HTL BKG Status]=$B$7)&gt;0)*(($B$8="ALL")+(Table1[T/O]=$B$8)&gt;0)*(($B$9="ALL")+(TRIM(Table1[Market])=$B$9)&gt;0)*(($B$10="ALL")+(Table1[Resort]=$B$10)&gt;0)*(TRIM(Table1[Hotel Name])=$Q18)))</f>
        <v>0</v>
      </c>
      <c r="S18" s="148" cm="1">
        <f t="array" ref="S18">IF($Q18="",0,SUMPRODUCT((Table1[Arr Date]&gt;=$B$5)*(Table1[Arr Date]&lt;=$B$6)*(($B$7="ALL")+(Table1[HTL BKG Status]=$B$7)&gt;0)*(($B$8="ALL")+(Table1[T/O]=$B$8)&gt;0)*(($B$9="ALL")+(TRIM(Table1[Market])=$B$9)&gt;0)*(($B$10="ALL")+(Table1[Resort]=$B$10)&gt;0)*(TRIM(Table1[Hotel Name])=$Q18)*IFERROR(Table1[No RMS]+0,0)))</f>
        <v>0</v>
      </c>
      <c r="T18" s="148" cm="1">
        <f t="array" ref="T18">IF($Q18="",0,SUMPRODUCT((Table1[Arr Date]&gt;=$B$5)*(Table1[Arr Date]&lt;=$B$6)*(($B$7="ALL")+(Table1[HTL BKG Status]=$B$7)&gt;0)*(($B$8="ALL")+(Table1[T/O]=$B$8)&gt;0)*(($B$9="ALL")+(TRIM(Table1[Market])=$B$9)&gt;0)*(($B$10="ALL")+(Table1[Resort]=$B$10)&gt;0)*(TRIM(Table1[Hotel Name])=$Q18)*IFERROR(Table1[NTS]+0,0)*IFERROR(Table1[No RMS]+0,0)))</f>
        <v>0</v>
      </c>
      <c r="U18" s="148" cm="1">
        <f t="array" ref="U18">IF($Q18="",0,SUMPRODUCT((Table1[Arr Date]&gt;=$B$5)*(Table1[Arr Date]&lt;=$B$6)*(($B$7="ALL")+(Table1[HTL BKG Status]=$B$7)&gt;0)*(($B$8="ALL")+(Table1[T/O]=$B$8)&gt;0)*(($B$9="ALL")+(TRIM(Table1[Market])=$B$9)&gt;0)*(($B$10="ALL")+(Table1[Resort]=$B$10)&gt;0)*(TRIM(Table1[Hotel Name])=$Q18)*IFERROR(Table1[Selling EUR]+0,0)))</f>
        <v>0</v>
      </c>
      <c r="V18" s="148" cm="1">
        <f t="array" ref="V18">IF($Q18="",0,SUMPRODUCT((Table1[Arr Date]&gt;=$B$5)*(Table1[Arr Date]&lt;=$B$6)*(($B$7="ALL")+(Table1[HTL BKG Status]=$B$7)&gt;0)*(($B$8="ALL")+(Table1[T/O]=$B$8)&gt;0)*(($B$9="ALL")+(TRIM(Table1[Market])=$B$9)&gt;0)*(($B$10="ALL")+(Table1[Resort]=$B$10)&gt;0)*(TRIM(Table1[Hotel Name])=$Q18)*IFERROR(Table1[P/L EUR]+0,0)))</f>
        <v>0</v>
      </c>
      <c r="W18" s="148">
        <f t="shared" si="0"/>
        <v>1.8000000000000001E-4</v>
      </c>
      <c r="X18" s="148"/>
      <c r="Y18" s="148">
        <v>45971</v>
      </c>
      <c r="Z18" s="148">
        <v>16347555</v>
      </c>
      <c r="AA18" s="148" t="s">
        <v>51</v>
      </c>
      <c r="AB18" s="148">
        <v>45978</v>
      </c>
      <c r="AC18" s="148">
        <v>0</v>
      </c>
      <c r="AD18" s="148">
        <f t="shared" ca="1" si="1"/>
        <v>-231</v>
      </c>
      <c r="AE18" s="148">
        <f t="shared" ca="1" si="2"/>
        <v>-10000000000</v>
      </c>
    </row>
    <row r="19" spans="1:31" ht="15" x14ac:dyDescent="0.35">
      <c r="A19" s="211" t="s">
        <v>1345</v>
      </c>
      <c r="B19" s="207" cm="1">
        <f t="array" ref="B19">SUMPRODUCT((Table1[Arr Date]&gt;=$B$5)*(Table1[Arr Date]&lt;=$B$6))</f>
        <v>23</v>
      </c>
      <c r="C19" s="208" cm="1">
        <f t="array" ref="C19">SUMPRODUCT((Table1[Arr Date]&gt;=$B$5)*(Table1[Arr Date]&lt;=$B$6)*IFERROR(Table1[Selling EUR]+0,0))</f>
        <v>17259.599999999999</v>
      </c>
      <c r="D19" s="209" cm="1">
        <f t="array" ref="D19">SUMPRODUCT((Table1[Arr Date]&gt;=$B$5)*(Table1[Arr Date]&lt;=$B$6)*IFERROR(Table1[P/L EUR]+0,0))</f>
        <v>1950.4</v>
      </c>
      <c r="E19" s="213">
        <f>IFERROR(D19/C19,0)</f>
        <v>0.11300377760782407</v>
      </c>
      <c r="F19" s="148"/>
      <c r="G19" s="210" t="s">
        <v>106</v>
      </c>
      <c r="H19" s="160" cm="1">
        <f t="array" ref="H19">SUMPRODUCT((Table1[Arr Date]&gt;=$B$5)*(Table1[Arr Date]&lt;=$B$6)*(UPPER(TRIM(Table1[Market]))=UPPER($G19)))</f>
        <v>1</v>
      </c>
      <c r="I19" s="161" cm="1">
        <f t="array" ref="I19">SUMPRODUCT((Table1[Arr Date]&gt;=$B$5)*(Table1[Arr Date]&lt;=$B$6)*(UPPER(TRIM(Table1[Market]))=UPPER($G19))*IFERROR(Table1[Selling EUR]+0,0))</f>
        <v>0</v>
      </c>
      <c r="J19" s="214" cm="1">
        <f t="array" ref="J19">SUMPRODUCT((Table1[Arr Date]&gt;=$B$5)*(Table1[Arr Date]&lt;=$B$6)*(UPPER(TRIM(Table1[Market]))=UPPER($G19))*IFERROR(Table1[P/L EUR]+0,0))</f>
        <v>0</v>
      </c>
      <c r="K19" s="148"/>
      <c r="L19" s="211" t="s">
        <v>1345</v>
      </c>
      <c r="M19" s="207" cm="1">
        <f t="array" ref="M19">SUMPRODUCT((Table1[Arr Date]&gt;=$B$5)*(Table1[Arr Date]&lt;=$B$6))</f>
        <v>23</v>
      </c>
      <c r="N19" s="208" cm="1">
        <f t="array" ref="N19">SUMPRODUCT((Table1[Arr Date]&gt;=$B$5)*(Table1[Arr Date]&lt;=$B$6)*IFERROR(Table1[Selling EUR]+0,0))</f>
        <v>17259.599999999999</v>
      </c>
      <c r="O19" s="215" cm="1">
        <f t="array" ref="O19">SUMPRODUCT((Table1[Arr Date]&gt;=$B$5)*(Table1[Arr Date]&lt;=$B$6)*IFERROR(Table1[P/L EUR]+0,0))</f>
        <v>1950.4</v>
      </c>
      <c r="P19" s="148"/>
      <c r="Q19" s="148" t="s">
        <v>103</v>
      </c>
      <c r="R19" s="148" cm="1">
        <f t="array" ref="R19">IF($Q19="",0,SUMPRODUCT((Table1[Arr Date]&gt;=$B$5)*(Table1[Arr Date]&lt;=$B$6)*(($B$7="ALL")+(Table1[HTL BKG Status]=$B$7)&gt;0)*(($B$8="ALL")+(Table1[T/O]=$B$8)&gt;0)*(($B$9="ALL")+(TRIM(Table1[Market])=$B$9)&gt;0)*(($B$10="ALL")+(Table1[Resort]=$B$10)&gt;0)*(TRIM(Table1[Hotel Name])=$Q19)))</f>
        <v>0</v>
      </c>
      <c r="S19" s="148" cm="1">
        <f t="array" ref="S19">IF($Q19="",0,SUMPRODUCT((Table1[Arr Date]&gt;=$B$5)*(Table1[Arr Date]&lt;=$B$6)*(($B$7="ALL")+(Table1[HTL BKG Status]=$B$7)&gt;0)*(($B$8="ALL")+(Table1[T/O]=$B$8)&gt;0)*(($B$9="ALL")+(TRIM(Table1[Market])=$B$9)&gt;0)*(($B$10="ALL")+(Table1[Resort]=$B$10)&gt;0)*(TRIM(Table1[Hotel Name])=$Q19)*IFERROR(Table1[No RMS]+0,0)))</f>
        <v>0</v>
      </c>
      <c r="T19" s="148" cm="1">
        <f t="array" ref="T19">IF($Q19="",0,SUMPRODUCT((Table1[Arr Date]&gt;=$B$5)*(Table1[Arr Date]&lt;=$B$6)*(($B$7="ALL")+(Table1[HTL BKG Status]=$B$7)&gt;0)*(($B$8="ALL")+(Table1[T/O]=$B$8)&gt;0)*(($B$9="ALL")+(TRIM(Table1[Market])=$B$9)&gt;0)*(($B$10="ALL")+(Table1[Resort]=$B$10)&gt;0)*(TRIM(Table1[Hotel Name])=$Q19)*IFERROR(Table1[NTS]+0,0)*IFERROR(Table1[No RMS]+0,0)))</f>
        <v>0</v>
      </c>
      <c r="U19" s="148" cm="1">
        <f t="array" ref="U19">IF($Q19="",0,SUMPRODUCT((Table1[Arr Date]&gt;=$B$5)*(Table1[Arr Date]&lt;=$B$6)*(($B$7="ALL")+(Table1[HTL BKG Status]=$B$7)&gt;0)*(($B$8="ALL")+(Table1[T/O]=$B$8)&gt;0)*(($B$9="ALL")+(TRIM(Table1[Market])=$B$9)&gt;0)*(($B$10="ALL")+(Table1[Resort]=$B$10)&gt;0)*(TRIM(Table1[Hotel Name])=$Q19)*IFERROR(Table1[Selling EUR]+0,0)))</f>
        <v>0</v>
      </c>
      <c r="V19" s="148" cm="1">
        <f t="array" ref="V19">IF($Q19="",0,SUMPRODUCT((Table1[Arr Date]&gt;=$B$5)*(Table1[Arr Date]&lt;=$B$6)*(($B$7="ALL")+(Table1[HTL BKG Status]=$B$7)&gt;0)*(($B$8="ALL")+(Table1[T/O]=$B$8)&gt;0)*(($B$9="ALL")+(TRIM(Table1[Market])=$B$9)&gt;0)*(($B$10="ALL")+(Table1[Resort]=$B$10)&gt;0)*(TRIM(Table1[Hotel Name])=$Q19)*IFERROR(Table1[P/L EUR]+0,0)))</f>
        <v>0</v>
      </c>
      <c r="W19" s="148">
        <f t="shared" si="0"/>
        <v>1.9000000000000001E-4</v>
      </c>
      <c r="X19" s="148"/>
      <c r="Y19" s="148">
        <v>45924</v>
      </c>
      <c r="Z19" s="148">
        <v>16352565</v>
      </c>
      <c r="AA19" s="148" t="s">
        <v>59</v>
      </c>
      <c r="AB19" s="148">
        <v>45931</v>
      </c>
      <c r="AC19" s="148">
        <v>1568</v>
      </c>
      <c r="AD19" s="148">
        <f t="shared" ca="1" si="1"/>
        <v>-278</v>
      </c>
      <c r="AE19" s="148">
        <f t="shared" ca="1" si="2"/>
        <v>-10000000000</v>
      </c>
    </row>
    <row r="20" spans="1:31" ht="15" x14ac:dyDescent="0.35">
      <c r="A20" s="148"/>
      <c r="B20" s="148"/>
      <c r="C20" s="148"/>
      <c r="D20" s="148"/>
      <c r="E20" s="148"/>
      <c r="F20" s="148"/>
      <c r="G20" s="211" t="s">
        <v>1345</v>
      </c>
      <c r="H20" s="207" cm="1">
        <f t="array" ref="H20">SUMPRODUCT((Table1[Arr Date]&gt;=$B$5)*(Table1[Arr Date]&lt;=$B$6))</f>
        <v>23</v>
      </c>
      <c r="I20" s="208" cm="1">
        <f t="array" ref="I20">SUMPRODUCT((Table1[Arr Date]&gt;=$B$5)*(Table1[Arr Date]&lt;=$B$6)*IFERROR(Table1[Selling EUR]+0,0))</f>
        <v>17259.599999999999</v>
      </c>
      <c r="J20" s="215" cm="1">
        <f t="array" ref="J20">SUMPRODUCT((Table1[Arr Date]&gt;=$B$5)*(Table1[Arr Date]&lt;=$B$6)*IFERROR(Table1[P/L EUR]+0,0))</f>
        <v>1950.4</v>
      </c>
      <c r="K20" s="148"/>
      <c r="L20" s="148"/>
      <c r="M20" s="148"/>
      <c r="N20" s="148"/>
      <c r="O20" s="148"/>
      <c r="P20" s="148"/>
      <c r="Q20" s="148" t="s">
        <v>85</v>
      </c>
      <c r="R20" s="148" cm="1">
        <f t="array" ref="R20">IF($Q20="",0,SUMPRODUCT((Table1[Arr Date]&gt;=$B$5)*(Table1[Arr Date]&lt;=$B$6)*(($B$7="ALL")+(Table1[HTL BKG Status]=$B$7)&gt;0)*(($B$8="ALL")+(Table1[T/O]=$B$8)&gt;0)*(($B$9="ALL")+(TRIM(Table1[Market])=$B$9)&gt;0)*(($B$10="ALL")+(Table1[Resort]=$B$10)&gt;0)*(TRIM(Table1[Hotel Name])=$Q20)))</f>
        <v>0</v>
      </c>
      <c r="S20" s="148" cm="1">
        <f t="array" ref="S20">IF($Q20="",0,SUMPRODUCT((Table1[Arr Date]&gt;=$B$5)*(Table1[Arr Date]&lt;=$B$6)*(($B$7="ALL")+(Table1[HTL BKG Status]=$B$7)&gt;0)*(($B$8="ALL")+(Table1[T/O]=$B$8)&gt;0)*(($B$9="ALL")+(TRIM(Table1[Market])=$B$9)&gt;0)*(($B$10="ALL")+(Table1[Resort]=$B$10)&gt;0)*(TRIM(Table1[Hotel Name])=$Q20)*IFERROR(Table1[No RMS]+0,0)))</f>
        <v>0</v>
      </c>
      <c r="T20" s="148" cm="1">
        <f t="array" ref="T20">IF($Q20="",0,SUMPRODUCT((Table1[Arr Date]&gt;=$B$5)*(Table1[Arr Date]&lt;=$B$6)*(($B$7="ALL")+(Table1[HTL BKG Status]=$B$7)&gt;0)*(($B$8="ALL")+(Table1[T/O]=$B$8)&gt;0)*(($B$9="ALL")+(TRIM(Table1[Market])=$B$9)&gt;0)*(($B$10="ALL")+(Table1[Resort]=$B$10)&gt;0)*(TRIM(Table1[Hotel Name])=$Q20)*IFERROR(Table1[NTS]+0,0)*IFERROR(Table1[No RMS]+0,0)))</f>
        <v>0</v>
      </c>
      <c r="U20" s="148" cm="1">
        <f t="array" ref="U20">IF($Q20="",0,SUMPRODUCT((Table1[Arr Date]&gt;=$B$5)*(Table1[Arr Date]&lt;=$B$6)*(($B$7="ALL")+(Table1[HTL BKG Status]=$B$7)&gt;0)*(($B$8="ALL")+(Table1[T/O]=$B$8)&gt;0)*(($B$9="ALL")+(TRIM(Table1[Market])=$B$9)&gt;0)*(($B$10="ALL")+(Table1[Resort]=$B$10)&gt;0)*(TRIM(Table1[Hotel Name])=$Q20)*IFERROR(Table1[Selling EUR]+0,0)))</f>
        <v>0</v>
      </c>
      <c r="V20" s="148" cm="1">
        <f t="array" ref="V20">IF($Q20="",0,SUMPRODUCT((Table1[Arr Date]&gt;=$B$5)*(Table1[Arr Date]&lt;=$B$6)*(($B$7="ALL")+(Table1[HTL BKG Status]=$B$7)&gt;0)*(($B$8="ALL")+(Table1[T/O]=$B$8)&gt;0)*(($B$9="ALL")+(TRIM(Table1[Market])=$B$9)&gt;0)*(($B$10="ALL")+(Table1[Resort]=$B$10)&gt;0)*(TRIM(Table1[Hotel Name])=$Q20)*IFERROR(Table1[P/L EUR]+0,0)))</f>
        <v>0</v>
      </c>
      <c r="W20" s="148">
        <f t="shared" si="0"/>
        <v>2.0000000000000001E-4</v>
      </c>
      <c r="X20" s="148"/>
      <c r="Y20" s="148">
        <v>45920</v>
      </c>
      <c r="Z20" s="148">
        <v>16356894</v>
      </c>
      <c r="AA20" s="148" t="s">
        <v>59</v>
      </c>
      <c r="AB20" s="148">
        <v>45926</v>
      </c>
      <c r="AC20" s="148">
        <v>806</v>
      </c>
      <c r="AD20" s="148">
        <f t="shared" ca="1" si="1"/>
        <v>-282</v>
      </c>
      <c r="AE20" s="148">
        <f t="shared" ca="1" si="2"/>
        <v>-10000000000</v>
      </c>
    </row>
    <row r="21" spans="1:31" x14ac:dyDescent="0.3">
      <c r="A21" s="148"/>
      <c r="B21" s="148"/>
      <c r="C21" s="148"/>
      <c r="D21" s="148"/>
      <c r="E21" s="148"/>
      <c r="F21" s="148"/>
      <c r="G21" s="148"/>
      <c r="H21" s="148"/>
      <c r="I21" s="148"/>
      <c r="J21" s="148"/>
      <c r="K21" s="148"/>
      <c r="L21" s="148"/>
      <c r="M21" s="148"/>
      <c r="N21" s="148"/>
      <c r="O21" s="148"/>
      <c r="P21" s="148"/>
      <c r="Q21" s="148" t="s">
        <v>101</v>
      </c>
      <c r="R21" s="148" cm="1">
        <f t="array" ref="R21">IF($Q21="",0,SUMPRODUCT((Table1[Arr Date]&gt;=$B$5)*(Table1[Arr Date]&lt;=$B$6)*(($B$7="ALL")+(Table1[HTL BKG Status]=$B$7)&gt;0)*(($B$8="ALL")+(Table1[T/O]=$B$8)&gt;0)*(($B$9="ALL")+(TRIM(Table1[Market])=$B$9)&gt;0)*(($B$10="ALL")+(Table1[Resort]=$B$10)&gt;0)*(TRIM(Table1[Hotel Name])=$Q21)))</f>
        <v>0</v>
      </c>
      <c r="S21" s="148" cm="1">
        <f t="array" ref="S21">IF($Q21="",0,SUMPRODUCT((Table1[Arr Date]&gt;=$B$5)*(Table1[Arr Date]&lt;=$B$6)*(($B$7="ALL")+(Table1[HTL BKG Status]=$B$7)&gt;0)*(($B$8="ALL")+(Table1[T/O]=$B$8)&gt;0)*(($B$9="ALL")+(TRIM(Table1[Market])=$B$9)&gt;0)*(($B$10="ALL")+(Table1[Resort]=$B$10)&gt;0)*(TRIM(Table1[Hotel Name])=$Q21)*IFERROR(Table1[No RMS]+0,0)))</f>
        <v>0</v>
      </c>
      <c r="T21" s="148" cm="1">
        <f t="array" ref="T21">IF($Q21="",0,SUMPRODUCT((Table1[Arr Date]&gt;=$B$5)*(Table1[Arr Date]&lt;=$B$6)*(($B$7="ALL")+(Table1[HTL BKG Status]=$B$7)&gt;0)*(($B$8="ALL")+(Table1[T/O]=$B$8)&gt;0)*(($B$9="ALL")+(TRIM(Table1[Market])=$B$9)&gt;0)*(($B$10="ALL")+(Table1[Resort]=$B$10)&gt;0)*(TRIM(Table1[Hotel Name])=$Q21)*IFERROR(Table1[NTS]+0,0)*IFERROR(Table1[No RMS]+0,0)))</f>
        <v>0</v>
      </c>
      <c r="U21" s="148" cm="1">
        <f t="array" ref="U21">IF($Q21="",0,SUMPRODUCT((Table1[Arr Date]&gt;=$B$5)*(Table1[Arr Date]&lt;=$B$6)*(($B$7="ALL")+(Table1[HTL BKG Status]=$B$7)&gt;0)*(($B$8="ALL")+(Table1[T/O]=$B$8)&gt;0)*(($B$9="ALL")+(TRIM(Table1[Market])=$B$9)&gt;0)*(($B$10="ALL")+(Table1[Resort]=$B$10)&gt;0)*(TRIM(Table1[Hotel Name])=$Q21)*IFERROR(Table1[Selling EUR]+0,0)))</f>
        <v>0</v>
      </c>
      <c r="V21" s="148" cm="1">
        <f t="array" ref="V21">IF($Q21="",0,SUMPRODUCT((Table1[Arr Date]&gt;=$B$5)*(Table1[Arr Date]&lt;=$B$6)*(($B$7="ALL")+(Table1[HTL BKG Status]=$B$7)&gt;0)*(($B$8="ALL")+(Table1[T/O]=$B$8)&gt;0)*(($B$9="ALL")+(TRIM(Table1[Market])=$B$9)&gt;0)*(($B$10="ALL")+(Table1[Resort]=$B$10)&gt;0)*(TRIM(Table1[Hotel Name])=$Q21)*IFERROR(Table1[P/L EUR]+0,0)))</f>
        <v>0</v>
      </c>
      <c r="W21" s="148">
        <f t="shared" si="0"/>
        <v>2.1000000000000001E-4</v>
      </c>
      <c r="X21" s="148"/>
      <c r="Y21" s="148">
        <v>46082</v>
      </c>
      <c r="Z21" s="148">
        <v>16356733</v>
      </c>
      <c r="AA21" s="148" t="s">
        <v>57</v>
      </c>
      <c r="AB21" s="148">
        <v>46090</v>
      </c>
      <c r="AC21" s="148">
        <v>0</v>
      </c>
      <c r="AD21" s="148">
        <f t="shared" ca="1" si="1"/>
        <v>-120</v>
      </c>
      <c r="AE21" s="148">
        <f t="shared" ca="1" si="2"/>
        <v>-10000000000</v>
      </c>
    </row>
    <row r="22" spans="1:31" ht="16.8" x14ac:dyDescent="0.4">
      <c r="A22" s="342" t="s">
        <v>1348</v>
      </c>
      <c r="B22" s="343"/>
      <c r="C22" s="343"/>
      <c r="D22" s="343"/>
      <c r="E22" s="343"/>
      <c r="F22" s="343"/>
      <c r="G22" s="343"/>
      <c r="H22" s="344"/>
      <c r="I22" s="148"/>
      <c r="J22" s="349" t="s">
        <v>1353</v>
      </c>
      <c r="K22" s="350"/>
      <c r="L22" s="350"/>
      <c r="M22" s="350"/>
      <c r="N22" s="350"/>
      <c r="O22" s="351"/>
      <c r="P22" s="148"/>
      <c r="Q22" s="148" t="s">
        <v>104</v>
      </c>
      <c r="R22" s="148" cm="1">
        <f t="array" ref="R22">IF($Q22="",0,SUMPRODUCT((Table1[Arr Date]&gt;=$B$5)*(Table1[Arr Date]&lt;=$B$6)*(($B$7="ALL")+(Table1[HTL BKG Status]=$B$7)&gt;0)*(($B$8="ALL")+(Table1[T/O]=$B$8)&gt;0)*(($B$9="ALL")+(TRIM(Table1[Market])=$B$9)&gt;0)*(($B$10="ALL")+(Table1[Resort]=$B$10)&gt;0)*(TRIM(Table1[Hotel Name])=$Q22)))</f>
        <v>0</v>
      </c>
      <c r="S22" s="148" cm="1">
        <f t="array" ref="S22">IF($Q22="",0,SUMPRODUCT((Table1[Arr Date]&gt;=$B$5)*(Table1[Arr Date]&lt;=$B$6)*(($B$7="ALL")+(Table1[HTL BKG Status]=$B$7)&gt;0)*(($B$8="ALL")+(Table1[T/O]=$B$8)&gt;0)*(($B$9="ALL")+(TRIM(Table1[Market])=$B$9)&gt;0)*(($B$10="ALL")+(Table1[Resort]=$B$10)&gt;0)*(TRIM(Table1[Hotel Name])=$Q22)*IFERROR(Table1[No RMS]+0,0)))</f>
        <v>0</v>
      </c>
      <c r="T22" s="148" cm="1">
        <f t="array" ref="T22">IF($Q22="",0,SUMPRODUCT((Table1[Arr Date]&gt;=$B$5)*(Table1[Arr Date]&lt;=$B$6)*(($B$7="ALL")+(Table1[HTL BKG Status]=$B$7)&gt;0)*(($B$8="ALL")+(Table1[T/O]=$B$8)&gt;0)*(($B$9="ALL")+(TRIM(Table1[Market])=$B$9)&gt;0)*(($B$10="ALL")+(Table1[Resort]=$B$10)&gt;0)*(TRIM(Table1[Hotel Name])=$Q22)*IFERROR(Table1[NTS]+0,0)*IFERROR(Table1[No RMS]+0,0)))</f>
        <v>0</v>
      </c>
      <c r="U22" s="148" cm="1">
        <f t="array" ref="U22">IF($Q22="",0,SUMPRODUCT((Table1[Arr Date]&gt;=$B$5)*(Table1[Arr Date]&lt;=$B$6)*(($B$7="ALL")+(Table1[HTL BKG Status]=$B$7)&gt;0)*(($B$8="ALL")+(Table1[T/O]=$B$8)&gt;0)*(($B$9="ALL")+(TRIM(Table1[Market])=$B$9)&gt;0)*(($B$10="ALL")+(Table1[Resort]=$B$10)&gt;0)*(TRIM(Table1[Hotel Name])=$Q22)*IFERROR(Table1[Selling EUR]+0,0)))</f>
        <v>0</v>
      </c>
      <c r="V22" s="148" cm="1">
        <f t="array" ref="V22">IF($Q22="",0,SUMPRODUCT((Table1[Arr Date]&gt;=$B$5)*(Table1[Arr Date]&lt;=$B$6)*(($B$7="ALL")+(Table1[HTL BKG Status]=$B$7)&gt;0)*(($B$8="ALL")+(Table1[T/O]=$B$8)&gt;0)*(($B$9="ALL")+(TRIM(Table1[Market])=$B$9)&gt;0)*(($B$10="ALL")+(Table1[Resort]=$B$10)&gt;0)*(TRIM(Table1[Hotel Name])=$Q22)*IFERROR(Table1[P/L EUR]+0,0)))</f>
        <v>0</v>
      </c>
      <c r="W22" s="148">
        <f t="shared" si="0"/>
        <v>2.2000000000000001E-4</v>
      </c>
      <c r="X22" s="148"/>
      <c r="Y22" s="148">
        <v>46012</v>
      </c>
      <c r="Z22" s="148">
        <v>16382448</v>
      </c>
      <c r="AA22" s="148" t="s">
        <v>67</v>
      </c>
      <c r="AB22" s="148">
        <v>46012</v>
      </c>
      <c r="AC22" s="148">
        <v>1057.4000000000001</v>
      </c>
      <c r="AD22" s="148">
        <f t="shared" ca="1" si="1"/>
        <v>-190</v>
      </c>
      <c r="AE22" s="148">
        <f t="shared" ca="1" si="2"/>
        <v>-10000000000</v>
      </c>
    </row>
    <row r="23" spans="1:31" x14ac:dyDescent="0.3">
      <c r="A23" s="187" t="s">
        <v>1349</v>
      </c>
      <c r="B23" s="159" t="s">
        <v>8</v>
      </c>
      <c r="C23" s="159" t="s">
        <v>1342</v>
      </c>
      <c r="D23" s="159" t="s">
        <v>1326</v>
      </c>
      <c r="E23" s="159" t="s">
        <v>1330</v>
      </c>
      <c r="F23" s="159" t="s">
        <v>28</v>
      </c>
      <c r="G23" s="159" t="s">
        <v>29</v>
      </c>
      <c r="H23" s="194" t="s">
        <v>1343</v>
      </c>
      <c r="I23" s="148"/>
      <c r="J23" s="187" t="s">
        <v>1354</v>
      </c>
      <c r="K23" s="159" t="s">
        <v>31</v>
      </c>
      <c r="L23" s="159" t="s">
        <v>5</v>
      </c>
      <c r="M23" s="159" t="s">
        <v>1355</v>
      </c>
      <c r="N23" s="159" t="s">
        <v>10</v>
      </c>
      <c r="O23" s="194" t="s">
        <v>27</v>
      </c>
      <c r="P23" s="148"/>
      <c r="Q23" s="148" t="s">
        <v>111</v>
      </c>
      <c r="R23" s="148" cm="1">
        <f t="array" ref="R23">IF($Q23="",0,SUMPRODUCT((Table1[Arr Date]&gt;=$B$5)*(Table1[Arr Date]&lt;=$B$6)*(($B$7="ALL")+(Table1[HTL BKG Status]=$B$7)&gt;0)*(($B$8="ALL")+(Table1[T/O]=$B$8)&gt;0)*(($B$9="ALL")+(TRIM(Table1[Market])=$B$9)&gt;0)*(($B$10="ALL")+(Table1[Resort]=$B$10)&gt;0)*(TRIM(Table1[Hotel Name])=$Q23)))</f>
        <v>0</v>
      </c>
      <c r="S23" s="148" cm="1">
        <f t="array" ref="S23">IF($Q23="",0,SUMPRODUCT((Table1[Arr Date]&gt;=$B$5)*(Table1[Arr Date]&lt;=$B$6)*(($B$7="ALL")+(Table1[HTL BKG Status]=$B$7)&gt;0)*(($B$8="ALL")+(Table1[T/O]=$B$8)&gt;0)*(($B$9="ALL")+(TRIM(Table1[Market])=$B$9)&gt;0)*(($B$10="ALL")+(Table1[Resort]=$B$10)&gt;0)*(TRIM(Table1[Hotel Name])=$Q23)*IFERROR(Table1[No RMS]+0,0)))</f>
        <v>0</v>
      </c>
      <c r="T23" s="148" cm="1">
        <f t="array" ref="T23">IF($Q23="",0,SUMPRODUCT((Table1[Arr Date]&gt;=$B$5)*(Table1[Arr Date]&lt;=$B$6)*(($B$7="ALL")+(Table1[HTL BKG Status]=$B$7)&gt;0)*(($B$8="ALL")+(Table1[T/O]=$B$8)&gt;0)*(($B$9="ALL")+(TRIM(Table1[Market])=$B$9)&gt;0)*(($B$10="ALL")+(Table1[Resort]=$B$10)&gt;0)*(TRIM(Table1[Hotel Name])=$Q23)*IFERROR(Table1[NTS]+0,0)*IFERROR(Table1[No RMS]+0,0)))</f>
        <v>0</v>
      </c>
      <c r="U23" s="148" cm="1">
        <f t="array" ref="U23">IF($Q23="",0,SUMPRODUCT((Table1[Arr Date]&gt;=$B$5)*(Table1[Arr Date]&lt;=$B$6)*(($B$7="ALL")+(Table1[HTL BKG Status]=$B$7)&gt;0)*(($B$8="ALL")+(Table1[T/O]=$B$8)&gt;0)*(($B$9="ALL")+(TRIM(Table1[Market])=$B$9)&gt;0)*(($B$10="ALL")+(Table1[Resort]=$B$10)&gt;0)*(TRIM(Table1[Hotel Name])=$Q23)*IFERROR(Table1[Selling EUR]+0,0)))</f>
        <v>0</v>
      </c>
      <c r="V23" s="148" cm="1">
        <f t="array" ref="V23">IF($Q23="",0,SUMPRODUCT((Table1[Arr Date]&gt;=$B$5)*(Table1[Arr Date]&lt;=$B$6)*(($B$7="ALL")+(Table1[HTL BKG Status]=$B$7)&gt;0)*(($B$8="ALL")+(Table1[T/O]=$B$8)&gt;0)*(($B$9="ALL")+(TRIM(Table1[Market])=$B$9)&gt;0)*(($B$10="ALL")+(Table1[Resort]=$B$10)&gt;0)*(TRIM(Table1[Hotel Name])=$Q23)*IFERROR(Table1[P/L EUR]+0,0)))</f>
        <v>0</v>
      </c>
      <c r="W23" s="148">
        <f t="shared" si="0"/>
        <v>2.3000000000000001E-4</v>
      </c>
      <c r="X23" s="148"/>
      <c r="Y23" s="148">
        <v>45792</v>
      </c>
      <c r="Z23" s="148">
        <v>16415591</v>
      </c>
      <c r="AA23" s="148" t="s">
        <v>62</v>
      </c>
      <c r="AB23" s="148">
        <v>45955</v>
      </c>
      <c r="AC23" s="148">
        <v>797.4</v>
      </c>
      <c r="AD23" s="148">
        <f t="shared" ca="1" si="1"/>
        <v>-410</v>
      </c>
      <c r="AE23" s="148">
        <f t="shared" ca="1" si="2"/>
        <v>-10000000000</v>
      </c>
    </row>
    <row r="24" spans="1:31" x14ac:dyDescent="0.3">
      <c r="A24" s="220">
        <f>IF(LARGE($W$3:$W$52,ROW()-23)&lt;0.0001,"",ROW()-23)</f>
        <v>1</v>
      </c>
      <c r="B24" s="167" t="str">
        <f>IFERROR(INDEX($Q$3:$Q$52,MATCH(LARGE($W$3:$W$52,ROW()-23),$W$3:$W$52,0)),"")</f>
        <v>THE THREE CORNERS FAYROUZ PLAZA BEACH RESORT (RMF)</v>
      </c>
      <c r="C24" s="168">
        <f>IFERROR(INDEX($R$3:$R$52,MATCH(LARGE($W$3:$W$52,ROW()-23),$W$3:$W$52,0)),0)</f>
        <v>7</v>
      </c>
      <c r="D24" s="168">
        <f>IFERROR(INDEX($S$3:$S$52,MATCH(LARGE($W$3:$W$52,ROW()-23),$W$3:$W$52,0)),0)</f>
        <v>7</v>
      </c>
      <c r="E24" s="168">
        <f>IFERROR(INDEX($T$3:$T$52,MATCH(LARGE($W$3:$W$52,ROW()-23),$W$3:$W$52,0)),0)</f>
        <v>60</v>
      </c>
      <c r="F24" s="169">
        <f>IFERROR(INDEX($U$3:$U$52,MATCH(LARGE($W$3:$W$52,ROW()-23),$W$3:$W$52,0)),0)</f>
        <v>3810.6</v>
      </c>
      <c r="G24" s="170">
        <f>IFERROR(INDEX($V$3:$V$52,MATCH(LARGE($W$3:$W$52,ROW()-23),$W$3:$W$52,0)),0)</f>
        <v>794.60000000000025</v>
      </c>
      <c r="H24" s="223">
        <f>IFERROR(G24/F24,0)</f>
        <v>0.20852359208523599</v>
      </c>
      <c r="I24" s="148"/>
      <c r="J24" s="229">
        <f ca="1">IFERROR(IF(LARGE($AE$3:$AE$458,ROW()-23)&lt;-1000000000,"",INDEX($AD$3:$AD$458,MATCH(LARGE($AE$3:$AE$458,ROW()-23),$AE$3:$AE$458,0))),"")</f>
        <v>2</v>
      </c>
      <c r="K24" s="173">
        <f ca="1">IFERROR(IF(LARGE($AE$3:$AE$458,ROW()-23)&lt;-1000000000,"",INDEX($Y$3:$Y$458,MATCH(LARGE($AE$3:$AE$458,ROW()-23),$AE$3:$AE$458,0))),"")</f>
        <v>46204</v>
      </c>
      <c r="L24" s="174">
        <f ca="1">IFERROR(IF(LARGE($AE$3:$AE$458,ROW()-23)&lt;-1000000000,"",INDEX($Z$3:$Z$458,MATCH(LARGE($AE$3:$AE$458,ROW()-23),$AE$3:$AE$458,0))),"")</f>
        <v>17556908</v>
      </c>
      <c r="M24" s="175" t="str">
        <f ca="1">IFERROR(IF(LARGE($AE$3:$AE$458,ROW()-23)&lt;-1000000000,"",INDEX($AA$3:$AA$458,MATCH(LARGE($AE$3:$AE$458,ROW()-23),$AE$3:$AE$458,0))),"")</f>
        <v>THE THREE CORNERS RIHANA RESORT</v>
      </c>
      <c r="N24" s="173">
        <f ca="1">IFERROR(IF(LARGE($AE$3:$AE$458,ROW()-23)&lt;-1000000000,"",INDEX($AB$3:$AB$458,MATCH(LARGE($AE$3:$AE$458,ROW()-23),$AE$3:$AE$458,0))),"")</f>
        <v>46217</v>
      </c>
      <c r="O24" s="232">
        <f ca="1">IFERROR(IF(LARGE($AE$3:$AE$458,ROW()-23)&lt;-1000000000,"",INDEX($AC$3:$AC$458,MATCH(LARGE($AE$3:$AE$458,ROW()-23),$AE$3:$AE$458,0))),"")</f>
        <v>896</v>
      </c>
      <c r="P24" s="148"/>
      <c r="Q24" s="148" t="s">
        <v>124</v>
      </c>
      <c r="R24" s="148" cm="1">
        <f t="array" ref="R24">IF($Q24="",0,SUMPRODUCT((Table1[Arr Date]&gt;=$B$5)*(Table1[Arr Date]&lt;=$B$6)*(($B$7="ALL")+(Table1[HTL BKG Status]=$B$7)&gt;0)*(($B$8="ALL")+(Table1[T/O]=$B$8)&gt;0)*(($B$9="ALL")+(TRIM(Table1[Market])=$B$9)&gt;0)*(($B$10="ALL")+(Table1[Resort]=$B$10)&gt;0)*(TRIM(Table1[Hotel Name])=$Q24)))</f>
        <v>0</v>
      </c>
      <c r="S24" s="148" cm="1">
        <f t="array" ref="S24">IF($Q24="",0,SUMPRODUCT((Table1[Arr Date]&gt;=$B$5)*(Table1[Arr Date]&lt;=$B$6)*(($B$7="ALL")+(Table1[HTL BKG Status]=$B$7)&gt;0)*(($B$8="ALL")+(Table1[T/O]=$B$8)&gt;0)*(($B$9="ALL")+(TRIM(Table1[Market])=$B$9)&gt;0)*(($B$10="ALL")+(Table1[Resort]=$B$10)&gt;0)*(TRIM(Table1[Hotel Name])=$Q24)*IFERROR(Table1[No RMS]+0,0)))</f>
        <v>0</v>
      </c>
      <c r="T24" s="148" cm="1">
        <f t="array" ref="T24">IF($Q24="",0,SUMPRODUCT((Table1[Arr Date]&gt;=$B$5)*(Table1[Arr Date]&lt;=$B$6)*(($B$7="ALL")+(Table1[HTL BKG Status]=$B$7)&gt;0)*(($B$8="ALL")+(Table1[T/O]=$B$8)&gt;0)*(($B$9="ALL")+(TRIM(Table1[Market])=$B$9)&gt;0)*(($B$10="ALL")+(Table1[Resort]=$B$10)&gt;0)*(TRIM(Table1[Hotel Name])=$Q24)*IFERROR(Table1[NTS]+0,0)*IFERROR(Table1[No RMS]+0,0)))</f>
        <v>0</v>
      </c>
      <c r="U24" s="148" cm="1">
        <f t="array" ref="U24">IF($Q24="",0,SUMPRODUCT((Table1[Arr Date]&gt;=$B$5)*(Table1[Arr Date]&lt;=$B$6)*(($B$7="ALL")+(Table1[HTL BKG Status]=$B$7)&gt;0)*(($B$8="ALL")+(Table1[T/O]=$B$8)&gt;0)*(($B$9="ALL")+(TRIM(Table1[Market])=$B$9)&gt;0)*(($B$10="ALL")+(Table1[Resort]=$B$10)&gt;0)*(TRIM(Table1[Hotel Name])=$Q24)*IFERROR(Table1[Selling EUR]+0,0)))</f>
        <v>0</v>
      </c>
      <c r="V24" s="148" cm="1">
        <f t="array" ref="V24">IF($Q24="",0,SUMPRODUCT((Table1[Arr Date]&gt;=$B$5)*(Table1[Arr Date]&lt;=$B$6)*(($B$7="ALL")+(Table1[HTL BKG Status]=$B$7)&gt;0)*(($B$8="ALL")+(Table1[T/O]=$B$8)&gt;0)*(($B$9="ALL")+(TRIM(Table1[Market])=$B$9)&gt;0)*(($B$10="ALL")+(Table1[Resort]=$B$10)&gt;0)*(TRIM(Table1[Hotel Name])=$Q24)*IFERROR(Table1[P/L EUR]+0,0)))</f>
        <v>0</v>
      </c>
      <c r="W24" s="148">
        <f t="shared" si="0"/>
        <v>2.4000000000000001E-4</v>
      </c>
      <c r="X24" s="148"/>
      <c r="Y24" s="148">
        <v>46012</v>
      </c>
      <c r="Z24" s="148">
        <v>16425313</v>
      </c>
      <c r="AA24" s="148" t="s">
        <v>68</v>
      </c>
      <c r="AB24" s="148">
        <v>46017</v>
      </c>
      <c r="AC24" s="148">
        <v>1956.4</v>
      </c>
      <c r="AD24" s="148">
        <f t="shared" ca="1" si="1"/>
        <v>-190</v>
      </c>
      <c r="AE24" s="148">
        <f t="shared" ca="1" si="2"/>
        <v>-10000000000</v>
      </c>
    </row>
    <row r="25" spans="1:31" x14ac:dyDescent="0.3">
      <c r="A25" s="221">
        <f t="shared" ref="A25:A38" si="4">IF(LARGE($W$3:$W$52,ROW()-23)&lt;0.0001,"",ROW()-23)</f>
        <v>2</v>
      </c>
      <c r="B25" s="163" t="str">
        <f t="shared" ref="B25:B38" si="5">IFERROR(INDEX($Q$3:$Q$52,MATCH(LARGE($W$3:$W$52,ROW()-23),$W$3:$W$52,0)),"")</f>
        <v>THE THREE CORNERS SUNNY BEACH RESORT HURGHADA</v>
      </c>
      <c r="C25" s="164">
        <f t="shared" ref="C25:C38" si="6">IFERROR(INDEX($R$3:$R$52,MATCH(LARGE($W$3:$W$52,ROW()-23),$W$3:$W$52,0)),0)</f>
        <v>5</v>
      </c>
      <c r="D25" s="164">
        <f t="shared" ref="D25:D38" si="7">IFERROR(INDEX($S$3:$S$52,MATCH(LARGE($W$3:$W$52,ROW()-23),$W$3:$W$52,0)),0)</f>
        <v>6</v>
      </c>
      <c r="E25" s="164">
        <f t="shared" ref="E25:E38" si="8">IFERROR(INDEX($T$3:$T$52,MATCH(LARGE($W$3:$W$52,ROW()-23),$W$3:$W$52,0)),0)</f>
        <v>73</v>
      </c>
      <c r="F25" s="165">
        <f t="shared" ref="F25:F38" si="9">IFERROR(INDEX($U$3:$U$52,MATCH(LARGE($W$3:$W$52,ROW()-23),$W$3:$W$52,0)),0)</f>
        <v>5682.6</v>
      </c>
      <c r="G25" s="166">
        <f t="shared" ref="G25:G38" si="10">IFERROR(INDEX($V$3:$V$52,MATCH(LARGE($W$3:$W$52,ROW()-23),$W$3:$W$52,0)),0)</f>
        <v>162.00000000000011</v>
      </c>
      <c r="H25" s="224">
        <f t="shared" ref="H25:H38" si="11">IFERROR(G25/F25,0)</f>
        <v>2.8508077288565113E-2</v>
      </c>
      <c r="I25" s="148"/>
      <c r="J25" s="230">
        <f t="shared" ref="J25:J38" ca="1" si="12">IFERROR(IF(LARGE($AE$3:$AE$458,ROW()-23)&lt;-1000000000,"",INDEX($AD$3:$AD$458,MATCH(LARGE($AE$3:$AE$458,ROW()-23),$AE$3:$AE$458,0))),"")</f>
        <v>2</v>
      </c>
      <c r="K25" s="171">
        <f t="shared" ref="K25:K38" ca="1" si="13">IFERROR(IF(LARGE($AE$3:$AE$458,ROW()-23)&lt;-1000000000,"",INDEX($Y$3:$Y$458,MATCH(LARGE($AE$3:$AE$458,ROW()-23),$AE$3:$AE$458,0))),"")</f>
        <v>46204</v>
      </c>
      <c r="L25" s="172">
        <f t="shared" ref="L25:L38" ca="1" si="14">IFERROR(IF(LARGE($AE$3:$AE$458,ROW()-23)&lt;-1000000000,"",INDEX($Z$3:$Z$458,MATCH(LARGE($AE$3:$AE$458,ROW()-23),$AE$3:$AE$458,0))),"")</f>
        <v>15320563</v>
      </c>
      <c r="M25" s="163" t="str">
        <f t="shared" ref="M25:M38" ca="1" si="15">IFERROR(IF(LARGE($AE$3:$AE$458,ROW()-23)&lt;-1000000000,"",INDEX($AA$3:$AA$458,MATCH(LARGE($AE$3:$AE$458,ROW()-23),$AE$3:$AE$458,0))),"")</f>
        <v>CHARMILLION CLUB AQUA PARK</v>
      </c>
      <c r="N25" s="171">
        <f t="shared" ref="N25:N38" ca="1" si="16">IFERROR(IF(LARGE($AE$3:$AE$458,ROW()-23)&lt;-1000000000,"",INDEX($AB$3:$AB$458,MATCH(LARGE($AE$3:$AE$458,ROW()-23),$AE$3:$AE$458,0))),"")</f>
        <v>46229</v>
      </c>
      <c r="O25" s="233">
        <f t="shared" ref="O25:O38" ca="1" si="17">IFERROR(IF(LARGE($AE$3:$AE$458,ROW()-23)&lt;-1000000000,"",INDEX($AC$3:$AC$458,MATCH(LARGE($AE$3:$AE$458,ROW()-23),$AE$3:$AE$458,0))),"")</f>
        <v>1672.8</v>
      </c>
      <c r="P25" s="148"/>
      <c r="Q25" s="148" t="s">
        <v>129</v>
      </c>
      <c r="R25" s="148" cm="1">
        <f t="array" ref="R25">IF($Q25="",0,SUMPRODUCT((Table1[Arr Date]&gt;=$B$5)*(Table1[Arr Date]&lt;=$B$6)*(($B$7="ALL")+(Table1[HTL BKG Status]=$B$7)&gt;0)*(($B$8="ALL")+(Table1[T/O]=$B$8)&gt;0)*(($B$9="ALL")+(TRIM(Table1[Market])=$B$9)&gt;0)*(($B$10="ALL")+(Table1[Resort]=$B$10)&gt;0)*(TRIM(Table1[Hotel Name])=$Q25)))</f>
        <v>0</v>
      </c>
      <c r="S25" s="148" cm="1">
        <f t="array" ref="S25">IF($Q25="",0,SUMPRODUCT((Table1[Arr Date]&gt;=$B$5)*(Table1[Arr Date]&lt;=$B$6)*(($B$7="ALL")+(Table1[HTL BKG Status]=$B$7)&gt;0)*(($B$8="ALL")+(Table1[T/O]=$B$8)&gt;0)*(($B$9="ALL")+(TRIM(Table1[Market])=$B$9)&gt;0)*(($B$10="ALL")+(Table1[Resort]=$B$10)&gt;0)*(TRIM(Table1[Hotel Name])=$Q25)*IFERROR(Table1[No RMS]+0,0)))</f>
        <v>0</v>
      </c>
      <c r="T25" s="148" cm="1">
        <f t="array" ref="T25">IF($Q25="",0,SUMPRODUCT((Table1[Arr Date]&gt;=$B$5)*(Table1[Arr Date]&lt;=$B$6)*(($B$7="ALL")+(Table1[HTL BKG Status]=$B$7)&gt;0)*(($B$8="ALL")+(Table1[T/O]=$B$8)&gt;0)*(($B$9="ALL")+(TRIM(Table1[Market])=$B$9)&gt;0)*(($B$10="ALL")+(Table1[Resort]=$B$10)&gt;0)*(TRIM(Table1[Hotel Name])=$Q25)*IFERROR(Table1[NTS]+0,0)*IFERROR(Table1[No RMS]+0,0)))</f>
        <v>0</v>
      </c>
      <c r="U25" s="148" cm="1">
        <f t="array" ref="U25">IF($Q25="",0,SUMPRODUCT((Table1[Arr Date]&gt;=$B$5)*(Table1[Arr Date]&lt;=$B$6)*(($B$7="ALL")+(Table1[HTL BKG Status]=$B$7)&gt;0)*(($B$8="ALL")+(Table1[T/O]=$B$8)&gt;0)*(($B$9="ALL")+(TRIM(Table1[Market])=$B$9)&gt;0)*(($B$10="ALL")+(Table1[Resort]=$B$10)&gt;0)*(TRIM(Table1[Hotel Name])=$Q25)*IFERROR(Table1[Selling EUR]+0,0)))</f>
        <v>0</v>
      </c>
      <c r="V25" s="148" cm="1">
        <f t="array" ref="V25">IF($Q25="",0,SUMPRODUCT((Table1[Arr Date]&gt;=$B$5)*(Table1[Arr Date]&lt;=$B$6)*(($B$7="ALL")+(Table1[HTL BKG Status]=$B$7)&gt;0)*(($B$8="ALL")+(Table1[T/O]=$B$8)&gt;0)*(($B$9="ALL")+(TRIM(Table1[Market])=$B$9)&gt;0)*(($B$10="ALL")+(Table1[Resort]=$B$10)&gt;0)*(TRIM(Table1[Hotel Name])=$Q25)*IFERROR(Table1[P/L EUR]+0,0)))</f>
        <v>0</v>
      </c>
      <c r="W25" s="148">
        <f t="shared" si="0"/>
        <v>2.5000000000000001E-4</v>
      </c>
      <c r="X25" s="148"/>
      <c r="Y25" s="148">
        <v>45963</v>
      </c>
      <c r="Z25" s="148">
        <v>16448942</v>
      </c>
      <c r="AA25" s="148" t="s">
        <v>62</v>
      </c>
      <c r="AB25" s="148">
        <v>45974</v>
      </c>
      <c r="AC25" s="148">
        <v>1134</v>
      </c>
      <c r="AD25" s="148">
        <f t="shared" ca="1" si="1"/>
        <v>-239</v>
      </c>
      <c r="AE25" s="148">
        <f t="shared" ca="1" si="2"/>
        <v>-10000000000</v>
      </c>
    </row>
    <row r="26" spans="1:31" x14ac:dyDescent="0.3">
      <c r="A26" s="220">
        <f t="shared" si="4"/>
        <v>3</v>
      </c>
      <c r="B26" s="167" t="str">
        <f t="shared" si="5"/>
        <v>TITANIC BEACH SPA &amp; AQUA PARK</v>
      </c>
      <c r="C26" s="168">
        <f t="shared" si="6"/>
        <v>2</v>
      </c>
      <c r="D26" s="168">
        <f t="shared" si="7"/>
        <v>2</v>
      </c>
      <c r="E26" s="168">
        <f t="shared" si="8"/>
        <v>21</v>
      </c>
      <c r="F26" s="169">
        <f t="shared" si="9"/>
        <v>1279.5999999999999</v>
      </c>
      <c r="G26" s="170">
        <f t="shared" si="10"/>
        <v>13.999999999999773</v>
      </c>
      <c r="H26" s="223">
        <f t="shared" si="11"/>
        <v>1.0940919037198947E-2</v>
      </c>
      <c r="I26" s="148"/>
      <c r="J26" s="229">
        <f t="shared" ca="1" si="12"/>
        <v>2</v>
      </c>
      <c r="K26" s="173">
        <f t="shared" ca="1" si="13"/>
        <v>46204</v>
      </c>
      <c r="L26" s="174">
        <f t="shared" ca="1" si="14"/>
        <v>17295140</v>
      </c>
      <c r="M26" s="175" t="str">
        <f t="shared" ca="1" si="15"/>
        <v>THE THREE CORNERS SUNNY BEACH RESORT HURGHADA</v>
      </c>
      <c r="N26" s="173">
        <f t="shared" ca="1" si="16"/>
        <v>46211</v>
      </c>
      <c r="O26" s="232">
        <f t="shared" ca="1" si="17"/>
        <v>1792.8</v>
      </c>
      <c r="P26" s="148"/>
      <c r="Q26" s="148" t="s">
        <v>157</v>
      </c>
      <c r="R26" s="148" cm="1">
        <f t="array" ref="R26">IF($Q26="",0,SUMPRODUCT((Table1[Arr Date]&gt;=$B$5)*(Table1[Arr Date]&lt;=$B$6)*(($B$7="ALL")+(Table1[HTL BKG Status]=$B$7)&gt;0)*(($B$8="ALL")+(Table1[T/O]=$B$8)&gt;0)*(($B$9="ALL")+(TRIM(Table1[Market])=$B$9)&gt;0)*(($B$10="ALL")+(Table1[Resort]=$B$10)&gt;0)*(TRIM(Table1[Hotel Name])=$Q26)))</f>
        <v>0</v>
      </c>
      <c r="S26" s="148" cm="1">
        <f t="array" ref="S26">IF($Q26="",0,SUMPRODUCT((Table1[Arr Date]&gt;=$B$5)*(Table1[Arr Date]&lt;=$B$6)*(($B$7="ALL")+(Table1[HTL BKG Status]=$B$7)&gt;0)*(($B$8="ALL")+(Table1[T/O]=$B$8)&gt;0)*(($B$9="ALL")+(TRIM(Table1[Market])=$B$9)&gt;0)*(($B$10="ALL")+(Table1[Resort]=$B$10)&gt;0)*(TRIM(Table1[Hotel Name])=$Q26)*IFERROR(Table1[No RMS]+0,0)))</f>
        <v>0</v>
      </c>
      <c r="T26" s="148" cm="1">
        <f t="array" ref="T26">IF($Q26="",0,SUMPRODUCT((Table1[Arr Date]&gt;=$B$5)*(Table1[Arr Date]&lt;=$B$6)*(($B$7="ALL")+(Table1[HTL BKG Status]=$B$7)&gt;0)*(($B$8="ALL")+(Table1[T/O]=$B$8)&gt;0)*(($B$9="ALL")+(TRIM(Table1[Market])=$B$9)&gt;0)*(($B$10="ALL")+(Table1[Resort]=$B$10)&gt;0)*(TRIM(Table1[Hotel Name])=$Q26)*IFERROR(Table1[NTS]+0,0)*IFERROR(Table1[No RMS]+0,0)))</f>
        <v>0</v>
      </c>
      <c r="U26" s="148" cm="1">
        <f t="array" ref="U26">IF($Q26="",0,SUMPRODUCT((Table1[Arr Date]&gt;=$B$5)*(Table1[Arr Date]&lt;=$B$6)*(($B$7="ALL")+(Table1[HTL BKG Status]=$B$7)&gt;0)*(($B$8="ALL")+(Table1[T/O]=$B$8)&gt;0)*(($B$9="ALL")+(TRIM(Table1[Market])=$B$9)&gt;0)*(($B$10="ALL")+(Table1[Resort]=$B$10)&gt;0)*(TRIM(Table1[Hotel Name])=$Q26)*IFERROR(Table1[Selling EUR]+0,0)))</f>
        <v>0</v>
      </c>
      <c r="V26" s="148" cm="1">
        <f t="array" ref="V26">IF($Q26="",0,SUMPRODUCT((Table1[Arr Date]&gt;=$B$5)*(Table1[Arr Date]&lt;=$B$6)*(($B$7="ALL")+(Table1[HTL BKG Status]=$B$7)&gt;0)*(($B$8="ALL")+(Table1[T/O]=$B$8)&gt;0)*(($B$9="ALL")+(TRIM(Table1[Market])=$B$9)&gt;0)*(($B$10="ALL")+(Table1[Resort]=$B$10)&gt;0)*(TRIM(Table1[Hotel Name])=$Q26)*IFERROR(Table1[P/L EUR]+0,0)))</f>
        <v>0</v>
      </c>
      <c r="W26" s="148">
        <f t="shared" si="0"/>
        <v>2.5999999999999998E-4</v>
      </c>
      <c r="X26" s="148"/>
      <c r="Y26" s="148">
        <v>45932</v>
      </c>
      <c r="Z26" s="148">
        <v>16465766</v>
      </c>
      <c r="AA26" s="148" t="s">
        <v>71</v>
      </c>
      <c r="AB26" s="148">
        <v>45941</v>
      </c>
      <c r="AC26" s="148">
        <v>1156</v>
      </c>
      <c r="AD26" s="148">
        <f t="shared" ca="1" si="1"/>
        <v>-270</v>
      </c>
      <c r="AE26" s="148">
        <f t="shared" ca="1" si="2"/>
        <v>-10000000000</v>
      </c>
    </row>
    <row r="27" spans="1:31" x14ac:dyDescent="0.3">
      <c r="A27" s="221">
        <f t="shared" si="4"/>
        <v>4</v>
      </c>
      <c r="B27" s="163" t="str">
        <f t="shared" si="5"/>
        <v>THE THREE CORNERS RIHANA RESORT</v>
      </c>
      <c r="C27" s="164">
        <f t="shared" si="6"/>
        <v>2</v>
      </c>
      <c r="D27" s="164">
        <f t="shared" si="7"/>
        <v>2</v>
      </c>
      <c r="E27" s="164">
        <f t="shared" si="8"/>
        <v>14</v>
      </c>
      <c r="F27" s="165">
        <f t="shared" si="9"/>
        <v>1897</v>
      </c>
      <c r="G27" s="166">
        <f t="shared" si="10"/>
        <v>189</v>
      </c>
      <c r="H27" s="224">
        <f t="shared" si="11"/>
        <v>9.9630996309963096E-2</v>
      </c>
      <c r="I27" s="148"/>
      <c r="J27" s="230">
        <f t="shared" ca="1" si="12"/>
        <v>2</v>
      </c>
      <c r="K27" s="171">
        <f t="shared" ca="1" si="13"/>
        <v>46204</v>
      </c>
      <c r="L27" s="172">
        <f t="shared" ca="1" si="14"/>
        <v>17295388</v>
      </c>
      <c r="M27" s="163" t="str">
        <f t="shared" ca="1" si="15"/>
        <v>THE THREE CORNERS SUNNY BEACH RESORT HURGHADA</v>
      </c>
      <c r="N27" s="171">
        <f t="shared" ca="1" si="16"/>
        <v>46211</v>
      </c>
      <c r="O27" s="233">
        <f t="shared" ca="1" si="17"/>
        <v>1792.8</v>
      </c>
      <c r="P27" s="148"/>
      <c r="Q27" s="148" t="s">
        <v>55</v>
      </c>
      <c r="R27" s="148" cm="1">
        <f t="array" ref="R27">IF($Q27="",0,SUMPRODUCT((Table1[Arr Date]&gt;=$B$5)*(Table1[Arr Date]&lt;=$B$6)*(($B$7="ALL")+(Table1[HTL BKG Status]=$B$7)&gt;0)*(($B$8="ALL")+(Table1[T/O]=$B$8)&gt;0)*(($B$9="ALL")+(TRIM(Table1[Market])=$B$9)&gt;0)*(($B$10="ALL")+(Table1[Resort]=$B$10)&gt;0)*(TRIM(Table1[Hotel Name])=$Q27)))</f>
        <v>0</v>
      </c>
      <c r="S27" s="148" cm="1">
        <f t="array" ref="S27">IF($Q27="",0,SUMPRODUCT((Table1[Arr Date]&gt;=$B$5)*(Table1[Arr Date]&lt;=$B$6)*(($B$7="ALL")+(Table1[HTL BKG Status]=$B$7)&gt;0)*(($B$8="ALL")+(Table1[T/O]=$B$8)&gt;0)*(($B$9="ALL")+(TRIM(Table1[Market])=$B$9)&gt;0)*(($B$10="ALL")+(Table1[Resort]=$B$10)&gt;0)*(TRIM(Table1[Hotel Name])=$Q27)*IFERROR(Table1[No RMS]+0,0)))</f>
        <v>0</v>
      </c>
      <c r="T27" s="148" cm="1">
        <f t="array" ref="T27">IF($Q27="",0,SUMPRODUCT((Table1[Arr Date]&gt;=$B$5)*(Table1[Arr Date]&lt;=$B$6)*(($B$7="ALL")+(Table1[HTL BKG Status]=$B$7)&gt;0)*(($B$8="ALL")+(Table1[T/O]=$B$8)&gt;0)*(($B$9="ALL")+(TRIM(Table1[Market])=$B$9)&gt;0)*(($B$10="ALL")+(Table1[Resort]=$B$10)&gt;0)*(TRIM(Table1[Hotel Name])=$Q27)*IFERROR(Table1[NTS]+0,0)*IFERROR(Table1[No RMS]+0,0)))</f>
        <v>0</v>
      </c>
      <c r="U27" s="148" cm="1">
        <f t="array" ref="U27">IF($Q27="",0,SUMPRODUCT((Table1[Arr Date]&gt;=$B$5)*(Table1[Arr Date]&lt;=$B$6)*(($B$7="ALL")+(Table1[HTL BKG Status]=$B$7)&gt;0)*(($B$8="ALL")+(Table1[T/O]=$B$8)&gt;0)*(($B$9="ALL")+(TRIM(Table1[Market])=$B$9)&gt;0)*(($B$10="ALL")+(Table1[Resort]=$B$10)&gt;0)*(TRIM(Table1[Hotel Name])=$Q27)*IFERROR(Table1[Selling EUR]+0,0)))</f>
        <v>0</v>
      </c>
      <c r="V27" s="148" cm="1">
        <f t="array" ref="V27">IF($Q27="",0,SUMPRODUCT((Table1[Arr Date]&gt;=$B$5)*(Table1[Arr Date]&lt;=$B$6)*(($B$7="ALL")+(Table1[HTL BKG Status]=$B$7)&gt;0)*(($B$8="ALL")+(Table1[T/O]=$B$8)&gt;0)*(($B$9="ALL")+(TRIM(Table1[Market])=$B$9)&gt;0)*(($B$10="ALL")+(Table1[Resort]=$B$10)&gt;0)*(TRIM(Table1[Hotel Name])=$Q27)*IFERROR(Table1[P/L EUR]+0,0)))</f>
        <v>0</v>
      </c>
      <c r="W27" s="148">
        <f t="shared" si="0"/>
        <v>2.7E-4</v>
      </c>
      <c r="X27" s="148"/>
      <c r="Y27" s="148">
        <v>45970</v>
      </c>
      <c r="Z27" s="148">
        <v>16555027</v>
      </c>
      <c r="AA27" s="148" t="s">
        <v>62</v>
      </c>
      <c r="AB27" s="148">
        <v>45976</v>
      </c>
      <c r="AC27" s="148">
        <v>756</v>
      </c>
      <c r="AD27" s="148">
        <f t="shared" ca="1" si="1"/>
        <v>-232</v>
      </c>
      <c r="AE27" s="148">
        <f t="shared" ca="1" si="2"/>
        <v>-10000000000</v>
      </c>
    </row>
    <row r="28" spans="1:31" x14ac:dyDescent="0.3">
      <c r="A28" s="220">
        <f t="shared" si="4"/>
        <v>5</v>
      </c>
      <c r="B28" s="167" t="str">
        <f t="shared" si="5"/>
        <v>AMPHORAS BEACH</v>
      </c>
      <c r="C28" s="168">
        <f t="shared" si="6"/>
        <v>2</v>
      </c>
      <c r="D28" s="168">
        <f t="shared" si="7"/>
        <v>2</v>
      </c>
      <c r="E28" s="168">
        <f t="shared" si="8"/>
        <v>15</v>
      </c>
      <c r="F28" s="169">
        <f t="shared" si="9"/>
        <v>0</v>
      </c>
      <c r="G28" s="170">
        <f t="shared" si="10"/>
        <v>0</v>
      </c>
      <c r="H28" s="223">
        <f t="shared" si="11"/>
        <v>0</v>
      </c>
      <c r="I28" s="148"/>
      <c r="J28" s="229">
        <f t="shared" ca="1" si="12"/>
        <v>6</v>
      </c>
      <c r="K28" s="173">
        <f t="shared" ca="1" si="13"/>
        <v>46208</v>
      </c>
      <c r="L28" s="174">
        <f t="shared" ca="1" si="14"/>
        <v>17357215</v>
      </c>
      <c r="M28" s="175" t="str">
        <f t="shared" ca="1" si="15"/>
        <v>THE THREE CORNERS FAYROUZ PLAZA BEACH RESORT (RMF)</v>
      </c>
      <c r="N28" s="173">
        <f t="shared" ca="1" si="16"/>
        <v>46217</v>
      </c>
      <c r="O28" s="232">
        <f t="shared" ca="1" si="17"/>
        <v>1980</v>
      </c>
      <c r="P28" s="148"/>
      <c r="Q28" s="148" t="s">
        <v>66</v>
      </c>
      <c r="R28" s="148" cm="1">
        <f t="array" ref="R28">IF($Q28="",0,SUMPRODUCT((Table1[Arr Date]&gt;=$B$5)*(Table1[Arr Date]&lt;=$B$6)*(($B$7="ALL")+(Table1[HTL BKG Status]=$B$7)&gt;0)*(($B$8="ALL")+(Table1[T/O]=$B$8)&gt;0)*(($B$9="ALL")+(TRIM(Table1[Market])=$B$9)&gt;0)*(($B$10="ALL")+(Table1[Resort]=$B$10)&gt;0)*(TRIM(Table1[Hotel Name])=$Q28)))</f>
        <v>0</v>
      </c>
      <c r="S28" s="148" cm="1">
        <f t="array" ref="S28">IF($Q28="",0,SUMPRODUCT((Table1[Arr Date]&gt;=$B$5)*(Table1[Arr Date]&lt;=$B$6)*(($B$7="ALL")+(Table1[HTL BKG Status]=$B$7)&gt;0)*(($B$8="ALL")+(Table1[T/O]=$B$8)&gt;0)*(($B$9="ALL")+(TRIM(Table1[Market])=$B$9)&gt;0)*(($B$10="ALL")+(Table1[Resort]=$B$10)&gt;0)*(TRIM(Table1[Hotel Name])=$Q28)*IFERROR(Table1[No RMS]+0,0)))</f>
        <v>0</v>
      </c>
      <c r="T28" s="148" cm="1">
        <f t="array" ref="T28">IF($Q28="",0,SUMPRODUCT((Table1[Arr Date]&gt;=$B$5)*(Table1[Arr Date]&lt;=$B$6)*(($B$7="ALL")+(Table1[HTL BKG Status]=$B$7)&gt;0)*(($B$8="ALL")+(Table1[T/O]=$B$8)&gt;0)*(($B$9="ALL")+(TRIM(Table1[Market])=$B$9)&gt;0)*(($B$10="ALL")+(Table1[Resort]=$B$10)&gt;0)*(TRIM(Table1[Hotel Name])=$Q28)*IFERROR(Table1[NTS]+0,0)*IFERROR(Table1[No RMS]+0,0)))</f>
        <v>0</v>
      </c>
      <c r="U28" s="148" cm="1">
        <f t="array" ref="U28">IF($Q28="",0,SUMPRODUCT((Table1[Arr Date]&gt;=$B$5)*(Table1[Arr Date]&lt;=$B$6)*(($B$7="ALL")+(Table1[HTL BKG Status]=$B$7)&gt;0)*(($B$8="ALL")+(Table1[T/O]=$B$8)&gt;0)*(($B$9="ALL")+(TRIM(Table1[Market])=$B$9)&gt;0)*(($B$10="ALL")+(Table1[Resort]=$B$10)&gt;0)*(TRIM(Table1[Hotel Name])=$Q28)*IFERROR(Table1[Selling EUR]+0,0)))</f>
        <v>0</v>
      </c>
      <c r="V28" s="148" cm="1">
        <f t="array" ref="V28">IF($Q28="",0,SUMPRODUCT((Table1[Arr Date]&gt;=$B$5)*(Table1[Arr Date]&lt;=$B$6)*(($B$7="ALL")+(Table1[HTL BKG Status]=$B$7)&gt;0)*(($B$8="ALL")+(Table1[T/O]=$B$8)&gt;0)*(($B$9="ALL")+(TRIM(Table1[Market])=$B$9)&gt;0)*(($B$10="ALL")+(Table1[Resort]=$B$10)&gt;0)*(TRIM(Table1[Hotel Name])=$Q28)*IFERROR(Table1[P/L EUR]+0,0)))</f>
        <v>0</v>
      </c>
      <c r="W28" s="148">
        <f t="shared" si="0"/>
        <v>2.7999999999999998E-4</v>
      </c>
      <c r="X28" s="148"/>
      <c r="Y28" s="148">
        <v>46051</v>
      </c>
      <c r="Z28" s="148">
        <v>16600150</v>
      </c>
      <c r="AA28" s="148" t="s">
        <v>74</v>
      </c>
      <c r="AB28" s="148">
        <v>46059</v>
      </c>
      <c r="AC28" s="148">
        <v>93.6</v>
      </c>
      <c r="AD28" s="148">
        <f t="shared" ca="1" si="1"/>
        <v>-151</v>
      </c>
      <c r="AE28" s="148">
        <f t="shared" ca="1" si="2"/>
        <v>-10000000000</v>
      </c>
    </row>
    <row r="29" spans="1:31" x14ac:dyDescent="0.3">
      <c r="A29" s="221">
        <f t="shared" si="4"/>
        <v>6</v>
      </c>
      <c r="B29" s="163" t="str">
        <f t="shared" si="5"/>
        <v>XPERIENCE KIROSEIZ PREMIER</v>
      </c>
      <c r="C29" s="164">
        <f t="shared" si="6"/>
        <v>1</v>
      </c>
      <c r="D29" s="164">
        <f t="shared" si="7"/>
        <v>1</v>
      </c>
      <c r="E29" s="164">
        <f t="shared" si="8"/>
        <v>14</v>
      </c>
      <c r="F29" s="165">
        <f t="shared" si="9"/>
        <v>0</v>
      </c>
      <c r="G29" s="166">
        <f t="shared" si="10"/>
        <v>0</v>
      </c>
      <c r="H29" s="224">
        <f t="shared" si="11"/>
        <v>0</v>
      </c>
      <c r="I29" s="148"/>
      <c r="J29" s="230">
        <f t="shared" ca="1" si="12"/>
        <v>6</v>
      </c>
      <c r="K29" s="171">
        <f t="shared" ca="1" si="13"/>
        <v>46208</v>
      </c>
      <c r="L29" s="172">
        <f t="shared" ca="1" si="14"/>
        <v>15734687</v>
      </c>
      <c r="M29" s="163" t="str">
        <f t="shared" ca="1" si="15"/>
        <v>THE THREE CORNERS FAYROUZ PLAZA BEACH RESORT (RMF)</v>
      </c>
      <c r="N29" s="171">
        <f t="shared" ca="1" si="16"/>
        <v>46215</v>
      </c>
      <c r="O29" s="233">
        <f t="shared" ca="1" si="17"/>
        <v>0</v>
      </c>
      <c r="P29" s="148"/>
      <c r="Q29" s="148" t="s">
        <v>76</v>
      </c>
      <c r="R29" s="148" cm="1">
        <f t="array" ref="R29">IF($Q29="",0,SUMPRODUCT((Table1[Arr Date]&gt;=$B$5)*(Table1[Arr Date]&lt;=$B$6)*(($B$7="ALL")+(Table1[HTL BKG Status]=$B$7)&gt;0)*(($B$8="ALL")+(Table1[T/O]=$B$8)&gt;0)*(($B$9="ALL")+(TRIM(Table1[Market])=$B$9)&gt;0)*(($B$10="ALL")+(Table1[Resort]=$B$10)&gt;0)*(TRIM(Table1[Hotel Name])=$Q29)))</f>
        <v>2</v>
      </c>
      <c r="S29" s="148" cm="1">
        <f t="array" ref="S29">IF($Q29="",0,SUMPRODUCT((Table1[Arr Date]&gt;=$B$5)*(Table1[Arr Date]&lt;=$B$6)*(($B$7="ALL")+(Table1[HTL BKG Status]=$B$7)&gt;0)*(($B$8="ALL")+(Table1[T/O]=$B$8)&gt;0)*(($B$9="ALL")+(TRIM(Table1[Market])=$B$9)&gt;0)*(($B$10="ALL")+(Table1[Resort]=$B$10)&gt;0)*(TRIM(Table1[Hotel Name])=$Q29)*IFERROR(Table1[No RMS]+0,0)))</f>
        <v>2</v>
      </c>
      <c r="T29" s="148" cm="1">
        <f t="array" ref="T29">IF($Q29="",0,SUMPRODUCT((Table1[Arr Date]&gt;=$B$5)*(Table1[Arr Date]&lt;=$B$6)*(($B$7="ALL")+(Table1[HTL BKG Status]=$B$7)&gt;0)*(($B$8="ALL")+(Table1[T/O]=$B$8)&gt;0)*(($B$9="ALL")+(TRIM(Table1[Market])=$B$9)&gt;0)*(($B$10="ALL")+(Table1[Resort]=$B$10)&gt;0)*(TRIM(Table1[Hotel Name])=$Q29)*IFERROR(Table1[NTS]+0,0)*IFERROR(Table1[No RMS]+0,0)))</f>
        <v>21</v>
      </c>
      <c r="U29" s="148" cm="1">
        <f t="array" ref="U29">IF($Q29="",0,SUMPRODUCT((Table1[Arr Date]&gt;=$B$5)*(Table1[Arr Date]&lt;=$B$6)*(($B$7="ALL")+(Table1[HTL BKG Status]=$B$7)&gt;0)*(($B$8="ALL")+(Table1[T/O]=$B$8)&gt;0)*(($B$9="ALL")+(TRIM(Table1[Market])=$B$9)&gt;0)*(($B$10="ALL")+(Table1[Resort]=$B$10)&gt;0)*(TRIM(Table1[Hotel Name])=$Q29)*IFERROR(Table1[Selling EUR]+0,0)))</f>
        <v>1279.5999999999999</v>
      </c>
      <c r="V29" s="148" cm="1">
        <f t="array" ref="V29">IF($Q29="",0,SUMPRODUCT((Table1[Arr Date]&gt;=$B$5)*(Table1[Arr Date]&lt;=$B$6)*(($B$7="ALL")+(Table1[HTL BKG Status]=$B$7)&gt;0)*(($B$8="ALL")+(Table1[T/O]=$B$8)&gt;0)*(($B$9="ALL")+(TRIM(Table1[Market])=$B$9)&gt;0)*(($B$10="ALL")+(Table1[Resort]=$B$10)&gt;0)*(TRIM(Table1[Hotel Name])=$Q29)*IFERROR(Table1[P/L EUR]+0,0)))</f>
        <v>13.999999999999773</v>
      </c>
      <c r="W29" s="148">
        <f t="shared" si="0"/>
        <v>2.0002900000000001</v>
      </c>
      <c r="X29" s="148"/>
      <c r="Y29" s="148">
        <v>45914</v>
      </c>
      <c r="Z29" s="148">
        <v>16609807</v>
      </c>
      <c r="AA29" s="148" t="s">
        <v>67</v>
      </c>
      <c r="AB29" s="148">
        <v>45920</v>
      </c>
      <c r="AC29" s="148">
        <v>1206</v>
      </c>
      <c r="AD29" s="148">
        <f t="shared" ca="1" si="1"/>
        <v>-288</v>
      </c>
      <c r="AE29" s="148">
        <f t="shared" ca="1" si="2"/>
        <v>-10000000000</v>
      </c>
    </row>
    <row r="30" spans="1:31" x14ac:dyDescent="0.3">
      <c r="A30" s="220">
        <f t="shared" si="4"/>
        <v>7</v>
      </c>
      <c r="B30" s="167" t="str">
        <f t="shared" si="5"/>
        <v>TITANIC PALACE RESORT &amp; AQUA PARK</v>
      </c>
      <c r="C30" s="168">
        <f t="shared" si="6"/>
        <v>1</v>
      </c>
      <c r="D30" s="168">
        <f t="shared" si="7"/>
        <v>1</v>
      </c>
      <c r="E30" s="168">
        <f t="shared" si="8"/>
        <v>14</v>
      </c>
      <c r="F30" s="169">
        <f t="shared" si="9"/>
        <v>0</v>
      </c>
      <c r="G30" s="170">
        <f t="shared" si="10"/>
        <v>0</v>
      </c>
      <c r="H30" s="223">
        <f t="shared" si="11"/>
        <v>0</v>
      </c>
      <c r="I30" s="148"/>
      <c r="J30" s="229">
        <f t="shared" ca="1" si="12"/>
        <v>6</v>
      </c>
      <c r="K30" s="173">
        <f t="shared" ca="1" si="13"/>
        <v>46208</v>
      </c>
      <c r="L30" s="174">
        <f t="shared" ca="1" si="14"/>
        <v>17497390</v>
      </c>
      <c r="M30" s="175" t="str">
        <f t="shared" ca="1" si="15"/>
        <v>THE THREE CORNERS SUNNY BEACH RESORT HURGHADA</v>
      </c>
      <c r="N30" s="173">
        <f t="shared" ca="1" si="16"/>
        <v>46216</v>
      </c>
      <c r="O30" s="232">
        <f t="shared" ca="1" si="17"/>
        <v>1015.2</v>
      </c>
      <c r="P30" s="148"/>
      <c r="Q30" s="148" t="s">
        <v>80</v>
      </c>
      <c r="R30" s="148" cm="1">
        <f t="array" ref="R30">IF($Q30="",0,SUMPRODUCT((Table1[Arr Date]&gt;=$B$5)*(Table1[Arr Date]&lt;=$B$6)*(($B$7="ALL")+(Table1[HTL BKG Status]=$B$7)&gt;0)*(($B$8="ALL")+(Table1[T/O]=$B$8)&gt;0)*(($B$9="ALL")+(TRIM(Table1[Market])=$B$9)&gt;0)*(($B$10="ALL")+(Table1[Resort]=$B$10)&gt;0)*(TRIM(Table1[Hotel Name])=$Q30)))</f>
        <v>0</v>
      </c>
      <c r="S30" s="148" cm="1">
        <f t="array" ref="S30">IF($Q30="",0,SUMPRODUCT((Table1[Arr Date]&gt;=$B$5)*(Table1[Arr Date]&lt;=$B$6)*(($B$7="ALL")+(Table1[HTL BKG Status]=$B$7)&gt;0)*(($B$8="ALL")+(Table1[T/O]=$B$8)&gt;0)*(($B$9="ALL")+(TRIM(Table1[Market])=$B$9)&gt;0)*(($B$10="ALL")+(Table1[Resort]=$B$10)&gt;0)*(TRIM(Table1[Hotel Name])=$Q30)*IFERROR(Table1[No RMS]+0,0)))</f>
        <v>0</v>
      </c>
      <c r="T30" s="148" cm="1">
        <f t="array" ref="T30">IF($Q30="",0,SUMPRODUCT((Table1[Arr Date]&gt;=$B$5)*(Table1[Arr Date]&lt;=$B$6)*(($B$7="ALL")+(Table1[HTL BKG Status]=$B$7)&gt;0)*(($B$8="ALL")+(Table1[T/O]=$B$8)&gt;0)*(($B$9="ALL")+(TRIM(Table1[Market])=$B$9)&gt;0)*(($B$10="ALL")+(Table1[Resort]=$B$10)&gt;0)*(TRIM(Table1[Hotel Name])=$Q30)*IFERROR(Table1[NTS]+0,0)*IFERROR(Table1[No RMS]+0,0)))</f>
        <v>0</v>
      </c>
      <c r="U30" s="148" cm="1">
        <f t="array" ref="U30">IF($Q30="",0,SUMPRODUCT((Table1[Arr Date]&gt;=$B$5)*(Table1[Arr Date]&lt;=$B$6)*(($B$7="ALL")+(Table1[HTL BKG Status]=$B$7)&gt;0)*(($B$8="ALL")+(Table1[T/O]=$B$8)&gt;0)*(($B$9="ALL")+(TRIM(Table1[Market])=$B$9)&gt;0)*(($B$10="ALL")+(Table1[Resort]=$B$10)&gt;0)*(TRIM(Table1[Hotel Name])=$Q30)*IFERROR(Table1[Selling EUR]+0,0)))</f>
        <v>0</v>
      </c>
      <c r="V30" s="148" cm="1">
        <f t="array" ref="V30">IF($Q30="",0,SUMPRODUCT((Table1[Arr Date]&gt;=$B$5)*(Table1[Arr Date]&lt;=$B$6)*(($B$7="ALL")+(Table1[HTL BKG Status]=$B$7)&gt;0)*(($B$8="ALL")+(Table1[T/O]=$B$8)&gt;0)*(($B$9="ALL")+(TRIM(Table1[Market])=$B$9)&gt;0)*(($B$10="ALL")+(Table1[Resort]=$B$10)&gt;0)*(TRIM(Table1[Hotel Name])=$Q30)*IFERROR(Table1[P/L EUR]+0,0)))</f>
        <v>0</v>
      </c>
      <c r="W30" s="148">
        <f t="shared" si="0"/>
        <v>2.9999999999999997E-4</v>
      </c>
      <c r="X30" s="148"/>
      <c r="Y30" s="148">
        <v>45960</v>
      </c>
      <c r="Z30" s="148">
        <v>16616784</v>
      </c>
      <c r="AA30" s="148" t="s">
        <v>67</v>
      </c>
      <c r="AB30" s="148">
        <v>45967</v>
      </c>
      <c r="AC30" s="148">
        <v>2091</v>
      </c>
      <c r="AD30" s="148">
        <f t="shared" ca="1" si="1"/>
        <v>-242</v>
      </c>
      <c r="AE30" s="148">
        <f t="shared" ca="1" si="2"/>
        <v>-10000000000</v>
      </c>
    </row>
    <row r="31" spans="1:31" x14ac:dyDescent="0.3">
      <c r="A31" s="221">
        <f t="shared" si="4"/>
        <v>8</v>
      </c>
      <c r="B31" s="163" t="str">
        <f t="shared" si="5"/>
        <v>THE THREE CORNERS SEA BEACH RESORT (RMF)</v>
      </c>
      <c r="C31" s="164">
        <f t="shared" si="6"/>
        <v>1</v>
      </c>
      <c r="D31" s="164">
        <f t="shared" si="7"/>
        <v>1</v>
      </c>
      <c r="E31" s="164">
        <f t="shared" si="8"/>
        <v>10</v>
      </c>
      <c r="F31" s="165">
        <f t="shared" si="9"/>
        <v>1260</v>
      </c>
      <c r="G31" s="166">
        <f t="shared" si="10"/>
        <v>240</v>
      </c>
      <c r="H31" s="224">
        <f t="shared" si="11"/>
        <v>0.19047619047619047</v>
      </c>
      <c r="I31" s="148"/>
      <c r="J31" s="230">
        <f t="shared" ca="1" si="12"/>
        <v>13</v>
      </c>
      <c r="K31" s="171">
        <f t="shared" ca="1" si="13"/>
        <v>46215</v>
      </c>
      <c r="L31" s="172">
        <f t="shared" ca="1" si="14"/>
        <v>17524233</v>
      </c>
      <c r="M31" s="163" t="str">
        <f t="shared" ca="1" si="15"/>
        <v>XPERIENCE KIROSEIZ PREMIER</v>
      </c>
      <c r="N31" s="171">
        <f t="shared" ca="1" si="16"/>
        <v>46225</v>
      </c>
      <c r="O31" s="233">
        <f t="shared" ca="1" si="17"/>
        <v>0</v>
      </c>
      <c r="P31" s="148"/>
      <c r="Q31" s="148" t="s">
        <v>81</v>
      </c>
      <c r="R31" s="148" cm="1">
        <f t="array" ref="R31">IF($Q31="",0,SUMPRODUCT((Table1[Arr Date]&gt;=$B$5)*(Table1[Arr Date]&lt;=$B$6)*(($B$7="ALL")+(Table1[HTL BKG Status]=$B$7)&gt;0)*(($B$8="ALL")+(Table1[T/O]=$B$8)&gt;0)*(($B$9="ALL")+(TRIM(Table1[Market])=$B$9)&gt;0)*(($B$10="ALL")+(Table1[Resort]=$B$10)&gt;0)*(TRIM(Table1[Hotel Name])=$Q31)))</f>
        <v>0</v>
      </c>
      <c r="S31" s="148" cm="1">
        <f t="array" ref="S31">IF($Q31="",0,SUMPRODUCT((Table1[Arr Date]&gt;=$B$5)*(Table1[Arr Date]&lt;=$B$6)*(($B$7="ALL")+(Table1[HTL BKG Status]=$B$7)&gt;0)*(($B$8="ALL")+(Table1[T/O]=$B$8)&gt;0)*(($B$9="ALL")+(TRIM(Table1[Market])=$B$9)&gt;0)*(($B$10="ALL")+(Table1[Resort]=$B$10)&gt;0)*(TRIM(Table1[Hotel Name])=$Q31)*IFERROR(Table1[No RMS]+0,0)))</f>
        <v>0</v>
      </c>
      <c r="T31" s="148" cm="1">
        <f t="array" ref="T31">IF($Q31="",0,SUMPRODUCT((Table1[Arr Date]&gt;=$B$5)*(Table1[Arr Date]&lt;=$B$6)*(($B$7="ALL")+(Table1[HTL BKG Status]=$B$7)&gt;0)*(($B$8="ALL")+(Table1[T/O]=$B$8)&gt;0)*(($B$9="ALL")+(TRIM(Table1[Market])=$B$9)&gt;0)*(($B$10="ALL")+(Table1[Resort]=$B$10)&gt;0)*(TRIM(Table1[Hotel Name])=$Q31)*IFERROR(Table1[NTS]+0,0)*IFERROR(Table1[No RMS]+0,0)))</f>
        <v>0</v>
      </c>
      <c r="U31" s="148" cm="1">
        <f t="array" ref="U31">IF($Q31="",0,SUMPRODUCT((Table1[Arr Date]&gt;=$B$5)*(Table1[Arr Date]&lt;=$B$6)*(($B$7="ALL")+(Table1[HTL BKG Status]=$B$7)&gt;0)*(($B$8="ALL")+(Table1[T/O]=$B$8)&gt;0)*(($B$9="ALL")+(TRIM(Table1[Market])=$B$9)&gt;0)*(($B$10="ALL")+(Table1[Resort]=$B$10)&gt;0)*(TRIM(Table1[Hotel Name])=$Q31)*IFERROR(Table1[Selling EUR]+0,0)))</f>
        <v>0</v>
      </c>
      <c r="V31" s="148" cm="1">
        <f t="array" ref="V31">IF($Q31="",0,SUMPRODUCT((Table1[Arr Date]&gt;=$B$5)*(Table1[Arr Date]&lt;=$B$6)*(($B$7="ALL")+(Table1[HTL BKG Status]=$B$7)&gt;0)*(($B$8="ALL")+(Table1[T/O]=$B$8)&gt;0)*(($B$9="ALL")+(TRIM(Table1[Market])=$B$9)&gt;0)*(($B$10="ALL")+(Table1[Resort]=$B$10)&gt;0)*(TRIM(Table1[Hotel Name])=$Q31)*IFERROR(Table1[P/L EUR]+0,0)))</f>
        <v>0</v>
      </c>
      <c r="W31" s="148">
        <f t="shared" si="0"/>
        <v>3.1E-4</v>
      </c>
      <c r="X31" s="148"/>
      <c r="Y31" s="148">
        <v>45971</v>
      </c>
      <c r="Z31" s="148">
        <v>16631256</v>
      </c>
      <c r="AA31" s="148" t="s">
        <v>76</v>
      </c>
      <c r="AB31" s="148">
        <v>45981</v>
      </c>
      <c r="AC31" s="148">
        <v>564.20000000000005</v>
      </c>
      <c r="AD31" s="148">
        <f t="shared" ca="1" si="1"/>
        <v>-231</v>
      </c>
      <c r="AE31" s="148">
        <f t="shared" ca="1" si="2"/>
        <v>-10000000000</v>
      </c>
    </row>
    <row r="32" spans="1:31" x14ac:dyDescent="0.3">
      <c r="A32" s="220">
        <f t="shared" si="4"/>
        <v>9</v>
      </c>
      <c r="B32" s="167" t="str">
        <f t="shared" si="5"/>
        <v>SERENITY ALPHA BEACH (X SERENITY MAKADI BEACH)</v>
      </c>
      <c r="C32" s="168">
        <f t="shared" si="6"/>
        <v>0</v>
      </c>
      <c r="D32" s="168">
        <f t="shared" si="7"/>
        <v>0</v>
      </c>
      <c r="E32" s="168">
        <f t="shared" si="8"/>
        <v>0</v>
      </c>
      <c r="F32" s="169">
        <f t="shared" si="9"/>
        <v>0</v>
      </c>
      <c r="G32" s="170">
        <f t="shared" si="10"/>
        <v>0</v>
      </c>
      <c r="H32" s="223">
        <f t="shared" si="11"/>
        <v>0</v>
      </c>
      <c r="I32" s="148"/>
      <c r="J32" s="229">
        <f t="shared" ca="1" si="12"/>
        <v>13</v>
      </c>
      <c r="K32" s="173">
        <f t="shared" ca="1" si="13"/>
        <v>46215</v>
      </c>
      <c r="L32" s="174">
        <f t="shared" ca="1" si="14"/>
        <v>16178025</v>
      </c>
      <c r="M32" s="175" t="str">
        <f t="shared" ca="1" si="15"/>
        <v>TITANIC BEACH SPA &amp; AQUA PARK</v>
      </c>
      <c r="N32" s="173">
        <f t="shared" ca="1" si="16"/>
        <v>46222</v>
      </c>
      <c r="O32" s="232">
        <f t="shared" ca="1" si="17"/>
        <v>1265.5999999999999</v>
      </c>
      <c r="P32" s="148"/>
      <c r="Q32" s="148" t="s">
        <v>88</v>
      </c>
      <c r="R32" s="148" cm="1">
        <f t="array" ref="R32">IF($Q32="",0,SUMPRODUCT((Table1[Arr Date]&gt;=$B$5)*(Table1[Arr Date]&lt;=$B$6)*(($B$7="ALL")+(Table1[HTL BKG Status]=$B$7)&gt;0)*(($B$8="ALL")+(Table1[T/O]=$B$8)&gt;0)*(($B$9="ALL")+(TRIM(Table1[Market])=$B$9)&gt;0)*(($B$10="ALL")+(Table1[Resort]=$B$10)&gt;0)*(TRIM(Table1[Hotel Name])=$Q32)))</f>
        <v>0</v>
      </c>
      <c r="S32" s="148" cm="1">
        <f t="array" ref="S32">IF($Q32="",0,SUMPRODUCT((Table1[Arr Date]&gt;=$B$5)*(Table1[Arr Date]&lt;=$B$6)*(($B$7="ALL")+(Table1[HTL BKG Status]=$B$7)&gt;0)*(($B$8="ALL")+(Table1[T/O]=$B$8)&gt;0)*(($B$9="ALL")+(TRIM(Table1[Market])=$B$9)&gt;0)*(($B$10="ALL")+(Table1[Resort]=$B$10)&gt;0)*(TRIM(Table1[Hotel Name])=$Q32)*IFERROR(Table1[No RMS]+0,0)))</f>
        <v>0</v>
      </c>
      <c r="T32" s="148" cm="1">
        <f t="array" ref="T32">IF($Q32="",0,SUMPRODUCT((Table1[Arr Date]&gt;=$B$5)*(Table1[Arr Date]&lt;=$B$6)*(($B$7="ALL")+(Table1[HTL BKG Status]=$B$7)&gt;0)*(($B$8="ALL")+(Table1[T/O]=$B$8)&gt;0)*(($B$9="ALL")+(TRIM(Table1[Market])=$B$9)&gt;0)*(($B$10="ALL")+(Table1[Resort]=$B$10)&gt;0)*(TRIM(Table1[Hotel Name])=$Q32)*IFERROR(Table1[NTS]+0,0)*IFERROR(Table1[No RMS]+0,0)))</f>
        <v>0</v>
      </c>
      <c r="U32" s="148" cm="1">
        <f t="array" ref="U32">IF($Q32="",0,SUMPRODUCT((Table1[Arr Date]&gt;=$B$5)*(Table1[Arr Date]&lt;=$B$6)*(($B$7="ALL")+(Table1[HTL BKG Status]=$B$7)&gt;0)*(($B$8="ALL")+(Table1[T/O]=$B$8)&gt;0)*(($B$9="ALL")+(TRIM(Table1[Market])=$B$9)&gt;0)*(($B$10="ALL")+(Table1[Resort]=$B$10)&gt;0)*(TRIM(Table1[Hotel Name])=$Q32)*IFERROR(Table1[Selling EUR]+0,0)))</f>
        <v>0</v>
      </c>
      <c r="V32" s="148" cm="1">
        <f t="array" ref="V32">IF($Q32="",0,SUMPRODUCT((Table1[Arr Date]&gt;=$B$5)*(Table1[Arr Date]&lt;=$B$6)*(($B$7="ALL")+(Table1[HTL BKG Status]=$B$7)&gt;0)*(($B$8="ALL")+(Table1[T/O]=$B$8)&gt;0)*(($B$9="ALL")+(TRIM(Table1[Market])=$B$9)&gt;0)*(($B$10="ALL")+(Table1[Resort]=$B$10)&gt;0)*(TRIM(Table1[Hotel Name])=$Q32)*IFERROR(Table1[P/L EUR]+0,0)))</f>
        <v>0</v>
      </c>
      <c r="W32" s="148">
        <f t="shared" si="0"/>
        <v>3.2000000000000003E-4</v>
      </c>
      <c r="X32" s="148"/>
      <c r="Y32" s="148">
        <v>45921</v>
      </c>
      <c r="Z32" s="148">
        <v>16885485</v>
      </c>
      <c r="AA32" s="148" t="s">
        <v>77</v>
      </c>
      <c r="AB32" s="148">
        <v>45928</v>
      </c>
      <c r="AC32" s="148">
        <v>430</v>
      </c>
      <c r="AD32" s="148">
        <f t="shared" ca="1" si="1"/>
        <v>-281</v>
      </c>
      <c r="AE32" s="148">
        <f t="shared" ca="1" si="2"/>
        <v>-10000000000</v>
      </c>
    </row>
    <row r="33" spans="1:31" x14ac:dyDescent="0.3">
      <c r="A33" s="221">
        <f t="shared" si="4"/>
        <v>10</v>
      </c>
      <c r="B33" s="163" t="str">
        <f t="shared" si="5"/>
        <v>JAZ MIRABEL BEACH RESORT SSH</v>
      </c>
      <c r="C33" s="164">
        <f t="shared" si="6"/>
        <v>0</v>
      </c>
      <c r="D33" s="164">
        <f t="shared" si="7"/>
        <v>0</v>
      </c>
      <c r="E33" s="164">
        <f t="shared" si="8"/>
        <v>0</v>
      </c>
      <c r="F33" s="165">
        <f t="shared" si="9"/>
        <v>0</v>
      </c>
      <c r="G33" s="166">
        <f t="shared" si="10"/>
        <v>0</v>
      </c>
      <c r="H33" s="224">
        <f t="shared" si="11"/>
        <v>0</v>
      </c>
      <c r="I33" s="148"/>
      <c r="J33" s="230">
        <f t="shared" ca="1" si="12"/>
        <v>20</v>
      </c>
      <c r="K33" s="171">
        <f t="shared" ca="1" si="13"/>
        <v>46222</v>
      </c>
      <c r="L33" s="172">
        <f t="shared" ca="1" si="14"/>
        <v>17181480</v>
      </c>
      <c r="M33" s="163" t="str">
        <f t="shared" ca="1" si="15"/>
        <v>THE THREE CORNERS SEA BEACH RESORT (RMF)</v>
      </c>
      <c r="N33" s="171">
        <f t="shared" ca="1" si="16"/>
        <v>46231</v>
      </c>
      <c r="O33" s="233">
        <f t="shared" ca="1" si="17"/>
        <v>1020</v>
      </c>
      <c r="P33" s="148"/>
      <c r="Q33" s="148" t="s">
        <v>90</v>
      </c>
      <c r="R33" s="148" cm="1">
        <f t="array" ref="R33">IF($Q33="",0,SUMPRODUCT((Table1[Arr Date]&gt;=$B$5)*(Table1[Arr Date]&lt;=$B$6)*(($B$7="ALL")+(Table1[HTL BKG Status]=$B$7)&gt;0)*(($B$8="ALL")+(Table1[T/O]=$B$8)&gt;0)*(($B$9="ALL")+(TRIM(Table1[Market])=$B$9)&gt;0)*(($B$10="ALL")+(Table1[Resort]=$B$10)&gt;0)*(TRIM(Table1[Hotel Name])=$Q33)))</f>
        <v>0</v>
      </c>
      <c r="S33" s="148" cm="1">
        <f t="array" ref="S33">IF($Q33="",0,SUMPRODUCT((Table1[Arr Date]&gt;=$B$5)*(Table1[Arr Date]&lt;=$B$6)*(($B$7="ALL")+(Table1[HTL BKG Status]=$B$7)&gt;0)*(($B$8="ALL")+(Table1[T/O]=$B$8)&gt;0)*(($B$9="ALL")+(TRIM(Table1[Market])=$B$9)&gt;0)*(($B$10="ALL")+(Table1[Resort]=$B$10)&gt;0)*(TRIM(Table1[Hotel Name])=$Q33)*IFERROR(Table1[No RMS]+0,0)))</f>
        <v>0</v>
      </c>
      <c r="T33" s="148" cm="1">
        <f t="array" ref="T33">IF($Q33="",0,SUMPRODUCT((Table1[Arr Date]&gt;=$B$5)*(Table1[Arr Date]&lt;=$B$6)*(($B$7="ALL")+(Table1[HTL BKG Status]=$B$7)&gt;0)*(($B$8="ALL")+(Table1[T/O]=$B$8)&gt;0)*(($B$9="ALL")+(TRIM(Table1[Market])=$B$9)&gt;0)*(($B$10="ALL")+(Table1[Resort]=$B$10)&gt;0)*(TRIM(Table1[Hotel Name])=$Q33)*IFERROR(Table1[NTS]+0,0)*IFERROR(Table1[No RMS]+0,0)))</f>
        <v>0</v>
      </c>
      <c r="U33" s="148" cm="1">
        <f t="array" ref="U33">IF($Q33="",0,SUMPRODUCT((Table1[Arr Date]&gt;=$B$5)*(Table1[Arr Date]&lt;=$B$6)*(($B$7="ALL")+(Table1[HTL BKG Status]=$B$7)&gt;0)*(($B$8="ALL")+(Table1[T/O]=$B$8)&gt;0)*(($B$9="ALL")+(TRIM(Table1[Market])=$B$9)&gt;0)*(($B$10="ALL")+(Table1[Resort]=$B$10)&gt;0)*(TRIM(Table1[Hotel Name])=$Q33)*IFERROR(Table1[Selling EUR]+0,0)))</f>
        <v>0</v>
      </c>
      <c r="V33" s="148" cm="1">
        <f t="array" ref="V33">IF($Q33="",0,SUMPRODUCT((Table1[Arr Date]&gt;=$B$5)*(Table1[Arr Date]&lt;=$B$6)*(($B$7="ALL")+(Table1[HTL BKG Status]=$B$7)&gt;0)*(($B$8="ALL")+(Table1[T/O]=$B$8)&gt;0)*(($B$9="ALL")+(TRIM(Table1[Market])=$B$9)&gt;0)*(($B$10="ALL")+(Table1[Resort]=$B$10)&gt;0)*(TRIM(Table1[Hotel Name])=$Q33)*IFERROR(Table1[P/L EUR]+0,0)))</f>
        <v>0</v>
      </c>
      <c r="W33" s="148">
        <f t="shared" si="0"/>
        <v>3.3E-4</v>
      </c>
      <c r="X33" s="148"/>
      <c r="Y33" s="148">
        <v>46016</v>
      </c>
      <c r="Z33" s="148">
        <v>12424298</v>
      </c>
      <c r="AA33" s="148" t="s">
        <v>80</v>
      </c>
      <c r="AB33" s="148">
        <v>46021</v>
      </c>
      <c r="AC33" s="148">
        <v>279.8</v>
      </c>
      <c r="AD33" s="148">
        <f t="shared" ca="1" si="1"/>
        <v>-186</v>
      </c>
      <c r="AE33" s="148">
        <f t="shared" ca="1" si="2"/>
        <v>-10000000000</v>
      </c>
    </row>
    <row r="34" spans="1:31" x14ac:dyDescent="0.3">
      <c r="A34" s="220">
        <f t="shared" si="4"/>
        <v>11</v>
      </c>
      <c r="B34" s="167" t="str">
        <f t="shared" si="5"/>
        <v>KING TUT AQUA PARK BEACH RESORT</v>
      </c>
      <c r="C34" s="168">
        <f t="shared" si="6"/>
        <v>0</v>
      </c>
      <c r="D34" s="168">
        <f t="shared" si="7"/>
        <v>0</v>
      </c>
      <c r="E34" s="168">
        <f t="shared" si="8"/>
        <v>0</v>
      </c>
      <c r="F34" s="169">
        <f t="shared" si="9"/>
        <v>0</v>
      </c>
      <c r="G34" s="170">
        <f t="shared" si="10"/>
        <v>0</v>
      </c>
      <c r="H34" s="223">
        <f t="shared" si="11"/>
        <v>0</v>
      </c>
      <c r="I34" s="148"/>
      <c r="J34" s="229">
        <f t="shared" ca="1" si="12"/>
        <v>21</v>
      </c>
      <c r="K34" s="173">
        <f t="shared" ca="1" si="13"/>
        <v>46223</v>
      </c>
      <c r="L34" s="174">
        <f t="shared" ca="1" si="14"/>
        <v>17387953</v>
      </c>
      <c r="M34" s="175" t="str">
        <f t="shared" ca="1" si="15"/>
        <v>THE THREE CORNERS FAYROUZ PLAZA BEACH RESORT (RMF)</v>
      </c>
      <c r="N34" s="173">
        <f t="shared" ca="1" si="16"/>
        <v>46233</v>
      </c>
      <c r="O34" s="232">
        <f t="shared" ca="1" si="17"/>
        <v>784</v>
      </c>
      <c r="P34" s="148"/>
      <c r="Q34" s="148" t="s">
        <v>93</v>
      </c>
      <c r="R34" s="148" cm="1">
        <f t="array" ref="R34">IF($Q34="",0,SUMPRODUCT((Table1[Arr Date]&gt;=$B$5)*(Table1[Arr Date]&lt;=$B$6)*(($B$7="ALL")+(Table1[HTL BKG Status]=$B$7)&gt;0)*(($B$8="ALL")+(Table1[T/O]=$B$8)&gt;0)*(($B$9="ALL")+(TRIM(Table1[Market])=$B$9)&gt;0)*(($B$10="ALL")+(Table1[Resort]=$B$10)&gt;0)*(TRIM(Table1[Hotel Name])=$Q34)))</f>
        <v>0</v>
      </c>
      <c r="S34" s="148" cm="1">
        <f t="array" ref="S34">IF($Q34="",0,SUMPRODUCT((Table1[Arr Date]&gt;=$B$5)*(Table1[Arr Date]&lt;=$B$6)*(($B$7="ALL")+(Table1[HTL BKG Status]=$B$7)&gt;0)*(($B$8="ALL")+(Table1[T/O]=$B$8)&gt;0)*(($B$9="ALL")+(TRIM(Table1[Market])=$B$9)&gt;0)*(($B$10="ALL")+(Table1[Resort]=$B$10)&gt;0)*(TRIM(Table1[Hotel Name])=$Q34)*IFERROR(Table1[No RMS]+0,0)))</f>
        <v>0</v>
      </c>
      <c r="T34" s="148" cm="1">
        <f t="array" ref="T34">IF($Q34="",0,SUMPRODUCT((Table1[Arr Date]&gt;=$B$5)*(Table1[Arr Date]&lt;=$B$6)*(($B$7="ALL")+(Table1[HTL BKG Status]=$B$7)&gt;0)*(($B$8="ALL")+(Table1[T/O]=$B$8)&gt;0)*(($B$9="ALL")+(TRIM(Table1[Market])=$B$9)&gt;0)*(($B$10="ALL")+(Table1[Resort]=$B$10)&gt;0)*(TRIM(Table1[Hotel Name])=$Q34)*IFERROR(Table1[NTS]+0,0)*IFERROR(Table1[No RMS]+0,0)))</f>
        <v>0</v>
      </c>
      <c r="U34" s="148" cm="1">
        <f t="array" ref="U34">IF($Q34="",0,SUMPRODUCT((Table1[Arr Date]&gt;=$B$5)*(Table1[Arr Date]&lt;=$B$6)*(($B$7="ALL")+(Table1[HTL BKG Status]=$B$7)&gt;0)*(($B$8="ALL")+(Table1[T/O]=$B$8)&gt;0)*(($B$9="ALL")+(TRIM(Table1[Market])=$B$9)&gt;0)*(($B$10="ALL")+(Table1[Resort]=$B$10)&gt;0)*(TRIM(Table1[Hotel Name])=$Q34)*IFERROR(Table1[Selling EUR]+0,0)))</f>
        <v>0</v>
      </c>
      <c r="V34" s="148" cm="1">
        <f t="array" ref="V34">IF($Q34="",0,SUMPRODUCT((Table1[Arr Date]&gt;=$B$5)*(Table1[Arr Date]&lt;=$B$6)*(($B$7="ALL")+(Table1[HTL BKG Status]=$B$7)&gt;0)*(($B$8="ALL")+(Table1[T/O]=$B$8)&gt;0)*(($B$9="ALL")+(TRIM(Table1[Market])=$B$9)&gt;0)*(($B$10="ALL")+(Table1[Resort]=$B$10)&gt;0)*(TRIM(Table1[Hotel Name])=$Q34)*IFERROR(Table1[P/L EUR]+0,0)))</f>
        <v>0</v>
      </c>
      <c r="W34" s="148">
        <f t="shared" si="0"/>
        <v>3.4000000000000002E-4</v>
      </c>
      <c r="X34" s="148"/>
      <c r="Y34" s="148">
        <v>46012</v>
      </c>
      <c r="Z34" s="148">
        <v>16685433</v>
      </c>
      <c r="AA34" s="148" t="s">
        <v>67</v>
      </c>
      <c r="AB34" s="148">
        <v>46016</v>
      </c>
      <c r="AC34" s="148">
        <v>943.5</v>
      </c>
      <c r="AD34" s="148">
        <f t="shared" ca="1" si="1"/>
        <v>-190</v>
      </c>
      <c r="AE34" s="148">
        <f t="shared" ca="1" si="2"/>
        <v>-10000000000</v>
      </c>
    </row>
    <row r="35" spans="1:31" x14ac:dyDescent="0.3">
      <c r="A35" s="221">
        <f t="shared" si="4"/>
        <v>12</v>
      </c>
      <c r="B35" s="163" t="str">
        <f t="shared" si="5"/>
        <v>BLEND CLUB AQUA RESORT (HRG)</v>
      </c>
      <c r="C35" s="164">
        <f t="shared" si="6"/>
        <v>0</v>
      </c>
      <c r="D35" s="164">
        <f t="shared" si="7"/>
        <v>0</v>
      </c>
      <c r="E35" s="164">
        <f t="shared" si="8"/>
        <v>0</v>
      </c>
      <c r="F35" s="165">
        <f t="shared" si="9"/>
        <v>0</v>
      </c>
      <c r="G35" s="166">
        <f t="shared" si="10"/>
        <v>0</v>
      </c>
      <c r="H35" s="224">
        <f t="shared" si="11"/>
        <v>0</v>
      </c>
      <c r="I35" s="148"/>
      <c r="J35" s="230">
        <f t="shared" ca="1" si="12"/>
        <v>22</v>
      </c>
      <c r="K35" s="171">
        <f t="shared" ca="1" si="13"/>
        <v>46224</v>
      </c>
      <c r="L35" s="172">
        <f t="shared" ca="1" si="14"/>
        <v>15147730</v>
      </c>
      <c r="M35" s="163" t="str">
        <f t="shared" ca="1" si="15"/>
        <v>THE THREE CORNERS RIHANA RESORT</v>
      </c>
      <c r="N35" s="171">
        <f t="shared" ca="1" si="16"/>
        <v>46233</v>
      </c>
      <c r="O35" s="233">
        <f t="shared" ca="1" si="17"/>
        <v>868</v>
      </c>
      <c r="P35" s="148"/>
      <c r="Q35" s="148" t="s">
        <v>109</v>
      </c>
      <c r="R35" s="148" cm="1">
        <f t="array" ref="R35">IF($Q35="",0,SUMPRODUCT((Table1[Arr Date]&gt;=$B$5)*(Table1[Arr Date]&lt;=$B$6)*(($B$7="ALL")+(Table1[HTL BKG Status]=$B$7)&gt;0)*(($B$8="ALL")+(Table1[T/O]=$B$8)&gt;0)*(($B$9="ALL")+(TRIM(Table1[Market])=$B$9)&gt;0)*(($B$10="ALL")+(Table1[Resort]=$B$10)&gt;0)*(TRIM(Table1[Hotel Name])=$Q35)))</f>
        <v>0</v>
      </c>
      <c r="S35" s="148" cm="1">
        <f t="array" ref="S35">IF($Q35="",0,SUMPRODUCT((Table1[Arr Date]&gt;=$B$5)*(Table1[Arr Date]&lt;=$B$6)*(($B$7="ALL")+(Table1[HTL BKG Status]=$B$7)&gt;0)*(($B$8="ALL")+(Table1[T/O]=$B$8)&gt;0)*(($B$9="ALL")+(TRIM(Table1[Market])=$B$9)&gt;0)*(($B$10="ALL")+(Table1[Resort]=$B$10)&gt;0)*(TRIM(Table1[Hotel Name])=$Q35)*IFERROR(Table1[No RMS]+0,0)))</f>
        <v>0</v>
      </c>
      <c r="T35" s="148" cm="1">
        <f t="array" ref="T35">IF($Q35="",0,SUMPRODUCT((Table1[Arr Date]&gt;=$B$5)*(Table1[Arr Date]&lt;=$B$6)*(($B$7="ALL")+(Table1[HTL BKG Status]=$B$7)&gt;0)*(($B$8="ALL")+(Table1[T/O]=$B$8)&gt;0)*(($B$9="ALL")+(TRIM(Table1[Market])=$B$9)&gt;0)*(($B$10="ALL")+(Table1[Resort]=$B$10)&gt;0)*(TRIM(Table1[Hotel Name])=$Q35)*IFERROR(Table1[NTS]+0,0)*IFERROR(Table1[No RMS]+0,0)))</f>
        <v>0</v>
      </c>
      <c r="U35" s="148" cm="1">
        <f t="array" ref="U35">IF($Q35="",0,SUMPRODUCT((Table1[Arr Date]&gt;=$B$5)*(Table1[Arr Date]&lt;=$B$6)*(($B$7="ALL")+(Table1[HTL BKG Status]=$B$7)&gt;0)*(($B$8="ALL")+(Table1[T/O]=$B$8)&gt;0)*(($B$9="ALL")+(TRIM(Table1[Market])=$B$9)&gt;0)*(($B$10="ALL")+(Table1[Resort]=$B$10)&gt;0)*(TRIM(Table1[Hotel Name])=$Q35)*IFERROR(Table1[Selling EUR]+0,0)))</f>
        <v>0</v>
      </c>
      <c r="V35" s="148" cm="1">
        <f t="array" ref="V35">IF($Q35="",0,SUMPRODUCT((Table1[Arr Date]&gt;=$B$5)*(Table1[Arr Date]&lt;=$B$6)*(($B$7="ALL")+(Table1[HTL BKG Status]=$B$7)&gt;0)*(($B$8="ALL")+(Table1[T/O]=$B$8)&gt;0)*(($B$9="ALL")+(TRIM(Table1[Market])=$B$9)&gt;0)*(($B$10="ALL")+(Table1[Resort]=$B$10)&gt;0)*(TRIM(Table1[Hotel Name])=$Q35)*IFERROR(Table1[P/L EUR]+0,0)))</f>
        <v>0</v>
      </c>
      <c r="W35" s="148">
        <f t="shared" si="0"/>
        <v>3.5E-4</v>
      </c>
      <c r="X35" s="148"/>
      <c r="Y35" s="148">
        <v>45971</v>
      </c>
      <c r="Z35" s="148">
        <v>16689096</v>
      </c>
      <c r="AA35" s="148" t="s">
        <v>81</v>
      </c>
      <c r="AB35" s="148">
        <v>45987</v>
      </c>
      <c r="AC35" s="148">
        <v>989.6</v>
      </c>
      <c r="AD35" s="148">
        <f t="shared" ca="1" si="1"/>
        <v>-231</v>
      </c>
      <c r="AE35" s="148">
        <f t="shared" ca="1" si="2"/>
        <v>-10000000000</v>
      </c>
    </row>
    <row r="36" spans="1:31" x14ac:dyDescent="0.3">
      <c r="A36" s="220">
        <f t="shared" si="4"/>
        <v>13</v>
      </c>
      <c r="B36" s="167" t="str">
        <f t="shared" si="5"/>
        <v>THE THREE CORNERS SEA BEACH RESORT</v>
      </c>
      <c r="C36" s="168">
        <f t="shared" si="6"/>
        <v>0</v>
      </c>
      <c r="D36" s="168">
        <f t="shared" si="7"/>
        <v>0</v>
      </c>
      <c r="E36" s="168">
        <f t="shared" si="8"/>
        <v>0</v>
      </c>
      <c r="F36" s="169">
        <f t="shared" si="9"/>
        <v>0</v>
      </c>
      <c r="G36" s="170">
        <f t="shared" si="10"/>
        <v>0</v>
      </c>
      <c r="H36" s="223">
        <f t="shared" si="11"/>
        <v>0</v>
      </c>
      <c r="I36" s="148"/>
      <c r="J36" s="229">
        <f t="shared" ca="1" si="12"/>
        <v>23</v>
      </c>
      <c r="K36" s="173">
        <f t="shared" ca="1" si="13"/>
        <v>46225</v>
      </c>
      <c r="L36" s="174">
        <f t="shared" ca="1" si="14"/>
        <v>17381256</v>
      </c>
      <c r="M36" s="175" t="str">
        <f t="shared" ca="1" si="15"/>
        <v>THE THREE CORNERS SUNNY BEACH RESORT HURGHADA</v>
      </c>
      <c r="N36" s="173">
        <f t="shared" ca="1" si="16"/>
        <v>46233</v>
      </c>
      <c r="O36" s="232">
        <f t="shared" ca="1" si="17"/>
        <v>919.8</v>
      </c>
      <c r="P36" s="148"/>
      <c r="Q36" s="148" t="s">
        <v>122</v>
      </c>
      <c r="R36" s="148" cm="1">
        <f t="array" ref="R36">IF($Q36="",0,SUMPRODUCT((Table1[Arr Date]&gt;=$B$5)*(Table1[Arr Date]&lt;=$B$6)*(($B$7="ALL")+(Table1[HTL BKG Status]=$B$7)&gt;0)*(($B$8="ALL")+(Table1[T/O]=$B$8)&gt;0)*(($B$9="ALL")+(TRIM(Table1[Market])=$B$9)&gt;0)*(($B$10="ALL")+(Table1[Resort]=$B$10)&gt;0)*(TRIM(Table1[Hotel Name])=$Q36)))</f>
        <v>0</v>
      </c>
      <c r="S36" s="148" cm="1">
        <f t="array" ref="S36">IF($Q36="",0,SUMPRODUCT((Table1[Arr Date]&gt;=$B$5)*(Table1[Arr Date]&lt;=$B$6)*(($B$7="ALL")+(Table1[HTL BKG Status]=$B$7)&gt;0)*(($B$8="ALL")+(Table1[T/O]=$B$8)&gt;0)*(($B$9="ALL")+(TRIM(Table1[Market])=$B$9)&gt;0)*(($B$10="ALL")+(Table1[Resort]=$B$10)&gt;0)*(TRIM(Table1[Hotel Name])=$Q36)*IFERROR(Table1[No RMS]+0,0)))</f>
        <v>0</v>
      </c>
      <c r="T36" s="148" cm="1">
        <f t="array" ref="T36">IF($Q36="",0,SUMPRODUCT((Table1[Arr Date]&gt;=$B$5)*(Table1[Arr Date]&lt;=$B$6)*(($B$7="ALL")+(Table1[HTL BKG Status]=$B$7)&gt;0)*(($B$8="ALL")+(Table1[T/O]=$B$8)&gt;0)*(($B$9="ALL")+(TRIM(Table1[Market])=$B$9)&gt;0)*(($B$10="ALL")+(Table1[Resort]=$B$10)&gt;0)*(TRIM(Table1[Hotel Name])=$Q36)*IFERROR(Table1[NTS]+0,0)*IFERROR(Table1[No RMS]+0,0)))</f>
        <v>0</v>
      </c>
      <c r="U36" s="148" cm="1">
        <f t="array" ref="U36">IF($Q36="",0,SUMPRODUCT((Table1[Arr Date]&gt;=$B$5)*(Table1[Arr Date]&lt;=$B$6)*(($B$7="ALL")+(Table1[HTL BKG Status]=$B$7)&gt;0)*(($B$8="ALL")+(Table1[T/O]=$B$8)&gt;0)*(($B$9="ALL")+(TRIM(Table1[Market])=$B$9)&gt;0)*(($B$10="ALL")+(Table1[Resort]=$B$10)&gt;0)*(TRIM(Table1[Hotel Name])=$Q36)*IFERROR(Table1[Selling EUR]+0,0)))</f>
        <v>0</v>
      </c>
      <c r="V36" s="148" cm="1">
        <f t="array" ref="V36">IF($Q36="",0,SUMPRODUCT((Table1[Arr Date]&gt;=$B$5)*(Table1[Arr Date]&lt;=$B$6)*(($B$7="ALL")+(Table1[HTL BKG Status]=$B$7)&gt;0)*(($B$8="ALL")+(Table1[T/O]=$B$8)&gt;0)*(($B$9="ALL")+(TRIM(Table1[Market])=$B$9)&gt;0)*(($B$10="ALL")+(Table1[Resort]=$B$10)&gt;0)*(TRIM(Table1[Hotel Name])=$Q36)*IFERROR(Table1[P/L EUR]+0,0)))</f>
        <v>0</v>
      </c>
      <c r="W36" s="148">
        <f t="shared" si="0"/>
        <v>3.6000000000000002E-4</v>
      </c>
      <c r="X36" s="148"/>
      <c r="Y36" s="148">
        <v>46092</v>
      </c>
      <c r="Z36" s="148">
        <v>16688615</v>
      </c>
      <c r="AA36" s="148" t="s">
        <v>82</v>
      </c>
      <c r="AB36" s="148">
        <v>46097</v>
      </c>
      <c r="AC36" s="148">
        <v>660.07</v>
      </c>
      <c r="AD36" s="148">
        <f t="shared" ca="1" si="1"/>
        <v>-110</v>
      </c>
      <c r="AE36" s="148">
        <f t="shared" ca="1" si="2"/>
        <v>-10000000000</v>
      </c>
    </row>
    <row r="37" spans="1:31" x14ac:dyDescent="0.3">
      <c r="A37" s="221">
        <f t="shared" si="4"/>
        <v>14</v>
      </c>
      <c r="B37" s="163" t="str">
        <f t="shared" si="5"/>
        <v>XPERIENCE KIROSEIZ PARKLAND</v>
      </c>
      <c r="C37" s="164">
        <f t="shared" si="6"/>
        <v>0</v>
      </c>
      <c r="D37" s="164">
        <f t="shared" si="7"/>
        <v>0</v>
      </c>
      <c r="E37" s="164">
        <f t="shared" si="8"/>
        <v>0</v>
      </c>
      <c r="F37" s="165">
        <f t="shared" si="9"/>
        <v>0</v>
      </c>
      <c r="G37" s="166">
        <f t="shared" si="10"/>
        <v>0</v>
      </c>
      <c r="H37" s="224">
        <f t="shared" si="11"/>
        <v>0</v>
      </c>
      <c r="I37" s="148"/>
      <c r="J37" s="230">
        <f t="shared" ca="1" si="12"/>
        <v>27</v>
      </c>
      <c r="K37" s="171">
        <f t="shared" ca="1" si="13"/>
        <v>46229</v>
      </c>
      <c r="L37" s="172">
        <f t="shared" ca="1" si="14"/>
        <v>17615137</v>
      </c>
      <c r="M37" s="163" t="str">
        <f t="shared" ca="1" si="15"/>
        <v xml:space="preserve">CLEOPATRA LUXURY RESORT MAKADI BAY </v>
      </c>
      <c r="N37" s="171">
        <f t="shared" ca="1" si="16"/>
        <v>46238</v>
      </c>
      <c r="O37" s="233">
        <f t="shared" ca="1" si="17"/>
        <v>1920</v>
      </c>
      <c r="P37" s="148"/>
      <c r="Q37" s="148" t="s">
        <v>144</v>
      </c>
      <c r="R37" s="148" cm="1">
        <f t="array" ref="R37">IF($Q37="",0,SUMPRODUCT((Table1[Arr Date]&gt;=$B$5)*(Table1[Arr Date]&lt;=$B$6)*(($B$7="ALL")+(Table1[HTL BKG Status]=$B$7)&gt;0)*(($B$8="ALL")+(Table1[T/O]=$B$8)&gt;0)*(($B$9="ALL")+(TRIM(Table1[Market])=$B$9)&gt;0)*(($B$10="ALL")+(Table1[Resort]=$B$10)&gt;0)*(TRIM(Table1[Hotel Name])=$Q37)))</f>
        <v>0</v>
      </c>
      <c r="S37" s="148" cm="1">
        <f t="array" ref="S37">IF($Q37="",0,SUMPRODUCT((Table1[Arr Date]&gt;=$B$5)*(Table1[Arr Date]&lt;=$B$6)*(($B$7="ALL")+(Table1[HTL BKG Status]=$B$7)&gt;0)*(($B$8="ALL")+(Table1[T/O]=$B$8)&gt;0)*(($B$9="ALL")+(TRIM(Table1[Market])=$B$9)&gt;0)*(($B$10="ALL")+(Table1[Resort]=$B$10)&gt;0)*(TRIM(Table1[Hotel Name])=$Q37)*IFERROR(Table1[No RMS]+0,0)))</f>
        <v>0</v>
      </c>
      <c r="T37" s="148" cm="1">
        <f t="array" ref="T37">IF($Q37="",0,SUMPRODUCT((Table1[Arr Date]&gt;=$B$5)*(Table1[Arr Date]&lt;=$B$6)*(($B$7="ALL")+(Table1[HTL BKG Status]=$B$7)&gt;0)*(($B$8="ALL")+(Table1[T/O]=$B$8)&gt;0)*(($B$9="ALL")+(TRIM(Table1[Market])=$B$9)&gt;0)*(($B$10="ALL")+(Table1[Resort]=$B$10)&gt;0)*(TRIM(Table1[Hotel Name])=$Q37)*IFERROR(Table1[NTS]+0,0)*IFERROR(Table1[No RMS]+0,0)))</f>
        <v>0</v>
      </c>
      <c r="U37" s="148" cm="1">
        <f t="array" ref="U37">IF($Q37="",0,SUMPRODUCT((Table1[Arr Date]&gt;=$B$5)*(Table1[Arr Date]&lt;=$B$6)*(($B$7="ALL")+(Table1[HTL BKG Status]=$B$7)&gt;0)*(($B$8="ALL")+(Table1[T/O]=$B$8)&gt;0)*(($B$9="ALL")+(TRIM(Table1[Market])=$B$9)&gt;0)*(($B$10="ALL")+(Table1[Resort]=$B$10)&gt;0)*(TRIM(Table1[Hotel Name])=$Q37)*IFERROR(Table1[Selling EUR]+0,0)))</f>
        <v>0</v>
      </c>
      <c r="V37" s="148" cm="1">
        <f t="array" ref="V37">IF($Q37="",0,SUMPRODUCT((Table1[Arr Date]&gt;=$B$5)*(Table1[Arr Date]&lt;=$B$6)*(($B$7="ALL")+(Table1[HTL BKG Status]=$B$7)&gt;0)*(($B$8="ALL")+(Table1[T/O]=$B$8)&gt;0)*(($B$9="ALL")+(TRIM(Table1[Market])=$B$9)&gt;0)*(($B$10="ALL")+(Table1[Resort]=$B$10)&gt;0)*(TRIM(Table1[Hotel Name])=$Q37)*IFERROR(Table1[P/L EUR]+0,0)))</f>
        <v>0</v>
      </c>
      <c r="W37" s="148">
        <f t="shared" si="0"/>
        <v>3.6999999999999999E-4</v>
      </c>
      <c r="X37" s="148"/>
      <c r="Y37" s="148">
        <v>45942</v>
      </c>
      <c r="Z37" s="148">
        <v>13470322</v>
      </c>
      <c r="AA37" s="148" t="s">
        <v>85</v>
      </c>
      <c r="AB37" s="148">
        <v>45953</v>
      </c>
      <c r="AC37" s="148">
        <v>0</v>
      </c>
      <c r="AD37" s="148">
        <f t="shared" ca="1" si="1"/>
        <v>-260</v>
      </c>
      <c r="AE37" s="148">
        <f t="shared" ca="1" si="2"/>
        <v>-10000000000</v>
      </c>
    </row>
    <row r="38" spans="1:31" x14ac:dyDescent="0.3">
      <c r="A38" s="222">
        <f t="shared" si="4"/>
        <v>15</v>
      </c>
      <c r="B38" s="216" t="str">
        <f t="shared" si="5"/>
        <v>AMC ROYAL HOTEL &amp; SPA</v>
      </c>
      <c r="C38" s="217">
        <f t="shared" si="6"/>
        <v>0</v>
      </c>
      <c r="D38" s="217">
        <f t="shared" si="7"/>
        <v>0</v>
      </c>
      <c r="E38" s="217">
        <f t="shared" si="8"/>
        <v>0</v>
      </c>
      <c r="F38" s="218">
        <f t="shared" si="9"/>
        <v>0</v>
      </c>
      <c r="G38" s="219">
        <f t="shared" si="10"/>
        <v>0</v>
      </c>
      <c r="H38" s="225">
        <f t="shared" si="11"/>
        <v>0</v>
      </c>
      <c r="I38" s="148"/>
      <c r="J38" s="231">
        <f t="shared" ca="1" si="12"/>
        <v>27</v>
      </c>
      <c r="K38" s="226">
        <f t="shared" ca="1" si="13"/>
        <v>46229</v>
      </c>
      <c r="L38" s="227">
        <f t="shared" ca="1" si="14"/>
        <v>17534028</v>
      </c>
      <c r="M38" s="228" t="str">
        <f t="shared" ca="1" si="15"/>
        <v>THE THREE CORNERS SUNNY BEACH RESORT HURGHADA</v>
      </c>
      <c r="N38" s="226">
        <f t="shared" ca="1" si="16"/>
        <v>46238</v>
      </c>
      <c r="O38" s="234">
        <f t="shared" ca="1" si="17"/>
        <v>939.6</v>
      </c>
      <c r="P38" s="148"/>
      <c r="Q38" s="148" t="s">
        <v>87</v>
      </c>
      <c r="R38" s="148" cm="1">
        <f t="array" ref="R38">IF($Q38="",0,SUMPRODUCT((Table1[Arr Date]&gt;=$B$5)*(Table1[Arr Date]&lt;=$B$6)*(($B$7="ALL")+(Table1[HTL BKG Status]=$B$7)&gt;0)*(($B$8="ALL")+(Table1[T/O]=$B$8)&gt;0)*(($B$9="ALL")+(TRIM(Table1[Market])=$B$9)&gt;0)*(($B$10="ALL")+(Table1[Resort]=$B$10)&gt;0)*(TRIM(Table1[Hotel Name])=$Q38)))</f>
        <v>0</v>
      </c>
      <c r="S38" s="148" cm="1">
        <f t="array" ref="S38">IF($Q38="",0,SUMPRODUCT((Table1[Arr Date]&gt;=$B$5)*(Table1[Arr Date]&lt;=$B$6)*(($B$7="ALL")+(Table1[HTL BKG Status]=$B$7)&gt;0)*(($B$8="ALL")+(Table1[T/O]=$B$8)&gt;0)*(($B$9="ALL")+(TRIM(Table1[Market])=$B$9)&gt;0)*(($B$10="ALL")+(Table1[Resort]=$B$10)&gt;0)*(TRIM(Table1[Hotel Name])=$Q38)*IFERROR(Table1[No RMS]+0,0)))</f>
        <v>0</v>
      </c>
      <c r="T38" s="148" cm="1">
        <f t="array" ref="T38">IF($Q38="",0,SUMPRODUCT((Table1[Arr Date]&gt;=$B$5)*(Table1[Arr Date]&lt;=$B$6)*(($B$7="ALL")+(Table1[HTL BKG Status]=$B$7)&gt;0)*(($B$8="ALL")+(Table1[T/O]=$B$8)&gt;0)*(($B$9="ALL")+(TRIM(Table1[Market])=$B$9)&gt;0)*(($B$10="ALL")+(Table1[Resort]=$B$10)&gt;0)*(TRIM(Table1[Hotel Name])=$Q38)*IFERROR(Table1[NTS]+0,0)*IFERROR(Table1[No RMS]+0,0)))</f>
        <v>0</v>
      </c>
      <c r="U38" s="148" cm="1">
        <f t="array" ref="U38">IF($Q38="",0,SUMPRODUCT((Table1[Arr Date]&gt;=$B$5)*(Table1[Arr Date]&lt;=$B$6)*(($B$7="ALL")+(Table1[HTL BKG Status]=$B$7)&gt;0)*(($B$8="ALL")+(Table1[T/O]=$B$8)&gt;0)*(($B$9="ALL")+(TRIM(Table1[Market])=$B$9)&gt;0)*(($B$10="ALL")+(Table1[Resort]=$B$10)&gt;0)*(TRIM(Table1[Hotel Name])=$Q38)*IFERROR(Table1[Selling EUR]+0,0)))</f>
        <v>0</v>
      </c>
      <c r="V38" s="148" cm="1">
        <f t="array" ref="V38">IF($Q38="",0,SUMPRODUCT((Table1[Arr Date]&gt;=$B$5)*(Table1[Arr Date]&lt;=$B$6)*(($B$7="ALL")+(Table1[HTL BKG Status]=$B$7)&gt;0)*(($B$8="ALL")+(Table1[T/O]=$B$8)&gt;0)*(($B$9="ALL")+(TRIM(Table1[Market])=$B$9)&gt;0)*(($B$10="ALL")+(Table1[Resort]=$B$10)&gt;0)*(TRIM(Table1[Hotel Name])=$Q38)*IFERROR(Table1[P/L EUR]+0,0)))</f>
        <v>0</v>
      </c>
      <c r="W38" s="148">
        <f t="shared" si="0"/>
        <v>3.8000000000000002E-4</v>
      </c>
      <c r="X38" s="148"/>
      <c r="Y38" s="148">
        <v>45963</v>
      </c>
      <c r="Z38" s="148">
        <v>16754142</v>
      </c>
      <c r="AA38" s="148" t="s">
        <v>86</v>
      </c>
      <c r="AB38" s="148">
        <v>45972</v>
      </c>
      <c r="AC38" s="148">
        <v>2443.6999999999998</v>
      </c>
      <c r="AD38" s="148">
        <f t="shared" ca="1" si="1"/>
        <v>-239</v>
      </c>
      <c r="AE38" s="148">
        <f t="shared" ca="1" si="2"/>
        <v>-10000000000</v>
      </c>
    </row>
    <row r="39" spans="1:31" x14ac:dyDescent="0.3">
      <c r="A39" s="148"/>
      <c r="B39" s="148"/>
      <c r="C39" s="148"/>
      <c r="D39" s="148"/>
      <c r="E39" s="148"/>
      <c r="F39" s="148"/>
      <c r="G39" s="148"/>
      <c r="H39" s="148"/>
      <c r="I39" s="148"/>
      <c r="J39" s="148"/>
      <c r="K39" s="148"/>
      <c r="L39" s="148"/>
      <c r="M39" s="148"/>
      <c r="N39" s="148"/>
      <c r="O39" s="148"/>
      <c r="P39" s="148"/>
      <c r="Q39" s="148" t="s">
        <v>92</v>
      </c>
      <c r="R39" s="148" cm="1">
        <f t="array" ref="R39">IF($Q39="",0,SUMPRODUCT((Table1[Arr Date]&gt;=$B$5)*(Table1[Arr Date]&lt;=$B$6)*(($B$7="ALL")+(Table1[HTL BKG Status]=$B$7)&gt;0)*(($B$8="ALL")+(Table1[T/O]=$B$8)&gt;0)*(($B$9="ALL")+(TRIM(Table1[Market])=$B$9)&gt;0)*(($B$10="ALL")+(Table1[Resort]=$B$10)&gt;0)*(TRIM(Table1[Hotel Name])=$Q39)))</f>
        <v>0</v>
      </c>
      <c r="S39" s="148" cm="1">
        <f t="array" ref="S39">IF($Q39="",0,SUMPRODUCT((Table1[Arr Date]&gt;=$B$5)*(Table1[Arr Date]&lt;=$B$6)*(($B$7="ALL")+(Table1[HTL BKG Status]=$B$7)&gt;0)*(($B$8="ALL")+(Table1[T/O]=$B$8)&gt;0)*(($B$9="ALL")+(TRIM(Table1[Market])=$B$9)&gt;0)*(($B$10="ALL")+(Table1[Resort]=$B$10)&gt;0)*(TRIM(Table1[Hotel Name])=$Q39)*IFERROR(Table1[No RMS]+0,0)))</f>
        <v>0</v>
      </c>
      <c r="T39" s="148" cm="1">
        <f t="array" ref="T39">IF($Q39="",0,SUMPRODUCT((Table1[Arr Date]&gt;=$B$5)*(Table1[Arr Date]&lt;=$B$6)*(($B$7="ALL")+(Table1[HTL BKG Status]=$B$7)&gt;0)*(($B$8="ALL")+(Table1[T/O]=$B$8)&gt;0)*(($B$9="ALL")+(TRIM(Table1[Market])=$B$9)&gt;0)*(($B$10="ALL")+(Table1[Resort]=$B$10)&gt;0)*(TRIM(Table1[Hotel Name])=$Q39)*IFERROR(Table1[NTS]+0,0)*IFERROR(Table1[No RMS]+0,0)))</f>
        <v>0</v>
      </c>
      <c r="U39" s="148" cm="1">
        <f t="array" ref="U39">IF($Q39="",0,SUMPRODUCT((Table1[Arr Date]&gt;=$B$5)*(Table1[Arr Date]&lt;=$B$6)*(($B$7="ALL")+(Table1[HTL BKG Status]=$B$7)&gt;0)*(($B$8="ALL")+(Table1[T/O]=$B$8)&gt;0)*(($B$9="ALL")+(TRIM(Table1[Market])=$B$9)&gt;0)*(($B$10="ALL")+(Table1[Resort]=$B$10)&gt;0)*(TRIM(Table1[Hotel Name])=$Q39)*IFERROR(Table1[Selling EUR]+0,0)))</f>
        <v>0</v>
      </c>
      <c r="V39" s="148" cm="1">
        <f t="array" ref="V39">IF($Q39="",0,SUMPRODUCT((Table1[Arr Date]&gt;=$B$5)*(Table1[Arr Date]&lt;=$B$6)*(($B$7="ALL")+(Table1[HTL BKG Status]=$B$7)&gt;0)*(($B$8="ALL")+(Table1[T/O]=$B$8)&gt;0)*(($B$9="ALL")+(TRIM(Table1[Market])=$B$9)&gt;0)*(($B$10="ALL")+(Table1[Resort]=$B$10)&gt;0)*(TRIM(Table1[Hotel Name])=$Q39)*IFERROR(Table1[P/L EUR]+0,0)))</f>
        <v>0</v>
      </c>
      <c r="W39" s="148">
        <f t="shared" si="0"/>
        <v>3.8999999999999999E-4</v>
      </c>
      <c r="X39" s="148"/>
      <c r="Y39" s="148">
        <v>45966</v>
      </c>
      <c r="Z39" s="148">
        <v>16757480</v>
      </c>
      <c r="AA39" s="148" t="s">
        <v>87</v>
      </c>
      <c r="AB39" s="148">
        <v>45975</v>
      </c>
      <c r="AC39" s="148">
        <v>210</v>
      </c>
      <c r="AD39" s="148">
        <f t="shared" ca="1" si="1"/>
        <v>-236</v>
      </c>
      <c r="AE39" s="148">
        <f t="shared" ca="1" si="2"/>
        <v>-10000000000</v>
      </c>
    </row>
    <row r="40" spans="1:31" ht="16.8" x14ac:dyDescent="0.4">
      <c r="A40" s="342" t="s">
        <v>1363</v>
      </c>
      <c r="B40" s="343"/>
      <c r="C40" s="343"/>
      <c r="D40" s="343"/>
      <c r="E40" s="343"/>
      <c r="F40" s="343"/>
      <c r="G40" s="343"/>
      <c r="H40" s="344"/>
      <c r="I40" s="148"/>
      <c r="J40" s="148"/>
      <c r="K40" s="148"/>
      <c r="L40" s="148"/>
      <c r="M40" s="148"/>
      <c r="N40" s="148"/>
      <c r="O40" s="148"/>
      <c r="P40" s="148"/>
      <c r="Q40" s="148" t="s">
        <v>118</v>
      </c>
      <c r="R40" s="148" cm="1">
        <f t="array" ref="R40">IF($Q40="",0,SUMPRODUCT((Table1[Arr Date]&gt;=$B$5)*(Table1[Arr Date]&lt;=$B$6)*(($B$7="ALL")+(Table1[HTL BKG Status]=$B$7)&gt;0)*(($B$8="ALL")+(Table1[T/O]=$B$8)&gt;0)*(($B$9="ALL")+(TRIM(Table1[Market])=$B$9)&gt;0)*(($B$10="ALL")+(Table1[Resort]=$B$10)&gt;0)*(TRIM(Table1[Hotel Name])=$Q40)))</f>
        <v>0</v>
      </c>
      <c r="S40" s="148" cm="1">
        <f t="array" ref="S40">IF($Q40="",0,SUMPRODUCT((Table1[Arr Date]&gt;=$B$5)*(Table1[Arr Date]&lt;=$B$6)*(($B$7="ALL")+(Table1[HTL BKG Status]=$B$7)&gt;0)*(($B$8="ALL")+(Table1[T/O]=$B$8)&gt;0)*(($B$9="ALL")+(TRIM(Table1[Market])=$B$9)&gt;0)*(($B$10="ALL")+(Table1[Resort]=$B$10)&gt;0)*(TRIM(Table1[Hotel Name])=$Q40)*IFERROR(Table1[No RMS]+0,0)))</f>
        <v>0</v>
      </c>
      <c r="T40" s="148" cm="1">
        <f t="array" ref="T40">IF($Q40="",0,SUMPRODUCT((Table1[Arr Date]&gt;=$B$5)*(Table1[Arr Date]&lt;=$B$6)*(($B$7="ALL")+(Table1[HTL BKG Status]=$B$7)&gt;0)*(($B$8="ALL")+(Table1[T/O]=$B$8)&gt;0)*(($B$9="ALL")+(TRIM(Table1[Market])=$B$9)&gt;0)*(($B$10="ALL")+(Table1[Resort]=$B$10)&gt;0)*(TRIM(Table1[Hotel Name])=$Q40)*IFERROR(Table1[NTS]+0,0)*IFERROR(Table1[No RMS]+0,0)))</f>
        <v>0</v>
      </c>
      <c r="U40" s="148" cm="1">
        <f t="array" ref="U40">IF($Q40="",0,SUMPRODUCT((Table1[Arr Date]&gt;=$B$5)*(Table1[Arr Date]&lt;=$B$6)*(($B$7="ALL")+(Table1[HTL BKG Status]=$B$7)&gt;0)*(($B$8="ALL")+(Table1[T/O]=$B$8)&gt;0)*(($B$9="ALL")+(TRIM(Table1[Market])=$B$9)&gt;0)*(($B$10="ALL")+(Table1[Resort]=$B$10)&gt;0)*(TRIM(Table1[Hotel Name])=$Q40)*IFERROR(Table1[Selling EUR]+0,0)))</f>
        <v>0</v>
      </c>
      <c r="V40" s="148" cm="1">
        <f t="array" ref="V40">IF($Q40="",0,SUMPRODUCT((Table1[Arr Date]&gt;=$B$5)*(Table1[Arr Date]&lt;=$B$6)*(($B$7="ALL")+(Table1[HTL BKG Status]=$B$7)&gt;0)*(($B$8="ALL")+(Table1[T/O]=$B$8)&gt;0)*(($B$9="ALL")+(TRIM(Table1[Market])=$B$9)&gt;0)*(($B$10="ALL")+(Table1[Resort]=$B$10)&gt;0)*(TRIM(Table1[Hotel Name])=$Q40)*IFERROR(Table1[P/L EUR]+0,0)))</f>
        <v>0</v>
      </c>
      <c r="W40" s="148">
        <f t="shared" si="0"/>
        <v>4.0000000000000002E-4</v>
      </c>
      <c r="X40" s="148"/>
      <c r="Y40" s="148">
        <v>45970</v>
      </c>
      <c r="Z40" s="148">
        <v>16755353</v>
      </c>
      <c r="AA40" s="148" t="s">
        <v>86</v>
      </c>
      <c r="AB40" s="148">
        <v>45979</v>
      </c>
      <c r="AC40" s="148">
        <v>3049.2</v>
      </c>
      <c r="AD40" s="148">
        <f t="shared" ca="1" si="1"/>
        <v>-232</v>
      </c>
      <c r="AE40" s="148">
        <f t="shared" ca="1" si="2"/>
        <v>-10000000000</v>
      </c>
    </row>
    <row r="41" spans="1:31" x14ac:dyDescent="0.3">
      <c r="A41" s="187" t="s">
        <v>1364</v>
      </c>
      <c r="B41" s="159" t="s">
        <v>1342</v>
      </c>
      <c r="C41" s="159" t="s">
        <v>1326</v>
      </c>
      <c r="D41" s="159" t="s">
        <v>1330</v>
      </c>
      <c r="E41" s="159" t="s">
        <v>28</v>
      </c>
      <c r="F41" s="159" t="s">
        <v>29</v>
      </c>
      <c r="G41" s="159" t="s">
        <v>1343</v>
      </c>
      <c r="H41" s="194" t="s">
        <v>1365</v>
      </c>
      <c r="I41" s="148"/>
      <c r="J41" s="151" t="s">
        <v>1364</v>
      </c>
      <c r="K41" s="151" t="s">
        <v>29</v>
      </c>
      <c r="L41" s="148"/>
      <c r="M41" s="148"/>
      <c r="N41" s="148"/>
      <c r="O41" s="148"/>
      <c r="P41" s="148"/>
      <c r="Q41" s="148" t="s">
        <v>127</v>
      </c>
      <c r="R41" s="148" cm="1">
        <f t="array" ref="R41">IF($Q41="",0,SUMPRODUCT((Table1[Arr Date]&gt;=$B$5)*(Table1[Arr Date]&lt;=$B$6)*(($B$7="ALL")+(Table1[HTL BKG Status]=$B$7)&gt;0)*(($B$8="ALL")+(Table1[T/O]=$B$8)&gt;0)*(($B$9="ALL")+(TRIM(Table1[Market])=$B$9)&gt;0)*(($B$10="ALL")+(Table1[Resort]=$B$10)&gt;0)*(TRIM(Table1[Hotel Name])=$Q41)))</f>
        <v>0</v>
      </c>
      <c r="S41" s="148" cm="1">
        <f t="array" ref="S41">IF($Q41="",0,SUMPRODUCT((Table1[Arr Date]&gt;=$B$5)*(Table1[Arr Date]&lt;=$B$6)*(($B$7="ALL")+(Table1[HTL BKG Status]=$B$7)&gt;0)*(($B$8="ALL")+(Table1[T/O]=$B$8)&gt;0)*(($B$9="ALL")+(TRIM(Table1[Market])=$B$9)&gt;0)*(($B$10="ALL")+(Table1[Resort]=$B$10)&gt;0)*(TRIM(Table1[Hotel Name])=$Q41)*IFERROR(Table1[No RMS]+0,0)))</f>
        <v>0</v>
      </c>
      <c r="T41" s="148" cm="1">
        <f t="array" ref="T41">IF($Q41="",0,SUMPRODUCT((Table1[Arr Date]&gt;=$B$5)*(Table1[Arr Date]&lt;=$B$6)*(($B$7="ALL")+(Table1[HTL BKG Status]=$B$7)&gt;0)*(($B$8="ALL")+(Table1[T/O]=$B$8)&gt;0)*(($B$9="ALL")+(TRIM(Table1[Market])=$B$9)&gt;0)*(($B$10="ALL")+(Table1[Resort]=$B$10)&gt;0)*(TRIM(Table1[Hotel Name])=$Q41)*IFERROR(Table1[NTS]+0,0)*IFERROR(Table1[No RMS]+0,0)))</f>
        <v>0</v>
      </c>
      <c r="U41" s="148" cm="1">
        <f t="array" ref="U41">IF($Q41="",0,SUMPRODUCT((Table1[Arr Date]&gt;=$B$5)*(Table1[Arr Date]&lt;=$B$6)*(($B$7="ALL")+(Table1[HTL BKG Status]=$B$7)&gt;0)*(($B$8="ALL")+(Table1[T/O]=$B$8)&gt;0)*(($B$9="ALL")+(TRIM(Table1[Market])=$B$9)&gt;0)*(($B$10="ALL")+(Table1[Resort]=$B$10)&gt;0)*(TRIM(Table1[Hotel Name])=$Q41)*IFERROR(Table1[Selling EUR]+0,0)))</f>
        <v>0</v>
      </c>
      <c r="V41" s="148" cm="1">
        <f t="array" ref="V41">IF($Q41="",0,SUMPRODUCT((Table1[Arr Date]&gt;=$B$5)*(Table1[Arr Date]&lt;=$B$6)*(($B$7="ALL")+(Table1[HTL BKG Status]=$B$7)&gt;0)*(($B$8="ALL")+(Table1[T/O]=$B$8)&gt;0)*(($B$9="ALL")+(TRIM(Table1[Market])=$B$9)&gt;0)*(($B$10="ALL")+(Table1[Resort]=$B$10)&gt;0)*(TRIM(Table1[Hotel Name])=$Q41)*IFERROR(Table1[P/L EUR]+0,0)))</f>
        <v>0</v>
      </c>
      <c r="W41" s="148">
        <f t="shared" si="0"/>
        <v>4.0999999999999999E-4</v>
      </c>
      <c r="X41" s="148"/>
      <c r="Y41" s="148">
        <v>46006</v>
      </c>
      <c r="Z41" s="148">
        <v>16758204</v>
      </c>
      <c r="AA41" s="148" t="s">
        <v>64</v>
      </c>
      <c r="AB41" s="148">
        <v>46014</v>
      </c>
      <c r="AC41" s="148">
        <v>774</v>
      </c>
      <c r="AD41" s="148">
        <f t="shared" ca="1" si="1"/>
        <v>-196</v>
      </c>
      <c r="AE41" s="148">
        <f t="shared" ca="1" si="2"/>
        <v>-10000000000</v>
      </c>
    </row>
    <row r="42" spans="1:31" ht="15" x14ac:dyDescent="0.35">
      <c r="A42" s="236">
        <f>DATE(YEAR($B$5),MONTH($B$5),1)</f>
        <v>46204</v>
      </c>
      <c r="B42" s="178" cm="1">
        <f t="array" ref="B42">SUMPRODUCT((Table1[Arr Date]&gt;=MAX($B$5,$A42))*(Table1[Arr Date]&lt;=MIN($B$6,EOMONTH($A42,0)))*(($B$7="ALL")+(Table1[HTL BKG Status]=$B$7)&gt;0)*(($B$8="ALL")+(Table1[T/O]=$B$8)&gt;0)*(($B$9="ALL")+(TRIM(Table1[Market])=$B$9)&gt;0)*(($B$10="ALL")+(Table1[Resort]=$B$10)&gt;0))</f>
        <v>23</v>
      </c>
      <c r="C42" s="178" cm="1">
        <f t="array" ref="C42">SUMPRODUCT((Table1[Arr Date]&gt;=MAX($B$5,$A42))*(Table1[Arr Date]&lt;=MIN($B$6,EOMONTH($A42,0)))*(($B$7="ALL")+(Table1[HTL BKG Status]=$B$7)&gt;0)*(($B$8="ALL")+(Table1[T/O]=$B$8)&gt;0)*(($B$9="ALL")+(TRIM(Table1[Market])=$B$9)&gt;0)*(($B$10="ALL")+(Table1[Resort]=$B$10)&gt;0)*IFERROR(Table1[No RMS]+0,0))</f>
        <v>24</v>
      </c>
      <c r="D42" s="178" cm="1">
        <f t="array" ref="D42">SUMPRODUCT((Table1[Arr Date]&gt;=MAX($B$5,$A42))*(Table1[Arr Date]&lt;=MIN($B$6,EOMONTH($A42,0)))*(($B$7="ALL")+(Table1[HTL BKG Status]=$B$7)&gt;0)*(($B$8="ALL")+(Table1[T/O]=$B$8)&gt;0)*(($B$9="ALL")+(TRIM(Table1[Market])=$B$9)&gt;0)*(($B$10="ALL")+(Table1[Resort]=$B$10)&gt;0)*IFERROR(Table1[NTS]+0,0)*IFERROR(Table1[No RMS]+0,0))</f>
        <v>242</v>
      </c>
      <c r="E42" s="179" cm="1">
        <f t="array" ref="E42">SUMPRODUCT((Table1[Arr Date]&gt;=MAX($B$5,$A42))*(Table1[Arr Date]&lt;=MIN($B$6,EOMONTH($A42,0)))*(($B$7="ALL")+(Table1[HTL BKG Status]=$B$7)&gt;0)*(($B$8="ALL")+(Table1[T/O]=$B$8)&gt;0)*(($B$9="ALL")+(TRIM(Table1[Market])=$B$9)&gt;0)*(($B$10="ALL")+(Table1[Resort]=$B$10)&gt;0)*IFERROR(Table1[Selling EUR]+0,0))</f>
        <v>17259.599999999999</v>
      </c>
      <c r="F42" s="180" cm="1">
        <f t="array" ref="F42">SUMPRODUCT((Table1[Arr Date]&gt;=MAX($B$5,$A42))*(Table1[Arr Date]&lt;=MIN($B$6,EOMONTH($A42,0)))*(($B$7="ALL")+(Table1[HTL BKG Status]=$B$7)&gt;0)*(($B$8="ALL")+(Table1[T/O]=$B$8)&gt;0)*(($B$9="ALL")+(TRIM(Table1[Market])=$B$9)&gt;0)*(($B$10="ALL")+(Table1[Resort]=$B$10)&gt;0)*IFERROR(Table1[P/L EUR]+0,0))</f>
        <v>1950.4</v>
      </c>
      <c r="G42" s="181">
        <f>IFERROR(F42/E42,0)</f>
        <v>0.11300377760782407</v>
      </c>
      <c r="H42" s="240">
        <f>IFERROR(D42/C42,0)</f>
        <v>10.083333333333334</v>
      </c>
      <c r="I42" s="148"/>
      <c r="J42" s="152">
        <f t="shared" ref="J42:J53" si="18">A42</f>
        <v>46204</v>
      </c>
      <c r="K42" s="153">
        <f t="shared" ref="K42:K53" si="19">F42</f>
        <v>1950.4</v>
      </c>
      <c r="L42" s="148"/>
      <c r="M42" s="148"/>
      <c r="N42" s="148"/>
      <c r="O42" s="148"/>
      <c r="P42" s="148"/>
      <c r="Q42" s="148" t="s">
        <v>141</v>
      </c>
      <c r="R42" s="148" cm="1">
        <f t="array" ref="R42">IF($Q42="",0,SUMPRODUCT((Table1[Arr Date]&gt;=$B$5)*(Table1[Arr Date]&lt;=$B$6)*(($B$7="ALL")+(Table1[HTL BKG Status]=$B$7)&gt;0)*(($B$8="ALL")+(Table1[T/O]=$B$8)&gt;0)*(($B$9="ALL")+(TRIM(Table1[Market])=$B$9)&gt;0)*(($B$10="ALL")+(Table1[Resort]=$B$10)&gt;0)*(TRIM(Table1[Hotel Name])=$Q42)))</f>
        <v>0</v>
      </c>
      <c r="S42" s="148" cm="1">
        <f t="array" ref="S42">IF($Q42="",0,SUMPRODUCT((Table1[Arr Date]&gt;=$B$5)*(Table1[Arr Date]&lt;=$B$6)*(($B$7="ALL")+(Table1[HTL BKG Status]=$B$7)&gt;0)*(($B$8="ALL")+(Table1[T/O]=$B$8)&gt;0)*(($B$9="ALL")+(TRIM(Table1[Market])=$B$9)&gt;0)*(($B$10="ALL")+(Table1[Resort]=$B$10)&gt;0)*(TRIM(Table1[Hotel Name])=$Q42)*IFERROR(Table1[No RMS]+0,0)))</f>
        <v>0</v>
      </c>
      <c r="T42" s="148" cm="1">
        <f t="array" ref="T42">IF($Q42="",0,SUMPRODUCT((Table1[Arr Date]&gt;=$B$5)*(Table1[Arr Date]&lt;=$B$6)*(($B$7="ALL")+(Table1[HTL BKG Status]=$B$7)&gt;0)*(($B$8="ALL")+(Table1[T/O]=$B$8)&gt;0)*(($B$9="ALL")+(TRIM(Table1[Market])=$B$9)&gt;0)*(($B$10="ALL")+(Table1[Resort]=$B$10)&gt;0)*(TRIM(Table1[Hotel Name])=$Q42)*IFERROR(Table1[NTS]+0,0)*IFERROR(Table1[No RMS]+0,0)))</f>
        <v>0</v>
      </c>
      <c r="U42" s="148" cm="1">
        <f t="array" ref="U42">IF($Q42="",0,SUMPRODUCT((Table1[Arr Date]&gt;=$B$5)*(Table1[Arr Date]&lt;=$B$6)*(($B$7="ALL")+(Table1[HTL BKG Status]=$B$7)&gt;0)*(($B$8="ALL")+(Table1[T/O]=$B$8)&gt;0)*(($B$9="ALL")+(TRIM(Table1[Market])=$B$9)&gt;0)*(($B$10="ALL")+(Table1[Resort]=$B$10)&gt;0)*(TRIM(Table1[Hotel Name])=$Q42)*IFERROR(Table1[Selling EUR]+0,0)))</f>
        <v>0</v>
      </c>
      <c r="V42" s="148" cm="1">
        <f t="array" ref="V42">IF($Q42="",0,SUMPRODUCT((Table1[Arr Date]&gt;=$B$5)*(Table1[Arr Date]&lt;=$B$6)*(($B$7="ALL")+(Table1[HTL BKG Status]=$B$7)&gt;0)*(($B$8="ALL")+(Table1[T/O]=$B$8)&gt;0)*(($B$9="ALL")+(TRIM(Table1[Market])=$B$9)&gt;0)*(($B$10="ALL")+(Table1[Resort]=$B$10)&gt;0)*(TRIM(Table1[Hotel Name])=$Q42)*IFERROR(Table1[P/L EUR]+0,0)))</f>
        <v>0</v>
      </c>
      <c r="W42" s="148">
        <f t="shared" si="0"/>
        <v>4.2000000000000002E-4</v>
      </c>
      <c r="X42" s="148"/>
      <c r="Y42" s="148">
        <v>46113</v>
      </c>
      <c r="Z42" s="148">
        <v>16786646</v>
      </c>
      <c r="AA42" s="148" t="s">
        <v>88</v>
      </c>
      <c r="AB42" s="148">
        <v>46119</v>
      </c>
      <c r="AC42" s="148">
        <v>2268</v>
      </c>
      <c r="AD42" s="148">
        <f t="shared" ca="1" si="1"/>
        <v>-89</v>
      </c>
      <c r="AE42" s="148">
        <f t="shared" ca="1" si="2"/>
        <v>-10000000000</v>
      </c>
    </row>
    <row r="43" spans="1:31" ht="15" x14ac:dyDescent="0.35">
      <c r="A43" s="237">
        <f>EDATE(A42,1)</f>
        <v>46235</v>
      </c>
      <c r="B43" s="160" cm="1">
        <f t="array" ref="B43">SUMPRODUCT((Table1[Arr Date]&gt;=MAX($B$5,$A43))*(Table1[Arr Date]&lt;=MIN($B$6,EOMONTH($A43,0)))*(($B$7="ALL")+(Table1[HTL BKG Status]=$B$7)&gt;0)*(($B$8="ALL")+(Table1[T/O]=$B$8)&gt;0)*(($B$9="ALL")+(TRIM(Table1[Market])=$B$9)&gt;0)*(($B$10="ALL")+(Table1[Resort]=$B$10)&gt;0))</f>
        <v>0</v>
      </c>
      <c r="C43" s="160" cm="1">
        <f t="array" ref="C43">SUMPRODUCT((Table1[Arr Date]&gt;=MAX($B$5,$A43))*(Table1[Arr Date]&lt;=MIN($B$6,EOMONTH($A43,0)))*(($B$7="ALL")+(Table1[HTL BKG Status]=$B$7)&gt;0)*(($B$8="ALL")+(Table1[T/O]=$B$8)&gt;0)*(($B$9="ALL")+(TRIM(Table1[Market])=$B$9)&gt;0)*(($B$10="ALL")+(Table1[Resort]=$B$10)&gt;0)*IFERROR(Table1[No RMS]+0,0))</f>
        <v>0</v>
      </c>
      <c r="D43" s="160" cm="1">
        <f t="array" ref="D43">SUMPRODUCT((Table1[Arr Date]&gt;=MAX($B$5,$A43))*(Table1[Arr Date]&lt;=MIN($B$6,EOMONTH($A43,0)))*(($B$7="ALL")+(Table1[HTL BKG Status]=$B$7)&gt;0)*(($B$8="ALL")+(Table1[T/O]=$B$8)&gt;0)*(($B$9="ALL")+(TRIM(Table1[Market])=$B$9)&gt;0)*(($B$10="ALL")+(Table1[Resort]=$B$10)&gt;0)*IFERROR(Table1[NTS]+0,0)*IFERROR(Table1[No RMS]+0,0))</f>
        <v>0</v>
      </c>
      <c r="E43" s="161" cm="1">
        <f t="array" ref="E43">SUMPRODUCT((Table1[Arr Date]&gt;=MAX($B$5,$A43))*(Table1[Arr Date]&lt;=MIN($B$6,EOMONTH($A43,0)))*(($B$7="ALL")+(Table1[HTL BKG Status]=$B$7)&gt;0)*(($B$8="ALL")+(Table1[T/O]=$B$8)&gt;0)*(($B$9="ALL")+(TRIM(Table1[Market])=$B$9)&gt;0)*(($B$10="ALL")+(Table1[Resort]=$B$10)&gt;0)*IFERROR(Table1[Selling EUR]+0,0))</f>
        <v>0</v>
      </c>
      <c r="F43" s="162" cm="1">
        <f t="array" ref="F43">SUMPRODUCT((Table1[Arr Date]&gt;=MAX($B$5,$A43))*(Table1[Arr Date]&lt;=MIN($B$6,EOMONTH($A43,0)))*(($B$7="ALL")+(Table1[HTL BKG Status]=$B$7)&gt;0)*(($B$8="ALL")+(Table1[T/O]=$B$8)&gt;0)*(($B$9="ALL")+(TRIM(Table1[Market])=$B$9)&gt;0)*(($B$10="ALL")+(Table1[Resort]=$B$10)&gt;0)*IFERROR(Table1[P/L EUR]+0,0))</f>
        <v>0</v>
      </c>
      <c r="G43" s="176">
        <f>IFERROR(F43/E43,0)</f>
        <v>0</v>
      </c>
      <c r="H43" s="241">
        <f>IFERROR(D43/C43,0)</f>
        <v>0</v>
      </c>
      <c r="I43" s="148"/>
      <c r="J43" s="154">
        <f t="shared" si="18"/>
        <v>46235</v>
      </c>
      <c r="K43" s="155">
        <f t="shared" si="19"/>
        <v>0</v>
      </c>
      <c r="L43" s="148"/>
      <c r="M43" s="148"/>
      <c r="N43" s="148"/>
      <c r="O43" s="148"/>
      <c r="P43" s="148"/>
      <c r="Q43" s="148" t="s">
        <v>108</v>
      </c>
      <c r="R43" s="148" cm="1">
        <f t="array" ref="R43">IF($Q43="",0,SUMPRODUCT((Table1[Arr Date]&gt;=$B$5)*(Table1[Arr Date]&lt;=$B$6)*(($B$7="ALL")+(Table1[HTL BKG Status]=$B$7)&gt;0)*(($B$8="ALL")+(Table1[T/O]=$B$8)&gt;0)*(($B$9="ALL")+(TRIM(Table1[Market])=$B$9)&gt;0)*(($B$10="ALL")+(Table1[Resort]=$B$10)&gt;0)*(TRIM(Table1[Hotel Name])=$Q43)))</f>
        <v>0</v>
      </c>
      <c r="S43" s="148" cm="1">
        <f t="array" ref="S43">IF($Q43="",0,SUMPRODUCT((Table1[Arr Date]&gt;=$B$5)*(Table1[Arr Date]&lt;=$B$6)*(($B$7="ALL")+(Table1[HTL BKG Status]=$B$7)&gt;0)*(($B$8="ALL")+(Table1[T/O]=$B$8)&gt;0)*(($B$9="ALL")+(TRIM(Table1[Market])=$B$9)&gt;0)*(($B$10="ALL")+(Table1[Resort]=$B$10)&gt;0)*(TRIM(Table1[Hotel Name])=$Q43)*IFERROR(Table1[No RMS]+0,0)))</f>
        <v>0</v>
      </c>
      <c r="T43" s="148" cm="1">
        <f t="array" ref="T43">IF($Q43="",0,SUMPRODUCT((Table1[Arr Date]&gt;=$B$5)*(Table1[Arr Date]&lt;=$B$6)*(($B$7="ALL")+(Table1[HTL BKG Status]=$B$7)&gt;0)*(($B$8="ALL")+(Table1[T/O]=$B$8)&gt;0)*(($B$9="ALL")+(TRIM(Table1[Market])=$B$9)&gt;0)*(($B$10="ALL")+(Table1[Resort]=$B$10)&gt;0)*(TRIM(Table1[Hotel Name])=$Q43)*IFERROR(Table1[NTS]+0,0)*IFERROR(Table1[No RMS]+0,0)))</f>
        <v>0</v>
      </c>
      <c r="U43" s="148" cm="1">
        <f t="array" ref="U43">IF($Q43="",0,SUMPRODUCT((Table1[Arr Date]&gt;=$B$5)*(Table1[Arr Date]&lt;=$B$6)*(($B$7="ALL")+(Table1[HTL BKG Status]=$B$7)&gt;0)*(($B$8="ALL")+(Table1[T/O]=$B$8)&gt;0)*(($B$9="ALL")+(TRIM(Table1[Market])=$B$9)&gt;0)*(($B$10="ALL")+(Table1[Resort]=$B$10)&gt;0)*(TRIM(Table1[Hotel Name])=$Q43)*IFERROR(Table1[Selling EUR]+0,0)))</f>
        <v>0</v>
      </c>
      <c r="V43" s="148" cm="1">
        <f t="array" ref="V43">IF($Q43="",0,SUMPRODUCT((Table1[Arr Date]&gt;=$B$5)*(Table1[Arr Date]&lt;=$B$6)*(($B$7="ALL")+(Table1[HTL BKG Status]=$B$7)&gt;0)*(($B$8="ALL")+(Table1[T/O]=$B$8)&gt;0)*(($B$9="ALL")+(TRIM(Table1[Market])=$B$9)&gt;0)*(($B$10="ALL")+(Table1[Resort]=$B$10)&gt;0)*(TRIM(Table1[Hotel Name])=$Q43)*IFERROR(Table1[P/L EUR]+0,0)))</f>
        <v>0</v>
      </c>
      <c r="W43" s="148">
        <f t="shared" si="0"/>
        <v>4.2999999999999999E-4</v>
      </c>
      <c r="X43" s="148"/>
      <c r="Y43" s="148">
        <v>46113</v>
      </c>
      <c r="Z43" s="148">
        <v>16757520</v>
      </c>
      <c r="AA43" s="148" t="s">
        <v>88</v>
      </c>
      <c r="AB43" s="148">
        <v>46119</v>
      </c>
      <c r="AC43" s="148">
        <v>1802.4</v>
      </c>
      <c r="AD43" s="148">
        <f t="shared" ca="1" si="1"/>
        <v>-89</v>
      </c>
      <c r="AE43" s="148">
        <f t="shared" ca="1" si="2"/>
        <v>-10000000000</v>
      </c>
    </row>
    <row r="44" spans="1:31" ht="15" x14ac:dyDescent="0.35">
      <c r="A44" s="236">
        <f>EDATE(A43,1)</f>
        <v>46266</v>
      </c>
      <c r="B44" s="182"/>
      <c r="C44" s="182"/>
      <c r="D44" s="182"/>
      <c r="E44" s="182"/>
      <c r="F44" s="182"/>
      <c r="G44" s="182"/>
      <c r="H44" s="242"/>
      <c r="I44" s="148"/>
      <c r="J44" s="154">
        <f t="shared" si="18"/>
        <v>46266</v>
      </c>
      <c r="K44" s="155">
        <f t="shared" si="19"/>
        <v>0</v>
      </c>
      <c r="L44" s="148"/>
      <c r="M44" s="148"/>
      <c r="N44" s="148"/>
      <c r="O44" s="148"/>
      <c r="P44" s="148"/>
      <c r="Q44" s="148" t="s">
        <v>117</v>
      </c>
      <c r="R44" s="148" cm="1">
        <f t="array" ref="R44">IF($Q44="",0,SUMPRODUCT((Table1[Arr Date]&gt;=$B$5)*(Table1[Arr Date]&lt;=$B$6)*(($B$7="ALL")+(Table1[HTL BKG Status]=$B$7)&gt;0)*(($B$8="ALL")+(Table1[T/O]=$B$8)&gt;0)*(($B$9="ALL")+(TRIM(Table1[Market])=$B$9)&gt;0)*(($B$10="ALL")+(Table1[Resort]=$B$10)&gt;0)*(TRIM(Table1[Hotel Name])=$Q44)))</f>
        <v>0</v>
      </c>
      <c r="S44" s="148" cm="1">
        <f t="array" ref="S44">IF($Q44="",0,SUMPRODUCT((Table1[Arr Date]&gt;=$B$5)*(Table1[Arr Date]&lt;=$B$6)*(($B$7="ALL")+(Table1[HTL BKG Status]=$B$7)&gt;0)*(($B$8="ALL")+(Table1[T/O]=$B$8)&gt;0)*(($B$9="ALL")+(TRIM(Table1[Market])=$B$9)&gt;0)*(($B$10="ALL")+(Table1[Resort]=$B$10)&gt;0)*(TRIM(Table1[Hotel Name])=$Q44)*IFERROR(Table1[No RMS]+0,0)))</f>
        <v>0</v>
      </c>
      <c r="T44" s="148" cm="1">
        <f t="array" ref="T44">IF($Q44="",0,SUMPRODUCT((Table1[Arr Date]&gt;=$B$5)*(Table1[Arr Date]&lt;=$B$6)*(($B$7="ALL")+(Table1[HTL BKG Status]=$B$7)&gt;0)*(($B$8="ALL")+(Table1[T/O]=$B$8)&gt;0)*(($B$9="ALL")+(TRIM(Table1[Market])=$B$9)&gt;0)*(($B$10="ALL")+(Table1[Resort]=$B$10)&gt;0)*(TRIM(Table1[Hotel Name])=$Q44)*IFERROR(Table1[NTS]+0,0)*IFERROR(Table1[No RMS]+0,0)))</f>
        <v>0</v>
      </c>
      <c r="U44" s="148" cm="1">
        <f t="array" ref="U44">IF($Q44="",0,SUMPRODUCT((Table1[Arr Date]&gt;=$B$5)*(Table1[Arr Date]&lt;=$B$6)*(($B$7="ALL")+(Table1[HTL BKG Status]=$B$7)&gt;0)*(($B$8="ALL")+(Table1[T/O]=$B$8)&gt;0)*(($B$9="ALL")+(TRIM(Table1[Market])=$B$9)&gt;0)*(($B$10="ALL")+(Table1[Resort]=$B$10)&gt;0)*(TRIM(Table1[Hotel Name])=$Q44)*IFERROR(Table1[Selling EUR]+0,0)))</f>
        <v>0</v>
      </c>
      <c r="V44" s="148" cm="1">
        <f t="array" ref="V44">IF($Q44="",0,SUMPRODUCT((Table1[Arr Date]&gt;=$B$5)*(Table1[Arr Date]&lt;=$B$6)*(($B$7="ALL")+(Table1[HTL BKG Status]=$B$7)&gt;0)*(($B$8="ALL")+(Table1[T/O]=$B$8)&gt;0)*(($B$9="ALL")+(TRIM(Table1[Market])=$B$9)&gt;0)*(($B$10="ALL")+(Table1[Resort]=$B$10)&gt;0)*(TRIM(Table1[Hotel Name])=$Q44)*IFERROR(Table1[P/L EUR]+0,0)))</f>
        <v>0</v>
      </c>
      <c r="W44" s="148">
        <f t="shared" si="0"/>
        <v>4.4000000000000002E-4</v>
      </c>
      <c r="X44" s="148"/>
      <c r="Y44" s="148">
        <v>45979</v>
      </c>
      <c r="Z44" s="148">
        <v>16758885</v>
      </c>
      <c r="AA44" s="148" t="s">
        <v>89</v>
      </c>
      <c r="AB44" s="148">
        <v>45986</v>
      </c>
      <c r="AC44" s="148">
        <v>189</v>
      </c>
      <c r="AD44" s="148">
        <f t="shared" ca="1" si="1"/>
        <v>-223</v>
      </c>
      <c r="AE44" s="148">
        <f t="shared" ca="1" si="2"/>
        <v>-10000000000</v>
      </c>
    </row>
    <row r="45" spans="1:31" ht="15" x14ac:dyDescent="0.35">
      <c r="A45" s="210"/>
      <c r="B45" s="177"/>
      <c r="C45" s="177"/>
      <c r="D45" s="177"/>
      <c r="E45" s="177"/>
      <c r="F45" s="177"/>
      <c r="G45" s="177"/>
      <c r="H45" s="243"/>
      <c r="I45" s="148"/>
      <c r="J45" s="154">
        <f t="shared" si="18"/>
        <v>0</v>
      </c>
      <c r="K45" s="155">
        <f t="shared" si="19"/>
        <v>0</v>
      </c>
      <c r="L45" s="148"/>
      <c r="M45" s="148"/>
      <c r="N45" s="148"/>
      <c r="O45" s="148"/>
      <c r="P45" s="148"/>
      <c r="Q45" s="148" t="s">
        <v>121</v>
      </c>
      <c r="R45" s="148" cm="1">
        <f t="array" ref="R45">IF($Q45="",0,SUMPRODUCT((Table1[Arr Date]&gt;=$B$5)*(Table1[Arr Date]&lt;=$B$6)*(($B$7="ALL")+(Table1[HTL BKG Status]=$B$7)&gt;0)*(($B$8="ALL")+(Table1[T/O]=$B$8)&gt;0)*(($B$9="ALL")+(TRIM(Table1[Market])=$B$9)&gt;0)*(($B$10="ALL")+(Table1[Resort]=$B$10)&gt;0)*(TRIM(Table1[Hotel Name])=$Q45)))</f>
        <v>0</v>
      </c>
      <c r="S45" s="148" cm="1">
        <f t="array" ref="S45">IF($Q45="",0,SUMPRODUCT((Table1[Arr Date]&gt;=$B$5)*(Table1[Arr Date]&lt;=$B$6)*(($B$7="ALL")+(Table1[HTL BKG Status]=$B$7)&gt;0)*(($B$8="ALL")+(Table1[T/O]=$B$8)&gt;0)*(($B$9="ALL")+(TRIM(Table1[Market])=$B$9)&gt;0)*(($B$10="ALL")+(Table1[Resort]=$B$10)&gt;0)*(TRIM(Table1[Hotel Name])=$Q45)*IFERROR(Table1[No RMS]+0,0)))</f>
        <v>0</v>
      </c>
      <c r="T45" s="148" cm="1">
        <f t="array" ref="T45">IF($Q45="",0,SUMPRODUCT((Table1[Arr Date]&gt;=$B$5)*(Table1[Arr Date]&lt;=$B$6)*(($B$7="ALL")+(Table1[HTL BKG Status]=$B$7)&gt;0)*(($B$8="ALL")+(Table1[T/O]=$B$8)&gt;0)*(($B$9="ALL")+(TRIM(Table1[Market])=$B$9)&gt;0)*(($B$10="ALL")+(Table1[Resort]=$B$10)&gt;0)*(TRIM(Table1[Hotel Name])=$Q45)*IFERROR(Table1[NTS]+0,0)*IFERROR(Table1[No RMS]+0,0)))</f>
        <v>0</v>
      </c>
      <c r="U45" s="148" cm="1">
        <f t="array" ref="U45">IF($Q45="",0,SUMPRODUCT((Table1[Arr Date]&gt;=$B$5)*(Table1[Arr Date]&lt;=$B$6)*(($B$7="ALL")+(Table1[HTL BKG Status]=$B$7)&gt;0)*(($B$8="ALL")+(Table1[T/O]=$B$8)&gt;0)*(($B$9="ALL")+(TRIM(Table1[Market])=$B$9)&gt;0)*(($B$10="ALL")+(Table1[Resort]=$B$10)&gt;0)*(TRIM(Table1[Hotel Name])=$Q45)*IFERROR(Table1[Selling EUR]+0,0)))</f>
        <v>0</v>
      </c>
      <c r="V45" s="148" cm="1">
        <f t="array" ref="V45">IF($Q45="",0,SUMPRODUCT((Table1[Arr Date]&gt;=$B$5)*(Table1[Arr Date]&lt;=$B$6)*(($B$7="ALL")+(Table1[HTL BKG Status]=$B$7)&gt;0)*(($B$8="ALL")+(Table1[T/O]=$B$8)&gt;0)*(($B$9="ALL")+(TRIM(Table1[Market])=$B$9)&gt;0)*(($B$10="ALL")+(Table1[Resort]=$B$10)&gt;0)*(TRIM(Table1[Hotel Name])=$Q45)*IFERROR(Table1[P/L EUR]+0,0)))</f>
        <v>0</v>
      </c>
      <c r="W45" s="148">
        <f t="shared" si="0"/>
        <v>4.4999999999999999E-4</v>
      </c>
      <c r="X45" s="148"/>
      <c r="Y45" s="148">
        <v>45944</v>
      </c>
      <c r="Z45" s="148">
        <v>16763922</v>
      </c>
      <c r="AA45" s="148" t="s">
        <v>90</v>
      </c>
      <c r="AB45" s="148">
        <v>45951</v>
      </c>
      <c r="AC45" s="148">
        <v>672</v>
      </c>
      <c r="AD45" s="148">
        <f t="shared" ca="1" si="1"/>
        <v>-258</v>
      </c>
      <c r="AE45" s="148">
        <f t="shared" ca="1" si="2"/>
        <v>-10000000000</v>
      </c>
    </row>
    <row r="46" spans="1:31" ht="15" x14ac:dyDescent="0.35">
      <c r="A46" s="238"/>
      <c r="B46" s="182"/>
      <c r="C46" s="182"/>
      <c r="D46" s="182"/>
      <c r="E46" s="182"/>
      <c r="F46" s="182"/>
      <c r="G46" s="182"/>
      <c r="H46" s="242"/>
      <c r="I46" s="148"/>
      <c r="J46" s="154">
        <f t="shared" si="18"/>
        <v>0</v>
      </c>
      <c r="K46" s="155">
        <f t="shared" si="19"/>
        <v>0</v>
      </c>
      <c r="L46" s="148"/>
      <c r="M46" s="148"/>
      <c r="N46" s="148"/>
      <c r="O46" s="148"/>
      <c r="P46" s="148"/>
      <c r="Q46" s="148" t="s">
        <v>132</v>
      </c>
      <c r="R46" s="148" cm="1">
        <f t="array" ref="R46">IF($Q46="",0,SUMPRODUCT((Table1[Arr Date]&gt;=$B$5)*(Table1[Arr Date]&lt;=$B$6)*(($B$7="ALL")+(Table1[HTL BKG Status]=$B$7)&gt;0)*(($B$8="ALL")+(Table1[T/O]=$B$8)&gt;0)*(($B$9="ALL")+(TRIM(Table1[Market])=$B$9)&gt;0)*(($B$10="ALL")+(Table1[Resort]=$B$10)&gt;0)*(TRIM(Table1[Hotel Name])=$Q46)))</f>
        <v>0</v>
      </c>
      <c r="S46" s="148" cm="1">
        <f t="array" ref="S46">IF($Q46="",0,SUMPRODUCT((Table1[Arr Date]&gt;=$B$5)*(Table1[Arr Date]&lt;=$B$6)*(($B$7="ALL")+(Table1[HTL BKG Status]=$B$7)&gt;0)*(($B$8="ALL")+(Table1[T/O]=$B$8)&gt;0)*(($B$9="ALL")+(TRIM(Table1[Market])=$B$9)&gt;0)*(($B$10="ALL")+(Table1[Resort]=$B$10)&gt;0)*(TRIM(Table1[Hotel Name])=$Q46)*IFERROR(Table1[No RMS]+0,0)))</f>
        <v>0</v>
      </c>
      <c r="T46" s="148" cm="1">
        <f t="array" ref="T46">IF($Q46="",0,SUMPRODUCT((Table1[Arr Date]&gt;=$B$5)*(Table1[Arr Date]&lt;=$B$6)*(($B$7="ALL")+(Table1[HTL BKG Status]=$B$7)&gt;0)*(($B$8="ALL")+(Table1[T/O]=$B$8)&gt;0)*(($B$9="ALL")+(TRIM(Table1[Market])=$B$9)&gt;0)*(($B$10="ALL")+(Table1[Resort]=$B$10)&gt;0)*(TRIM(Table1[Hotel Name])=$Q46)*IFERROR(Table1[NTS]+0,0)*IFERROR(Table1[No RMS]+0,0)))</f>
        <v>0</v>
      </c>
      <c r="U46" s="148" cm="1">
        <f t="array" ref="U46">IF($Q46="",0,SUMPRODUCT((Table1[Arr Date]&gt;=$B$5)*(Table1[Arr Date]&lt;=$B$6)*(($B$7="ALL")+(Table1[HTL BKG Status]=$B$7)&gt;0)*(($B$8="ALL")+(Table1[T/O]=$B$8)&gt;0)*(($B$9="ALL")+(TRIM(Table1[Market])=$B$9)&gt;0)*(($B$10="ALL")+(Table1[Resort]=$B$10)&gt;0)*(TRIM(Table1[Hotel Name])=$Q46)*IFERROR(Table1[Selling EUR]+0,0)))</f>
        <v>0</v>
      </c>
      <c r="V46" s="148" cm="1">
        <f t="array" ref="V46">IF($Q46="",0,SUMPRODUCT((Table1[Arr Date]&gt;=$B$5)*(Table1[Arr Date]&lt;=$B$6)*(($B$7="ALL")+(Table1[HTL BKG Status]=$B$7)&gt;0)*(($B$8="ALL")+(Table1[T/O]=$B$8)&gt;0)*(($B$9="ALL")+(TRIM(Table1[Market])=$B$9)&gt;0)*(($B$10="ALL")+(Table1[Resort]=$B$10)&gt;0)*(TRIM(Table1[Hotel Name])=$Q46)*IFERROR(Table1[P/L EUR]+0,0)))</f>
        <v>0</v>
      </c>
      <c r="W46" s="148">
        <f t="shared" si="0"/>
        <v>4.6000000000000001E-4</v>
      </c>
      <c r="X46" s="148"/>
      <c r="Y46" s="148">
        <v>46105</v>
      </c>
      <c r="Z46" s="148">
        <v>16764265</v>
      </c>
      <c r="AA46" s="148" t="s">
        <v>91</v>
      </c>
      <c r="AB46" s="148">
        <v>46109</v>
      </c>
      <c r="AC46" s="148">
        <v>980</v>
      </c>
      <c r="AD46" s="148">
        <f t="shared" ca="1" si="1"/>
        <v>-97</v>
      </c>
      <c r="AE46" s="148">
        <f t="shared" ca="1" si="2"/>
        <v>-10000000000</v>
      </c>
    </row>
    <row r="47" spans="1:31" ht="15" x14ac:dyDescent="0.35">
      <c r="A47" s="210"/>
      <c r="B47" s="177"/>
      <c r="C47" s="177"/>
      <c r="D47" s="177"/>
      <c r="E47" s="177"/>
      <c r="F47" s="177"/>
      <c r="G47" s="177"/>
      <c r="H47" s="243"/>
      <c r="I47" s="148"/>
      <c r="J47" s="154">
        <f t="shared" si="18"/>
        <v>0</v>
      </c>
      <c r="K47" s="155">
        <f t="shared" si="19"/>
        <v>0</v>
      </c>
      <c r="L47" s="148"/>
      <c r="M47" s="148"/>
      <c r="N47" s="148"/>
      <c r="O47" s="148"/>
      <c r="P47" s="148"/>
      <c r="Q47" s="148" t="s">
        <v>189</v>
      </c>
      <c r="R47" s="148" cm="1">
        <f t="array" ref="R47">IF($Q47="",0,SUMPRODUCT((Table1[Arr Date]&gt;=$B$5)*(Table1[Arr Date]&lt;=$B$6)*(($B$7="ALL")+(Table1[HTL BKG Status]=$B$7)&gt;0)*(($B$8="ALL")+(Table1[T/O]=$B$8)&gt;0)*(($B$9="ALL")+(TRIM(Table1[Market])=$B$9)&gt;0)*(($B$10="ALL")+(Table1[Resort]=$B$10)&gt;0)*(TRIM(Table1[Hotel Name])=$Q47)))</f>
        <v>0</v>
      </c>
      <c r="S47" s="148" cm="1">
        <f t="array" ref="S47">IF($Q47="",0,SUMPRODUCT((Table1[Arr Date]&gt;=$B$5)*(Table1[Arr Date]&lt;=$B$6)*(($B$7="ALL")+(Table1[HTL BKG Status]=$B$7)&gt;0)*(($B$8="ALL")+(Table1[T/O]=$B$8)&gt;0)*(($B$9="ALL")+(TRIM(Table1[Market])=$B$9)&gt;0)*(($B$10="ALL")+(Table1[Resort]=$B$10)&gt;0)*(TRIM(Table1[Hotel Name])=$Q47)*IFERROR(Table1[No RMS]+0,0)))</f>
        <v>0</v>
      </c>
      <c r="T47" s="148" cm="1">
        <f t="array" ref="T47">IF($Q47="",0,SUMPRODUCT((Table1[Arr Date]&gt;=$B$5)*(Table1[Arr Date]&lt;=$B$6)*(($B$7="ALL")+(Table1[HTL BKG Status]=$B$7)&gt;0)*(($B$8="ALL")+(Table1[T/O]=$B$8)&gt;0)*(($B$9="ALL")+(TRIM(Table1[Market])=$B$9)&gt;0)*(($B$10="ALL")+(Table1[Resort]=$B$10)&gt;0)*(TRIM(Table1[Hotel Name])=$Q47)*IFERROR(Table1[NTS]+0,0)*IFERROR(Table1[No RMS]+0,0)))</f>
        <v>0</v>
      </c>
      <c r="U47" s="148" cm="1">
        <f t="array" ref="U47">IF($Q47="",0,SUMPRODUCT((Table1[Arr Date]&gt;=$B$5)*(Table1[Arr Date]&lt;=$B$6)*(($B$7="ALL")+(Table1[HTL BKG Status]=$B$7)&gt;0)*(($B$8="ALL")+(Table1[T/O]=$B$8)&gt;0)*(($B$9="ALL")+(TRIM(Table1[Market])=$B$9)&gt;0)*(($B$10="ALL")+(Table1[Resort]=$B$10)&gt;0)*(TRIM(Table1[Hotel Name])=$Q47)*IFERROR(Table1[Selling EUR]+0,0)))</f>
        <v>0</v>
      </c>
      <c r="V47" s="148" cm="1">
        <f t="array" ref="V47">IF($Q47="",0,SUMPRODUCT((Table1[Arr Date]&gt;=$B$5)*(Table1[Arr Date]&lt;=$B$6)*(($B$7="ALL")+(Table1[HTL BKG Status]=$B$7)&gt;0)*(($B$8="ALL")+(Table1[T/O]=$B$8)&gt;0)*(($B$9="ALL")+(TRIM(Table1[Market])=$B$9)&gt;0)*(($B$10="ALL")+(Table1[Resort]=$B$10)&gt;0)*(TRIM(Table1[Hotel Name])=$Q47)*IFERROR(Table1[P/L EUR]+0,0)))</f>
        <v>0</v>
      </c>
      <c r="W47" s="148">
        <f t="shared" si="0"/>
        <v>4.6999999999999999E-4</v>
      </c>
      <c r="X47" s="148"/>
      <c r="Y47" s="148">
        <v>46012</v>
      </c>
      <c r="Z47" s="148">
        <v>16768602</v>
      </c>
      <c r="AA47" s="148" t="s">
        <v>68</v>
      </c>
      <c r="AB47" s="148">
        <v>46021</v>
      </c>
      <c r="AC47" s="148">
        <v>1399.2</v>
      </c>
      <c r="AD47" s="148">
        <f t="shared" ca="1" si="1"/>
        <v>-190</v>
      </c>
      <c r="AE47" s="148">
        <f t="shared" ca="1" si="2"/>
        <v>-10000000000</v>
      </c>
    </row>
    <row r="48" spans="1:31" ht="15" x14ac:dyDescent="0.35">
      <c r="A48" s="238"/>
      <c r="B48" s="182"/>
      <c r="C48" s="182"/>
      <c r="D48" s="182"/>
      <c r="E48" s="182"/>
      <c r="F48" s="182"/>
      <c r="G48" s="182"/>
      <c r="H48" s="242"/>
      <c r="I48" s="148"/>
      <c r="J48" s="154">
        <f t="shared" si="18"/>
        <v>0</v>
      </c>
      <c r="K48" s="155">
        <f t="shared" si="19"/>
        <v>0</v>
      </c>
      <c r="L48" s="148"/>
      <c r="M48" s="148"/>
      <c r="N48" s="148"/>
      <c r="O48" s="148"/>
      <c r="P48" s="148"/>
      <c r="Q48" s="148" t="s">
        <v>77</v>
      </c>
      <c r="R48" s="148" cm="1">
        <f t="array" ref="R48">IF($Q48="",0,SUMPRODUCT((Table1[Arr Date]&gt;=$B$5)*(Table1[Arr Date]&lt;=$B$6)*(($B$7="ALL")+(Table1[HTL BKG Status]=$B$7)&gt;0)*(($B$8="ALL")+(Table1[T/O]=$B$8)&gt;0)*(($B$9="ALL")+(TRIM(Table1[Market])=$B$9)&gt;0)*(($B$10="ALL")+(Table1[Resort]=$B$10)&gt;0)*(TRIM(Table1[Hotel Name])=$Q48)))</f>
        <v>0</v>
      </c>
      <c r="S48" s="148" cm="1">
        <f t="array" ref="S48">IF($Q48="",0,SUMPRODUCT((Table1[Arr Date]&gt;=$B$5)*(Table1[Arr Date]&lt;=$B$6)*(($B$7="ALL")+(Table1[HTL BKG Status]=$B$7)&gt;0)*(($B$8="ALL")+(Table1[T/O]=$B$8)&gt;0)*(($B$9="ALL")+(TRIM(Table1[Market])=$B$9)&gt;0)*(($B$10="ALL")+(Table1[Resort]=$B$10)&gt;0)*(TRIM(Table1[Hotel Name])=$Q48)*IFERROR(Table1[No RMS]+0,0)))</f>
        <v>0</v>
      </c>
      <c r="T48" s="148" cm="1">
        <f t="array" ref="T48">IF($Q48="",0,SUMPRODUCT((Table1[Arr Date]&gt;=$B$5)*(Table1[Arr Date]&lt;=$B$6)*(($B$7="ALL")+(Table1[HTL BKG Status]=$B$7)&gt;0)*(($B$8="ALL")+(Table1[T/O]=$B$8)&gt;0)*(($B$9="ALL")+(TRIM(Table1[Market])=$B$9)&gt;0)*(($B$10="ALL")+(Table1[Resort]=$B$10)&gt;0)*(TRIM(Table1[Hotel Name])=$Q48)*IFERROR(Table1[NTS]+0,0)*IFERROR(Table1[No RMS]+0,0)))</f>
        <v>0</v>
      </c>
      <c r="U48" s="148" cm="1">
        <f t="array" ref="U48">IF($Q48="",0,SUMPRODUCT((Table1[Arr Date]&gt;=$B$5)*(Table1[Arr Date]&lt;=$B$6)*(($B$7="ALL")+(Table1[HTL BKG Status]=$B$7)&gt;0)*(($B$8="ALL")+(Table1[T/O]=$B$8)&gt;0)*(($B$9="ALL")+(TRIM(Table1[Market])=$B$9)&gt;0)*(($B$10="ALL")+(Table1[Resort]=$B$10)&gt;0)*(TRIM(Table1[Hotel Name])=$Q48)*IFERROR(Table1[Selling EUR]+0,0)))</f>
        <v>0</v>
      </c>
      <c r="V48" s="148" cm="1">
        <f t="array" ref="V48">IF($Q48="",0,SUMPRODUCT((Table1[Arr Date]&gt;=$B$5)*(Table1[Arr Date]&lt;=$B$6)*(($B$7="ALL")+(Table1[HTL BKG Status]=$B$7)&gt;0)*(($B$8="ALL")+(Table1[T/O]=$B$8)&gt;0)*(($B$9="ALL")+(TRIM(Table1[Market])=$B$9)&gt;0)*(($B$10="ALL")+(Table1[Resort]=$B$10)&gt;0)*(TRIM(Table1[Hotel Name])=$Q48)*IFERROR(Table1[P/L EUR]+0,0)))</f>
        <v>0</v>
      </c>
      <c r="W48" s="148">
        <f t="shared" si="0"/>
        <v>4.8000000000000001E-4</v>
      </c>
      <c r="X48" s="148"/>
      <c r="Y48" s="148">
        <v>46054</v>
      </c>
      <c r="Z48" s="148">
        <v>16772266</v>
      </c>
      <c r="AA48" s="148" t="s">
        <v>92</v>
      </c>
      <c r="AB48" s="148">
        <v>46066</v>
      </c>
      <c r="AC48" s="148">
        <v>708.75</v>
      </c>
      <c r="AD48" s="148">
        <f t="shared" ca="1" si="1"/>
        <v>-148</v>
      </c>
      <c r="AE48" s="148">
        <f t="shared" ca="1" si="2"/>
        <v>-10000000000</v>
      </c>
    </row>
    <row r="49" spans="1:31" ht="15" x14ac:dyDescent="0.35">
      <c r="A49" s="210"/>
      <c r="B49" s="177"/>
      <c r="C49" s="177"/>
      <c r="D49" s="177"/>
      <c r="E49" s="177"/>
      <c r="F49" s="177"/>
      <c r="G49" s="177"/>
      <c r="H49" s="243"/>
      <c r="I49" s="148"/>
      <c r="J49" s="154">
        <f t="shared" si="18"/>
        <v>0</v>
      </c>
      <c r="K49" s="155">
        <f t="shared" si="19"/>
        <v>0</v>
      </c>
      <c r="L49" s="148"/>
      <c r="M49" s="148"/>
      <c r="N49" s="148"/>
      <c r="O49" s="148"/>
      <c r="P49" s="148"/>
      <c r="Q49" s="148" t="s">
        <v>78</v>
      </c>
      <c r="R49" s="148" cm="1">
        <f t="array" ref="R49">IF($Q49="",0,SUMPRODUCT((Table1[Arr Date]&gt;=$B$5)*(Table1[Arr Date]&lt;=$B$6)*(($B$7="ALL")+(Table1[HTL BKG Status]=$B$7)&gt;0)*(($B$8="ALL")+(Table1[T/O]=$B$8)&gt;0)*(($B$9="ALL")+(TRIM(Table1[Market])=$B$9)&gt;0)*(($B$10="ALL")+(Table1[Resort]=$B$10)&gt;0)*(TRIM(Table1[Hotel Name])=$Q49)))</f>
        <v>0</v>
      </c>
      <c r="S49" s="148" cm="1">
        <f t="array" ref="S49">IF($Q49="",0,SUMPRODUCT((Table1[Arr Date]&gt;=$B$5)*(Table1[Arr Date]&lt;=$B$6)*(($B$7="ALL")+(Table1[HTL BKG Status]=$B$7)&gt;0)*(($B$8="ALL")+(Table1[T/O]=$B$8)&gt;0)*(($B$9="ALL")+(TRIM(Table1[Market])=$B$9)&gt;0)*(($B$10="ALL")+(Table1[Resort]=$B$10)&gt;0)*(TRIM(Table1[Hotel Name])=$Q49)*IFERROR(Table1[No RMS]+0,0)))</f>
        <v>0</v>
      </c>
      <c r="T49" s="148" cm="1">
        <f t="array" ref="T49">IF($Q49="",0,SUMPRODUCT((Table1[Arr Date]&gt;=$B$5)*(Table1[Arr Date]&lt;=$B$6)*(($B$7="ALL")+(Table1[HTL BKG Status]=$B$7)&gt;0)*(($B$8="ALL")+(Table1[T/O]=$B$8)&gt;0)*(($B$9="ALL")+(TRIM(Table1[Market])=$B$9)&gt;0)*(($B$10="ALL")+(Table1[Resort]=$B$10)&gt;0)*(TRIM(Table1[Hotel Name])=$Q49)*IFERROR(Table1[NTS]+0,0)*IFERROR(Table1[No RMS]+0,0)))</f>
        <v>0</v>
      </c>
      <c r="U49" s="148" cm="1">
        <f t="array" ref="U49">IF($Q49="",0,SUMPRODUCT((Table1[Arr Date]&gt;=$B$5)*(Table1[Arr Date]&lt;=$B$6)*(($B$7="ALL")+(Table1[HTL BKG Status]=$B$7)&gt;0)*(($B$8="ALL")+(Table1[T/O]=$B$8)&gt;0)*(($B$9="ALL")+(TRIM(Table1[Market])=$B$9)&gt;0)*(($B$10="ALL")+(Table1[Resort]=$B$10)&gt;0)*(TRIM(Table1[Hotel Name])=$Q49)*IFERROR(Table1[Selling EUR]+0,0)))</f>
        <v>0</v>
      </c>
      <c r="V49" s="148" cm="1">
        <f t="array" ref="V49">IF($Q49="",0,SUMPRODUCT((Table1[Arr Date]&gt;=$B$5)*(Table1[Arr Date]&lt;=$B$6)*(($B$7="ALL")+(Table1[HTL BKG Status]=$B$7)&gt;0)*(($B$8="ALL")+(Table1[T/O]=$B$8)&gt;0)*(($B$9="ALL")+(TRIM(Table1[Market])=$B$9)&gt;0)*(($B$10="ALL")+(Table1[Resort]=$B$10)&gt;0)*(TRIM(Table1[Hotel Name])=$Q49)*IFERROR(Table1[P/L EUR]+0,0)))</f>
        <v>0</v>
      </c>
      <c r="W49" s="148">
        <f t="shared" si="0"/>
        <v>4.8999999999999998E-4</v>
      </c>
      <c r="X49" s="148"/>
      <c r="Y49" s="148">
        <v>46096</v>
      </c>
      <c r="Z49" s="148">
        <v>16774424</v>
      </c>
      <c r="AA49" s="148" t="s">
        <v>78</v>
      </c>
      <c r="AB49" s="148">
        <v>46102</v>
      </c>
      <c r="AC49" s="148">
        <v>448</v>
      </c>
      <c r="AD49" s="148">
        <f t="shared" ca="1" si="1"/>
        <v>-106</v>
      </c>
      <c r="AE49" s="148">
        <f t="shared" ca="1" si="2"/>
        <v>-10000000000</v>
      </c>
    </row>
    <row r="50" spans="1:31" ht="15" x14ac:dyDescent="0.35">
      <c r="A50" s="238"/>
      <c r="B50" s="182"/>
      <c r="C50" s="182"/>
      <c r="D50" s="182"/>
      <c r="E50" s="182"/>
      <c r="F50" s="182"/>
      <c r="G50" s="182"/>
      <c r="H50" s="242"/>
      <c r="I50" s="148"/>
      <c r="J50" s="154">
        <f t="shared" si="18"/>
        <v>0</v>
      </c>
      <c r="K50" s="155">
        <f t="shared" si="19"/>
        <v>0</v>
      </c>
      <c r="L50" s="148"/>
      <c r="M50" s="148"/>
      <c r="N50" s="148"/>
      <c r="O50" s="148"/>
      <c r="P50" s="148"/>
      <c r="Q50" s="148" t="s">
        <v>107</v>
      </c>
      <c r="R50" s="148" cm="1">
        <f t="array" ref="R50">IF($Q50="",0,SUMPRODUCT((Table1[Arr Date]&gt;=$B$5)*(Table1[Arr Date]&lt;=$B$6)*(($B$7="ALL")+(Table1[HTL BKG Status]=$B$7)&gt;0)*(($B$8="ALL")+(Table1[T/O]=$B$8)&gt;0)*(($B$9="ALL")+(TRIM(Table1[Market])=$B$9)&gt;0)*(($B$10="ALL")+(Table1[Resort]=$B$10)&gt;0)*(TRIM(Table1[Hotel Name])=$Q50)))</f>
        <v>0</v>
      </c>
      <c r="S50" s="148" cm="1">
        <f t="array" ref="S50">IF($Q50="",0,SUMPRODUCT((Table1[Arr Date]&gt;=$B$5)*(Table1[Arr Date]&lt;=$B$6)*(($B$7="ALL")+(Table1[HTL BKG Status]=$B$7)&gt;0)*(($B$8="ALL")+(Table1[T/O]=$B$8)&gt;0)*(($B$9="ALL")+(TRIM(Table1[Market])=$B$9)&gt;0)*(($B$10="ALL")+(Table1[Resort]=$B$10)&gt;0)*(TRIM(Table1[Hotel Name])=$Q50)*IFERROR(Table1[No RMS]+0,0)))</f>
        <v>0</v>
      </c>
      <c r="T50" s="148" cm="1">
        <f t="array" ref="T50">IF($Q50="",0,SUMPRODUCT((Table1[Arr Date]&gt;=$B$5)*(Table1[Arr Date]&lt;=$B$6)*(($B$7="ALL")+(Table1[HTL BKG Status]=$B$7)&gt;0)*(($B$8="ALL")+(Table1[T/O]=$B$8)&gt;0)*(($B$9="ALL")+(TRIM(Table1[Market])=$B$9)&gt;0)*(($B$10="ALL")+(Table1[Resort]=$B$10)&gt;0)*(TRIM(Table1[Hotel Name])=$Q50)*IFERROR(Table1[NTS]+0,0)*IFERROR(Table1[No RMS]+0,0)))</f>
        <v>0</v>
      </c>
      <c r="U50" s="148" cm="1">
        <f t="array" ref="U50">IF($Q50="",0,SUMPRODUCT((Table1[Arr Date]&gt;=$B$5)*(Table1[Arr Date]&lt;=$B$6)*(($B$7="ALL")+(Table1[HTL BKG Status]=$B$7)&gt;0)*(($B$8="ALL")+(Table1[T/O]=$B$8)&gt;0)*(($B$9="ALL")+(TRIM(Table1[Market])=$B$9)&gt;0)*(($B$10="ALL")+(Table1[Resort]=$B$10)&gt;0)*(TRIM(Table1[Hotel Name])=$Q50)*IFERROR(Table1[Selling EUR]+0,0)))</f>
        <v>0</v>
      </c>
      <c r="V50" s="148" cm="1">
        <f t="array" ref="V50">IF($Q50="",0,SUMPRODUCT((Table1[Arr Date]&gt;=$B$5)*(Table1[Arr Date]&lt;=$B$6)*(($B$7="ALL")+(Table1[HTL BKG Status]=$B$7)&gt;0)*(($B$8="ALL")+(Table1[T/O]=$B$8)&gt;0)*(($B$9="ALL")+(TRIM(Table1[Market])=$B$9)&gt;0)*(($B$10="ALL")+(Table1[Resort]=$B$10)&gt;0)*(TRIM(Table1[Hotel Name])=$Q50)*IFERROR(Table1[P/L EUR]+0,0)))</f>
        <v>0</v>
      </c>
      <c r="W50" s="148">
        <f t="shared" si="0"/>
        <v>5.0000000000000001E-4</v>
      </c>
      <c r="X50" s="148"/>
      <c r="Y50" s="148">
        <v>45956</v>
      </c>
      <c r="Z50" s="148">
        <v>14283032</v>
      </c>
      <c r="AA50" s="148" t="s">
        <v>85</v>
      </c>
      <c r="AB50" s="148">
        <v>45971</v>
      </c>
      <c r="AC50" s="148">
        <v>0</v>
      </c>
      <c r="AD50" s="148">
        <f t="shared" ca="1" si="1"/>
        <v>-246</v>
      </c>
      <c r="AE50" s="148">
        <f t="shared" ca="1" si="2"/>
        <v>-10000000000</v>
      </c>
    </row>
    <row r="51" spans="1:31" ht="15" x14ac:dyDescent="0.35">
      <c r="A51" s="210"/>
      <c r="B51" s="177"/>
      <c r="C51" s="177"/>
      <c r="D51" s="177"/>
      <c r="E51" s="177"/>
      <c r="F51" s="177"/>
      <c r="G51" s="177"/>
      <c r="H51" s="243"/>
      <c r="I51" s="148"/>
      <c r="J51" s="154">
        <f t="shared" si="18"/>
        <v>0</v>
      </c>
      <c r="K51" s="155">
        <f t="shared" si="19"/>
        <v>0</v>
      </c>
      <c r="L51" s="148"/>
      <c r="M51" s="148"/>
      <c r="N51" s="148"/>
      <c r="O51" s="148"/>
      <c r="P51" s="148"/>
      <c r="Q51" s="148" t="s">
        <v>114</v>
      </c>
      <c r="R51" s="148" cm="1">
        <f t="array" ref="R51">IF($Q51="",0,SUMPRODUCT((Table1[Arr Date]&gt;=$B$5)*(Table1[Arr Date]&lt;=$B$6)*(($B$7="ALL")+(Table1[HTL BKG Status]=$B$7)&gt;0)*(($B$8="ALL")+(Table1[T/O]=$B$8)&gt;0)*(($B$9="ALL")+(TRIM(Table1[Market])=$B$9)&gt;0)*(($B$10="ALL")+(Table1[Resort]=$B$10)&gt;0)*(TRIM(Table1[Hotel Name])=$Q51)))</f>
        <v>1</v>
      </c>
      <c r="S51" s="148" cm="1">
        <f t="array" ref="S51">IF($Q51="",0,SUMPRODUCT((Table1[Arr Date]&gt;=$B$5)*(Table1[Arr Date]&lt;=$B$6)*(($B$7="ALL")+(Table1[HTL BKG Status]=$B$7)&gt;0)*(($B$8="ALL")+(Table1[T/O]=$B$8)&gt;0)*(($B$9="ALL")+(TRIM(Table1[Market])=$B$9)&gt;0)*(($B$10="ALL")+(Table1[Resort]=$B$10)&gt;0)*(TRIM(Table1[Hotel Name])=$Q51)*IFERROR(Table1[No RMS]+0,0)))</f>
        <v>1</v>
      </c>
      <c r="T51" s="148" cm="1">
        <f t="array" ref="T51">IF($Q51="",0,SUMPRODUCT((Table1[Arr Date]&gt;=$B$5)*(Table1[Arr Date]&lt;=$B$6)*(($B$7="ALL")+(Table1[HTL BKG Status]=$B$7)&gt;0)*(($B$8="ALL")+(Table1[T/O]=$B$8)&gt;0)*(($B$9="ALL")+(TRIM(Table1[Market])=$B$9)&gt;0)*(($B$10="ALL")+(Table1[Resort]=$B$10)&gt;0)*(TRIM(Table1[Hotel Name])=$Q51)*IFERROR(Table1[NTS]+0,0)*IFERROR(Table1[No RMS]+0,0)))</f>
        <v>14</v>
      </c>
      <c r="U51" s="148" cm="1">
        <f t="array" ref="U51">IF($Q51="",0,SUMPRODUCT((Table1[Arr Date]&gt;=$B$5)*(Table1[Arr Date]&lt;=$B$6)*(($B$7="ALL")+(Table1[HTL BKG Status]=$B$7)&gt;0)*(($B$8="ALL")+(Table1[T/O]=$B$8)&gt;0)*(($B$9="ALL")+(TRIM(Table1[Market])=$B$9)&gt;0)*(($B$10="ALL")+(Table1[Resort]=$B$10)&gt;0)*(TRIM(Table1[Hotel Name])=$Q51)*IFERROR(Table1[Selling EUR]+0,0)))</f>
        <v>0</v>
      </c>
      <c r="V51" s="148" cm="1">
        <f t="array" ref="V51">IF($Q51="",0,SUMPRODUCT((Table1[Arr Date]&gt;=$B$5)*(Table1[Arr Date]&lt;=$B$6)*(($B$7="ALL")+(Table1[HTL BKG Status]=$B$7)&gt;0)*(($B$8="ALL")+(Table1[T/O]=$B$8)&gt;0)*(($B$9="ALL")+(TRIM(Table1[Market])=$B$9)&gt;0)*(($B$10="ALL")+(Table1[Resort]=$B$10)&gt;0)*(TRIM(Table1[Hotel Name])=$Q51)*IFERROR(Table1[P/L EUR]+0,0)))</f>
        <v>0</v>
      </c>
      <c r="W51" s="148">
        <f t="shared" si="0"/>
        <v>1.00051</v>
      </c>
      <c r="X51" s="148"/>
      <c r="Y51" s="148">
        <v>45931</v>
      </c>
      <c r="Z51" s="148">
        <v>16829486</v>
      </c>
      <c r="AA51" s="148" t="s">
        <v>93</v>
      </c>
      <c r="AB51" s="148">
        <v>45945</v>
      </c>
      <c r="AC51" s="148">
        <v>1138.95</v>
      </c>
      <c r="AD51" s="148">
        <f t="shared" ca="1" si="1"/>
        <v>-271</v>
      </c>
      <c r="AE51" s="148">
        <f t="shared" ca="1" si="2"/>
        <v>-10000000000</v>
      </c>
    </row>
    <row r="52" spans="1:31" ht="15" x14ac:dyDescent="0.35">
      <c r="A52" s="238"/>
      <c r="B52" s="182"/>
      <c r="C52" s="182"/>
      <c r="D52" s="182"/>
      <c r="E52" s="182"/>
      <c r="F52" s="182"/>
      <c r="G52" s="182"/>
      <c r="H52" s="242"/>
      <c r="I52" s="148"/>
      <c r="J52" s="154">
        <f t="shared" si="18"/>
        <v>0</v>
      </c>
      <c r="K52" s="155">
        <f t="shared" si="19"/>
        <v>0</v>
      </c>
      <c r="L52" s="148"/>
      <c r="M52" s="148"/>
      <c r="N52" s="148"/>
      <c r="O52" s="148"/>
      <c r="P52" s="148"/>
      <c r="Q52" s="148" t="s">
        <v>119</v>
      </c>
      <c r="R52" s="148" cm="1">
        <f t="array" ref="R52">IF($Q52="",0,SUMPRODUCT((Table1[Arr Date]&gt;=$B$5)*(Table1[Arr Date]&lt;=$B$6)*(($B$7="ALL")+(Table1[HTL BKG Status]=$B$7)&gt;0)*(($B$8="ALL")+(Table1[T/O]=$B$8)&gt;0)*(($B$9="ALL")+(TRIM(Table1[Market])=$B$9)&gt;0)*(($B$10="ALL")+(Table1[Resort]=$B$10)&gt;0)*(TRIM(Table1[Hotel Name])=$Q52)))</f>
        <v>0</v>
      </c>
      <c r="S52" s="148" cm="1">
        <f t="array" ref="S52">IF($Q52="",0,SUMPRODUCT((Table1[Arr Date]&gt;=$B$5)*(Table1[Arr Date]&lt;=$B$6)*(($B$7="ALL")+(Table1[HTL BKG Status]=$B$7)&gt;0)*(($B$8="ALL")+(Table1[T/O]=$B$8)&gt;0)*(($B$9="ALL")+(TRIM(Table1[Market])=$B$9)&gt;0)*(($B$10="ALL")+(Table1[Resort]=$B$10)&gt;0)*(TRIM(Table1[Hotel Name])=$Q52)*IFERROR(Table1[No RMS]+0,0)))</f>
        <v>0</v>
      </c>
      <c r="T52" s="148" cm="1">
        <f t="array" ref="T52">IF($Q52="",0,SUMPRODUCT((Table1[Arr Date]&gt;=$B$5)*(Table1[Arr Date]&lt;=$B$6)*(($B$7="ALL")+(Table1[HTL BKG Status]=$B$7)&gt;0)*(($B$8="ALL")+(Table1[T/O]=$B$8)&gt;0)*(($B$9="ALL")+(TRIM(Table1[Market])=$B$9)&gt;0)*(($B$10="ALL")+(Table1[Resort]=$B$10)&gt;0)*(TRIM(Table1[Hotel Name])=$Q52)*IFERROR(Table1[NTS]+0,0)*IFERROR(Table1[No RMS]+0,0)))</f>
        <v>0</v>
      </c>
      <c r="U52" s="148" cm="1">
        <f t="array" ref="U52">IF($Q52="",0,SUMPRODUCT((Table1[Arr Date]&gt;=$B$5)*(Table1[Arr Date]&lt;=$B$6)*(($B$7="ALL")+(Table1[HTL BKG Status]=$B$7)&gt;0)*(($B$8="ALL")+(Table1[T/O]=$B$8)&gt;0)*(($B$9="ALL")+(TRIM(Table1[Market])=$B$9)&gt;0)*(($B$10="ALL")+(Table1[Resort]=$B$10)&gt;0)*(TRIM(Table1[Hotel Name])=$Q52)*IFERROR(Table1[Selling EUR]+0,0)))</f>
        <v>0</v>
      </c>
      <c r="V52" s="148" cm="1">
        <f t="array" ref="V52">IF($Q52="",0,SUMPRODUCT((Table1[Arr Date]&gt;=$B$5)*(Table1[Arr Date]&lt;=$B$6)*(($B$7="ALL")+(Table1[HTL BKG Status]=$B$7)&gt;0)*(($B$8="ALL")+(Table1[T/O]=$B$8)&gt;0)*(($B$9="ALL")+(TRIM(Table1[Market])=$B$9)&gt;0)*(($B$10="ALL")+(Table1[Resort]=$B$10)&gt;0)*(TRIM(Table1[Hotel Name])=$Q52)*IFERROR(Table1[P/L EUR]+0,0)))</f>
        <v>0</v>
      </c>
      <c r="W52" s="148">
        <f t="shared" si="0"/>
        <v>5.1999999999999995E-4</v>
      </c>
      <c r="X52" s="148"/>
      <c r="Y52" s="148">
        <v>45984</v>
      </c>
      <c r="Z52" s="148">
        <v>16797910</v>
      </c>
      <c r="AA52" s="148" t="s">
        <v>94</v>
      </c>
      <c r="AB52" s="148">
        <v>45992</v>
      </c>
      <c r="AC52" s="148">
        <v>369.2</v>
      </c>
      <c r="AD52" s="148">
        <f t="shared" ca="1" si="1"/>
        <v>-218</v>
      </c>
      <c r="AE52" s="148">
        <f t="shared" ca="1" si="2"/>
        <v>-10000000000</v>
      </c>
    </row>
    <row r="53" spans="1:31" ht="15" x14ac:dyDescent="0.35">
      <c r="A53" s="239"/>
      <c r="B53" s="235"/>
      <c r="C53" s="235"/>
      <c r="D53" s="235"/>
      <c r="E53" s="235"/>
      <c r="F53" s="235"/>
      <c r="G53" s="235"/>
      <c r="H53" s="244"/>
      <c r="I53" s="148"/>
      <c r="J53" s="154">
        <f t="shared" si="18"/>
        <v>0</v>
      </c>
      <c r="K53" s="155">
        <f t="shared" si="19"/>
        <v>0</v>
      </c>
      <c r="L53" s="148"/>
      <c r="M53" s="148"/>
      <c r="N53" s="148"/>
      <c r="O53" s="148"/>
      <c r="P53" s="148"/>
      <c r="Q53" s="148"/>
      <c r="R53" s="148"/>
      <c r="S53" s="148"/>
      <c r="T53" s="148"/>
      <c r="U53" s="148"/>
      <c r="V53" s="148"/>
      <c r="W53" s="148"/>
      <c r="X53" s="148"/>
      <c r="Y53" s="148">
        <v>46001</v>
      </c>
      <c r="Z53" s="148">
        <v>16798050</v>
      </c>
      <c r="AA53" s="148" t="s">
        <v>95</v>
      </c>
      <c r="AB53" s="148">
        <v>46011</v>
      </c>
      <c r="AC53" s="148">
        <v>797.375</v>
      </c>
      <c r="AD53" s="148">
        <f t="shared" ca="1" si="1"/>
        <v>-201</v>
      </c>
      <c r="AE53" s="148">
        <f t="shared" ca="1" si="2"/>
        <v>-10000000000</v>
      </c>
    </row>
    <row r="54" spans="1:31" x14ac:dyDescent="0.3">
      <c r="A54" s="148"/>
      <c r="B54" s="148"/>
      <c r="C54" s="148"/>
      <c r="D54" s="148"/>
      <c r="E54" s="148"/>
      <c r="F54" s="148"/>
      <c r="G54" s="148"/>
      <c r="H54" s="148"/>
      <c r="I54" s="148"/>
      <c r="J54" s="148"/>
      <c r="K54" s="148"/>
      <c r="L54" s="148"/>
      <c r="M54" s="148"/>
      <c r="N54" s="148"/>
      <c r="O54" s="148"/>
      <c r="P54" s="148"/>
      <c r="Q54" s="148"/>
      <c r="R54" s="148"/>
      <c r="S54" s="148"/>
      <c r="T54" s="148"/>
      <c r="U54" s="148"/>
      <c r="V54" s="148"/>
      <c r="W54" s="148"/>
      <c r="X54" s="148"/>
      <c r="Y54" s="148">
        <v>46019</v>
      </c>
      <c r="Z54" s="148">
        <v>16803819</v>
      </c>
      <c r="AA54" s="148" t="s">
        <v>96</v>
      </c>
      <c r="AB54" s="148">
        <v>46029</v>
      </c>
      <c r="AC54" s="148">
        <v>994.5</v>
      </c>
      <c r="AD54" s="148">
        <f t="shared" ca="1" si="1"/>
        <v>-183</v>
      </c>
      <c r="AE54" s="148">
        <f t="shared" ca="1" si="2"/>
        <v>-10000000000</v>
      </c>
    </row>
    <row r="55" spans="1:31" x14ac:dyDescent="0.3">
      <c r="A55" s="148"/>
      <c r="B55" s="148"/>
      <c r="C55" s="148"/>
      <c r="D55" s="148"/>
      <c r="E55" s="148"/>
      <c r="F55" s="148"/>
      <c r="G55" s="148"/>
      <c r="H55" s="148"/>
      <c r="I55" s="148"/>
      <c r="J55" s="148"/>
      <c r="K55" s="148"/>
      <c r="L55" s="148"/>
      <c r="M55" s="148"/>
      <c r="N55" s="148"/>
      <c r="O55" s="148"/>
      <c r="P55" s="148"/>
      <c r="Q55" s="148"/>
      <c r="R55" s="148"/>
      <c r="S55" s="148"/>
      <c r="T55" s="148"/>
      <c r="U55" s="148"/>
      <c r="V55" s="148"/>
      <c r="W55" s="148"/>
      <c r="X55" s="148"/>
      <c r="Y55" s="148">
        <v>45951</v>
      </c>
      <c r="Z55" s="148">
        <v>16811703</v>
      </c>
      <c r="AA55" s="148" t="s">
        <v>62</v>
      </c>
      <c r="AB55" s="148">
        <v>45961</v>
      </c>
      <c r="AC55" s="148">
        <v>1522</v>
      </c>
      <c r="AD55" s="148">
        <f t="shared" ca="1" si="1"/>
        <v>-251</v>
      </c>
      <c r="AE55" s="148">
        <f t="shared" ca="1" si="2"/>
        <v>-10000000000</v>
      </c>
    </row>
    <row r="56" spans="1:31" x14ac:dyDescent="0.3">
      <c r="A56" s="148"/>
      <c r="B56" s="148"/>
      <c r="C56" s="148"/>
      <c r="D56" s="148"/>
      <c r="E56" s="148"/>
      <c r="F56" s="148"/>
      <c r="G56" s="148"/>
      <c r="H56" s="148"/>
      <c r="I56" s="148"/>
      <c r="J56" s="148"/>
      <c r="K56" s="148"/>
      <c r="L56" s="148"/>
      <c r="M56" s="148"/>
      <c r="N56" s="148"/>
      <c r="O56" s="148"/>
      <c r="P56" s="148"/>
      <c r="Q56" s="148"/>
      <c r="R56" s="148"/>
      <c r="S56" s="148"/>
      <c r="T56" s="148"/>
      <c r="U56" s="148"/>
      <c r="V56" s="148"/>
      <c r="W56" s="148"/>
      <c r="X56" s="148"/>
      <c r="Y56" s="148">
        <v>46061</v>
      </c>
      <c r="Z56" s="148">
        <v>16812373</v>
      </c>
      <c r="AA56" s="148" t="s">
        <v>97</v>
      </c>
      <c r="AB56" s="148">
        <v>46067</v>
      </c>
      <c r="AC56" s="148">
        <v>721.2</v>
      </c>
      <c r="AD56" s="148">
        <f t="shared" ca="1" si="1"/>
        <v>-141</v>
      </c>
      <c r="AE56" s="148">
        <f t="shared" ca="1" si="2"/>
        <v>-10000000000</v>
      </c>
    </row>
    <row r="57" spans="1:31" x14ac:dyDescent="0.3">
      <c r="A57" s="148"/>
      <c r="B57" s="148"/>
      <c r="C57" s="148"/>
      <c r="D57" s="148"/>
      <c r="E57" s="148"/>
      <c r="F57" s="148"/>
      <c r="G57" s="148"/>
      <c r="H57" s="148"/>
      <c r="I57" s="148"/>
      <c r="J57" s="148"/>
      <c r="K57" s="148"/>
      <c r="L57" s="148"/>
      <c r="M57" s="148"/>
      <c r="N57" s="148"/>
      <c r="O57" s="148"/>
      <c r="P57" s="148"/>
      <c r="Q57" s="148"/>
      <c r="R57" s="148"/>
      <c r="S57" s="148"/>
      <c r="T57" s="148"/>
      <c r="U57" s="148"/>
      <c r="V57" s="148"/>
      <c r="W57" s="148"/>
      <c r="X57" s="148"/>
      <c r="Y57" s="148">
        <v>45935</v>
      </c>
      <c r="Z57" s="148">
        <v>13121391</v>
      </c>
      <c r="AA57" s="148" t="s">
        <v>57</v>
      </c>
      <c r="AB57" s="148">
        <v>45943</v>
      </c>
      <c r="AC57" s="148">
        <v>820</v>
      </c>
      <c r="AD57" s="148">
        <f t="shared" ca="1" si="1"/>
        <v>-267</v>
      </c>
      <c r="AE57" s="148">
        <f t="shared" ca="1" si="2"/>
        <v>-10000000000</v>
      </c>
    </row>
    <row r="58" spans="1:31" x14ac:dyDescent="0.3">
      <c r="A58" s="148"/>
      <c r="B58" s="148"/>
      <c r="C58" s="148"/>
      <c r="D58" s="148"/>
      <c r="E58" s="148"/>
      <c r="F58" s="148"/>
      <c r="G58" s="148"/>
      <c r="H58" s="148"/>
      <c r="I58" s="148"/>
      <c r="J58" s="148"/>
      <c r="K58" s="148"/>
      <c r="L58" s="148"/>
      <c r="M58" s="148"/>
      <c r="N58" s="148"/>
      <c r="O58" s="148"/>
      <c r="P58" s="148"/>
      <c r="Q58" s="148"/>
      <c r="R58" s="148"/>
      <c r="S58" s="148"/>
      <c r="T58" s="148"/>
      <c r="U58" s="148"/>
      <c r="V58" s="148"/>
      <c r="W58" s="148"/>
      <c r="X58" s="148"/>
      <c r="Y58" s="148">
        <v>45949</v>
      </c>
      <c r="Z58" s="148">
        <v>16814150</v>
      </c>
      <c r="AA58" s="148" t="s">
        <v>90</v>
      </c>
      <c r="AB58" s="148">
        <v>45956</v>
      </c>
      <c r="AC58" s="148">
        <v>972</v>
      </c>
      <c r="AD58" s="148">
        <f t="shared" ca="1" si="1"/>
        <v>-253</v>
      </c>
      <c r="AE58" s="148">
        <f t="shared" ca="1" si="2"/>
        <v>-10000000000</v>
      </c>
    </row>
    <row r="59" spans="1:31" x14ac:dyDescent="0.3">
      <c r="A59" s="148"/>
      <c r="B59" s="148"/>
      <c r="C59" s="148"/>
      <c r="D59" s="148"/>
      <c r="E59" s="148"/>
      <c r="F59" s="148"/>
      <c r="G59" s="148"/>
      <c r="H59" s="148"/>
      <c r="I59" s="148"/>
      <c r="J59" s="148"/>
      <c r="K59" s="148"/>
      <c r="L59" s="148"/>
      <c r="M59" s="148"/>
      <c r="N59" s="148"/>
      <c r="O59" s="148"/>
      <c r="P59" s="148"/>
      <c r="Q59" s="148"/>
      <c r="R59" s="148"/>
      <c r="S59" s="148"/>
      <c r="T59" s="148"/>
      <c r="U59" s="148"/>
      <c r="V59" s="148"/>
      <c r="W59" s="148"/>
      <c r="X59" s="148"/>
      <c r="Y59" s="148">
        <v>45974</v>
      </c>
      <c r="Z59" s="148">
        <v>16813642</v>
      </c>
      <c r="AA59" s="148" t="s">
        <v>62</v>
      </c>
      <c r="AB59" s="148">
        <v>45970</v>
      </c>
      <c r="AC59" s="148">
        <v>567</v>
      </c>
      <c r="AD59" s="148">
        <f t="shared" ca="1" si="1"/>
        <v>-228</v>
      </c>
      <c r="AE59" s="148">
        <f t="shared" ca="1" si="2"/>
        <v>-10000000000</v>
      </c>
    </row>
    <row r="60" spans="1:31" x14ac:dyDescent="0.3">
      <c r="A60" s="148"/>
      <c r="B60" s="148"/>
      <c r="C60" s="148"/>
      <c r="D60" s="148"/>
      <c r="E60" s="148"/>
      <c r="F60" s="148"/>
      <c r="G60" s="148"/>
      <c r="H60" s="148"/>
      <c r="I60" s="148"/>
      <c r="J60" s="148"/>
      <c r="K60" s="148"/>
      <c r="L60" s="148"/>
      <c r="M60" s="148"/>
      <c r="N60" s="148"/>
      <c r="O60" s="148"/>
      <c r="P60" s="148"/>
      <c r="Q60" s="148"/>
      <c r="R60" s="148"/>
      <c r="S60" s="148"/>
      <c r="T60" s="148"/>
      <c r="U60" s="148"/>
      <c r="V60" s="148"/>
      <c r="W60" s="148"/>
      <c r="X60" s="148"/>
      <c r="Y60" s="148">
        <v>45967</v>
      </c>
      <c r="Z60" s="148">
        <v>13129082</v>
      </c>
      <c r="AA60" s="148" t="s">
        <v>55</v>
      </c>
      <c r="AB60" s="148">
        <v>45975</v>
      </c>
      <c r="AC60" s="148">
        <v>0</v>
      </c>
      <c r="AD60" s="148">
        <f t="shared" ca="1" si="1"/>
        <v>-235</v>
      </c>
      <c r="AE60" s="148">
        <f t="shared" ca="1" si="2"/>
        <v>-10000000000</v>
      </c>
    </row>
    <row r="61" spans="1:31" x14ac:dyDescent="0.3">
      <c r="A61" s="148"/>
      <c r="B61" s="148"/>
      <c r="C61" s="148"/>
      <c r="D61" s="148"/>
      <c r="E61" s="148"/>
      <c r="F61" s="148"/>
      <c r="G61" s="148"/>
      <c r="H61" s="148"/>
      <c r="I61" s="148"/>
      <c r="J61" s="148"/>
      <c r="K61" s="148"/>
      <c r="L61" s="148"/>
      <c r="M61" s="148"/>
      <c r="N61" s="148"/>
      <c r="O61" s="148"/>
      <c r="P61" s="148"/>
      <c r="Q61" s="148"/>
      <c r="R61" s="148"/>
      <c r="S61" s="148"/>
      <c r="T61" s="148"/>
      <c r="U61" s="148"/>
      <c r="V61" s="148"/>
      <c r="W61" s="148"/>
      <c r="X61" s="148"/>
      <c r="Y61" s="148">
        <v>45998</v>
      </c>
      <c r="Z61" s="148">
        <v>16815812</v>
      </c>
      <c r="AA61" s="148" t="s">
        <v>100</v>
      </c>
      <c r="AB61" s="148">
        <v>46006</v>
      </c>
      <c r="AC61" s="148">
        <v>783.9</v>
      </c>
      <c r="AD61" s="148">
        <f t="shared" ca="1" si="1"/>
        <v>-204</v>
      </c>
      <c r="AE61" s="148">
        <f t="shared" ca="1" si="2"/>
        <v>-10000000000</v>
      </c>
    </row>
    <row r="62" spans="1:31" x14ac:dyDescent="0.3">
      <c r="A62" s="148"/>
      <c r="B62" s="148"/>
      <c r="C62" s="148"/>
      <c r="D62" s="148"/>
      <c r="E62" s="148"/>
      <c r="F62" s="148"/>
      <c r="G62" s="148"/>
      <c r="H62" s="148"/>
      <c r="I62" s="148"/>
      <c r="J62" s="148"/>
      <c r="K62" s="148"/>
      <c r="L62" s="148"/>
      <c r="M62" s="148"/>
      <c r="N62" s="148"/>
      <c r="O62" s="148"/>
      <c r="P62" s="148"/>
      <c r="Q62" s="148"/>
      <c r="R62" s="148"/>
      <c r="S62" s="148"/>
      <c r="T62" s="148"/>
      <c r="U62" s="148"/>
      <c r="V62" s="148"/>
      <c r="W62" s="148"/>
      <c r="X62" s="148"/>
      <c r="Y62" s="148">
        <v>45953</v>
      </c>
      <c r="Z62" s="148">
        <v>13144803</v>
      </c>
      <c r="AA62" s="148" t="s">
        <v>101</v>
      </c>
      <c r="AB62" s="148">
        <v>45959</v>
      </c>
      <c r="AC62" s="148">
        <v>0</v>
      </c>
      <c r="AD62" s="148">
        <f t="shared" ca="1" si="1"/>
        <v>-249</v>
      </c>
      <c r="AE62" s="148">
        <f t="shared" ca="1" si="2"/>
        <v>-10000000000</v>
      </c>
    </row>
    <row r="63" spans="1:31" x14ac:dyDescent="0.3">
      <c r="A63" s="148"/>
      <c r="B63" s="148"/>
      <c r="C63" s="148"/>
      <c r="D63" s="148"/>
      <c r="E63" s="148"/>
      <c r="F63" s="148"/>
      <c r="G63" s="148"/>
      <c r="H63" s="148"/>
      <c r="I63" s="148"/>
      <c r="J63" s="148"/>
      <c r="K63" s="148"/>
      <c r="L63" s="148"/>
      <c r="M63" s="148"/>
      <c r="N63" s="148"/>
      <c r="O63" s="148"/>
      <c r="P63" s="148"/>
      <c r="Q63" s="148"/>
      <c r="R63" s="148"/>
      <c r="S63" s="148"/>
      <c r="T63" s="148"/>
      <c r="U63" s="148"/>
      <c r="V63" s="148"/>
      <c r="W63" s="148"/>
      <c r="X63" s="148"/>
      <c r="Y63" s="148">
        <v>45963</v>
      </c>
      <c r="Z63" s="148">
        <v>16820383</v>
      </c>
      <c r="AA63" s="148" t="s">
        <v>93</v>
      </c>
      <c r="AB63" s="148">
        <v>45972</v>
      </c>
      <c r="AC63" s="148">
        <v>1112.5</v>
      </c>
      <c r="AD63" s="148">
        <f t="shared" ca="1" si="1"/>
        <v>-239</v>
      </c>
      <c r="AE63" s="148">
        <f t="shared" ca="1" si="2"/>
        <v>-10000000000</v>
      </c>
    </row>
    <row r="64" spans="1:31" x14ac:dyDescent="0.3">
      <c r="A64" s="148"/>
      <c r="B64" s="148"/>
      <c r="C64" s="148"/>
      <c r="D64" s="148"/>
      <c r="E64" s="148"/>
      <c r="F64" s="148"/>
      <c r="G64" s="148"/>
      <c r="H64" s="148"/>
      <c r="I64" s="148"/>
      <c r="J64" s="148"/>
      <c r="K64" s="148"/>
      <c r="L64" s="148"/>
      <c r="M64" s="148"/>
      <c r="N64" s="148"/>
      <c r="O64" s="148"/>
      <c r="P64" s="148"/>
      <c r="Q64" s="148"/>
      <c r="R64" s="148"/>
      <c r="S64" s="148"/>
      <c r="T64" s="148"/>
      <c r="U64" s="148"/>
      <c r="V64" s="148"/>
      <c r="W64" s="148"/>
      <c r="X64" s="148"/>
      <c r="Y64" s="148">
        <v>45945</v>
      </c>
      <c r="Z64" s="148">
        <v>16823575</v>
      </c>
      <c r="AA64" s="148" t="s">
        <v>57</v>
      </c>
      <c r="AB64" s="148">
        <v>45945</v>
      </c>
      <c r="AC64" s="148">
        <v>1312</v>
      </c>
      <c r="AD64" s="148">
        <f t="shared" ca="1" si="1"/>
        <v>-257</v>
      </c>
      <c r="AE64" s="148">
        <f t="shared" ca="1" si="2"/>
        <v>-10000000000</v>
      </c>
    </row>
    <row r="65" spans="1:31" x14ac:dyDescent="0.3">
      <c r="A65" s="148"/>
      <c r="B65" s="148"/>
      <c r="C65" s="148"/>
      <c r="D65" s="148"/>
      <c r="E65" s="148"/>
      <c r="F65" s="148"/>
      <c r="G65" s="148"/>
      <c r="H65" s="148"/>
      <c r="I65" s="148"/>
      <c r="J65" s="148"/>
      <c r="K65" s="148"/>
      <c r="L65" s="148"/>
      <c r="M65" s="148"/>
      <c r="N65" s="148"/>
      <c r="O65" s="148"/>
      <c r="P65" s="148"/>
      <c r="Q65" s="148"/>
      <c r="R65" s="148"/>
      <c r="S65" s="148"/>
      <c r="T65" s="148"/>
      <c r="U65" s="148"/>
      <c r="V65" s="148"/>
      <c r="W65" s="148"/>
      <c r="X65" s="148"/>
      <c r="Y65" s="148">
        <v>45953</v>
      </c>
      <c r="Z65" s="148">
        <v>14191542</v>
      </c>
      <c r="AA65" s="148" t="s">
        <v>103</v>
      </c>
      <c r="AB65" s="148">
        <v>45964</v>
      </c>
      <c r="AC65" s="148">
        <v>1140</v>
      </c>
      <c r="AD65" s="148">
        <f t="shared" ca="1" si="1"/>
        <v>-249</v>
      </c>
      <c r="AE65" s="148">
        <f t="shared" ca="1" si="2"/>
        <v>-10000000000</v>
      </c>
    </row>
    <row r="66" spans="1:31" x14ac:dyDescent="0.3">
      <c r="A66" s="148"/>
      <c r="B66" s="148"/>
      <c r="C66" s="148"/>
      <c r="D66" s="148"/>
      <c r="E66" s="148"/>
      <c r="F66" s="148"/>
      <c r="G66" s="148"/>
      <c r="H66" s="148"/>
      <c r="I66" s="148"/>
      <c r="J66" s="148"/>
      <c r="K66" s="148"/>
      <c r="L66" s="148"/>
      <c r="M66" s="148"/>
      <c r="N66" s="148"/>
      <c r="O66" s="148"/>
      <c r="P66" s="148"/>
      <c r="Q66" s="148"/>
      <c r="R66" s="148"/>
      <c r="S66" s="148"/>
      <c r="T66" s="148"/>
      <c r="U66" s="148"/>
      <c r="V66" s="148"/>
      <c r="W66" s="148"/>
      <c r="X66" s="148"/>
      <c r="Y66" s="148">
        <v>45945</v>
      </c>
      <c r="Z66" s="148">
        <v>16829694</v>
      </c>
      <c r="AA66" s="148" t="s">
        <v>90</v>
      </c>
      <c r="AB66" s="148">
        <v>45953</v>
      </c>
      <c r="AC66" s="148">
        <v>600</v>
      </c>
      <c r="AD66" s="148">
        <f t="shared" ca="1" si="1"/>
        <v>-257</v>
      </c>
      <c r="AE66" s="148">
        <f t="shared" ca="1" si="2"/>
        <v>-10000000000</v>
      </c>
    </row>
    <row r="67" spans="1:31" x14ac:dyDescent="0.3">
      <c r="A67" s="148"/>
      <c r="B67" s="148"/>
      <c r="C67" s="148"/>
      <c r="D67" s="148"/>
      <c r="E67" s="148"/>
      <c r="F67" s="148"/>
      <c r="G67" s="148"/>
      <c r="H67" s="148"/>
      <c r="I67" s="148"/>
      <c r="J67" s="148"/>
      <c r="K67" s="148"/>
      <c r="L67" s="148"/>
      <c r="M67" s="148"/>
      <c r="N67" s="148"/>
      <c r="O67" s="148"/>
      <c r="P67" s="148"/>
      <c r="Q67" s="148"/>
      <c r="R67" s="148"/>
      <c r="S67" s="148"/>
      <c r="T67" s="148"/>
      <c r="U67" s="148"/>
      <c r="V67" s="148"/>
      <c r="W67" s="148"/>
      <c r="X67" s="148"/>
      <c r="Y67" s="148">
        <v>45956</v>
      </c>
      <c r="Z67" s="148">
        <v>16828550</v>
      </c>
      <c r="AA67" s="148" t="s">
        <v>96</v>
      </c>
      <c r="AB67" s="148">
        <v>45963</v>
      </c>
      <c r="AC67" s="148">
        <v>1020</v>
      </c>
      <c r="AD67" s="148">
        <f t="shared" ca="1" si="1"/>
        <v>-246</v>
      </c>
      <c r="AE67" s="148">
        <f t="shared" ca="1" si="2"/>
        <v>-10000000000</v>
      </c>
    </row>
    <row r="68" spans="1:31" x14ac:dyDescent="0.3">
      <c r="A68" s="148"/>
      <c r="B68" s="148"/>
      <c r="C68" s="148"/>
      <c r="D68" s="148"/>
      <c r="E68" s="148"/>
      <c r="F68" s="148"/>
      <c r="G68" s="148"/>
      <c r="H68" s="148"/>
      <c r="I68" s="148"/>
      <c r="J68" s="148"/>
      <c r="K68" s="148"/>
      <c r="L68" s="148"/>
      <c r="M68" s="148"/>
      <c r="N68" s="148"/>
      <c r="O68" s="148"/>
      <c r="P68" s="148"/>
      <c r="Q68" s="148"/>
      <c r="R68" s="148"/>
      <c r="S68" s="148"/>
      <c r="T68" s="148"/>
      <c r="U68" s="148"/>
      <c r="V68" s="148"/>
      <c r="W68" s="148"/>
      <c r="X68" s="148"/>
      <c r="Y68" s="148">
        <v>45992</v>
      </c>
      <c r="Z68" s="148">
        <v>13439400</v>
      </c>
      <c r="AA68" s="148" t="s">
        <v>85</v>
      </c>
      <c r="AB68" s="148">
        <v>46005</v>
      </c>
      <c r="AC68" s="148">
        <v>1850</v>
      </c>
      <c r="AD68" s="148">
        <f t="shared" ref="AD68:AD131" ca="1" si="20">IF(Y68="","",Y68-TODAY())</f>
        <v>-210</v>
      </c>
      <c r="AE68" s="148">
        <f t="shared" ref="AE68:AE131" ca="1" si="21">IF(OR(Y68="",AD68&lt;0,AD68&gt;60),-10000000000,-AD68*1000+ROW()/100000)</f>
        <v>-10000000000</v>
      </c>
    </row>
    <row r="69" spans="1:31" x14ac:dyDescent="0.3">
      <c r="A69" s="148"/>
      <c r="B69" s="148"/>
      <c r="C69" s="148"/>
      <c r="D69" s="148"/>
      <c r="E69" s="148"/>
      <c r="F69" s="148"/>
      <c r="G69" s="148"/>
      <c r="H69" s="148"/>
      <c r="I69" s="148"/>
      <c r="J69" s="148"/>
      <c r="K69" s="148"/>
      <c r="L69" s="148"/>
      <c r="M69" s="148"/>
      <c r="N69" s="148"/>
      <c r="O69" s="148"/>
      <c r="P69" s="148"/>
      <c r="Q69" s="148"/>
      <c r="R69" s="148"/>
      <c r="S69" s="148"/>
      <c r="T69" s="148"/>
      <c r="U69" s="148"/>
      <c r="V69" s="148"/>
      <c r="W69" s="148"/>
      <c r="X69" s="148"/>
      <c r="Y69" s="148">
        <v>45915</v>
      </c>
      <c r="Z69" s="148">
        <v>16831964</v>
      </c>
      <c r="AA69" s="148" t="s">
        <v>90</v>
      </c>
      <c r="AB69" s="148">
        <v>45922</v>
      </c>
      <c r="AC69" s="148">
        <v>1172</v>
      </c>
      <c r="AD69" s="148">
        <f t="shared" ca="1" si="20"/>
        <v>-287</v>
      </c>
      <c r="AE69" s="148">
        <f t="shared" ca="1" si="21"/>
        <v>-10000000000</v>
      </c>
    </row>
    <row r="70" spans="1:31" x14ac:dyDescent="0.3">
      <c r="A70" s="148"/>
      <c r="B70" s="148"/>
      <c r="C70" s="148"/>
      <c r="D70" s="148"/>
      <c r="E70" s="148"/>
      <c r="F70" s="148"/>
      <c r="G70" s="148"/>
      <c r="H70" s="148"/>
      <c r="I70" s="148"/>
      <c r="J70" s="148"/>
      <c r="K70" s="148"/>
      <c r="L70" s="148"/>
      <c r="M70" s="148"/>
      <c r="N70" s="148"/>
      <c r="O70" s="148"/>
      <c r="P70" s="148"/>
      <c r="Q70" s="148"/>
      <c r="R70" s="148"/>
      <c r="S70" s="148"/>
      <c r="T70" s="148"/>
      <c r="U70" s="148"/>
      <c r="V70" s="148"/>
      <c r="W70" s="148"/>
      <c r="X70" s="148"/>
      <c r="Y70" s="148">
        <v>46005</v>
      </c>
      <c r="Z70" s="148">
        <v>16831220</v>
      </c>
      <c r="AA70" s="148" t="s">
        <v>104</v>
      </c>
      <c r="AB70" s="148">
        <v>46016</v>
      </c>
      <c r="AC70" s="148">
        <v>1630.2</v>
      </c>
      <c r="AD70" s="148">
        <f t="shared" ca="1" si="20"/>
        <v>-197</v>
      </c>
      <c r="AE70" s="148">
        <f t="shared" ca="1" si="21"/>
        <v>-10000000000</v>
      </c>
    </row>
    <row r="71" spans="1:31" x14ac:dyDescent="0.3">
      <c r="A71" s="148"/>
      <c r="B71" s="148"/>
      <c r="C71" s="148"/>
      <c r="D71" s="148"/>
      <c r="E71" s="148"/>
      <c r="F71" s="148"/>
      <c r="G71" s="148"/>
      <c r="H71" s="148"/>
      <c r="I71" s="148"/>
      <c r="J71" s="148"/>
      <c r="K71" s="148"/>
      <c r="L71" s="148"/>
      <c r="M71" s="148"/>
      <c r="N71" s="148"/>
      <c r="O71" s="148"/>
      <c r="P71" s="148"/>
      <c r="Q71" s="148"/>
      <c r="R71" s="148"/>
      <c r="S71" s="148"/>
      <c r="T71" s="148"/>
      <c r="U71" s="148"/>
      <c r="V71" s="148"/>
      <c r="W71" s="148"/>
      <c r="X71" s="148"/>
      <c r="Y71" s="148">
        <v>45963</v>
      </c>
      <c r="Z71" s="148">
        <v>16837874</v>
      </c>
      <c r="AA71" s="148" t="s">
        <v>93</v>
      </c>
      <c r="AB71" s="148">
        <v>45968</v>
      </c>
      <c r="AC71" s="148">
        <v>1225</v>
      </c>
      <c r="AD71" s="148">
        <f t="shared" ca="1" si="20"/>
        <v>-239</v>
      </c>
      <c r="AE71" s="148">
        <f t="shared" ca="1" si="21"/>
        <v>-10000000000</v>
      </c>
    </row>
    <row r="72" spans="1:31" x14ac:dyDescent="0.3">
      <c r="A72" s="148"/>
      <c r="B72" s="148"/>
      <c r="C72" s="148"/>
      <c r="D72" s="148"/>
      <c r="E72" s="148"/>
      <c r="F72" s="148"/>
      <c r="G72" s="148"/>
      <c r="H72" s="148"/>
      <c r="I72" s="148"/>
      <c r="J72" s="148"/>
      <c r="K72" s="148"/>
      <c r="L72" s="148"/>
      <c r="M72" s="148"/>
      <c r="N72" s="148"/>
      <c r="O72" s="148"/>
      <c r="P72" s="148"/>
      <c r="Q72" s="148"/>
      <c r="R72" s="148"/>
      <c r="S72" s="148"/>
      <c r="T72" s="148"/>
      <c r="U72" s="148"/>
      <c r="V72" s="148"/>
      <c r="W72" s="148"/>
      <c r="X72" s="148"/>
      <c r="Y72" s="148">
        <v>45957</v>
      </c>
      <c r="Z72" s="148">
        <v>16837990</v>
      </c>
      <c r="AA72" s="148" t="s">
        <v>95</v>
      </c>
      <c r="AB72" s="148">
        <v>45964</v>
      </c>
      <c r="AC72" s="148">
        <v>1645.6</v>
      </c>
      <c r="AD72" s="148">
        <f t="shared" ca="1" si="20"/>
        <v>-245</v>
      </c>
      <c r="AE72" s="148">
        <f t="shared" ca="1" si="21"/>
        <v>-10000000000</v>
      </c>
    </row>
    <row r="73" spans="1:31" x14ac:dyDescent="0.3">
      <c r="A73" s="148"/>
      <c r="B73" s="148"/>
      <c r="C73" s="148"/>
      <c r="D73" s="148"/>
      <c r="E73" s="148"/>
      <c r="F73" s="148"/>
      <c r="G73" s="148"/>
      <c r="H73" s="148"/>
      <c r="I73" s="148"/>
      <c r="J73" s="148"/>
      <c r="K73" s="148"/>
      <c r="L73" s="148"/>
      <c r="M73" s="148"/>
      <c r="N73" s="148"/>
      <c r="O73" s="148"/>
      <c r="P73" s="148"/>
      <c r="Q73" s="148"/>
      <c r="R73" s="148"/>
      <c r="S73" s="148"/>
      <c r="T73" s="148"/>
      <c r="U73" s="148"/>
      <c r="V73" s="148"/>
      <c r="W73" s="148"/>
      <c r="X73" s="148"/>
      <c r="Y73" s="148">
        <v>45910</v>
      </c>
      <c r="Z73" s="148">
        <v>13274406</v>
      </c>
      <c r="AA73" s="148" t="s">
        <v>107</v>
      </c>
      <c r="AB73" s="148">
        <v>45923</v>
      </c>
      <c r="AC73" s="148">
        <v>0</v>
      </c>
      <c r="AD73" s="148">
        <f t="shared" ca="1" si="20"/>
        <v>-292</v>
      </c>
      <c r="AE73" s="148">
        <f t="shared" ca="1" si="21"/>
        <v>-10000000000</v>
      </c>
    </row>
    <row r="74" spans="1:31" x14ac:dyDescent="0.3">
      <c r="A74" s="148"/>
      <c r="B74" s="148"/>
      <c r="C74" s="148"/>
      <c r="D74" s="148"/>
      <c r="E74" s="148"/>
      <c r="F74" s="148"/>
      <c r="G74" s="148"/>
      <c r="H74" s="148"/>
      <c r="I74" s="148"/>
      <c r="J74" s="148"/>
      <c r="K74" s="148"/>
      <c r="L74" s="148"/>
      <c r="M74" s="148"/>
      <c r="N74" s="148"/>
      <c r="O74" s="148"/>
      <c r="P74" s="148"/>
      <c r="Q74" s="148"/>
      <c r="R74" s="148"/>
      <c r="S74" s="148"/>
      <c r="T74" s="148"/>
      <c r="U74" s="148"/>
      <c r="V74" s="148"/>
      <c r="W74" s="148"/>
      <c r="X74" s="148"/>
      <c r="Y74" s="148">
        <v>45921</v>
      </c>
      <c r="Z74" s="148">
        <v>16841614</v>
      </c>
      <c r="AA74" s="148" t="s">
        <v>108</v>
      </c>
      <c r="AB74" s="148">
        <v>45930</v>
      </c>
      <c r="AC74" s="148">
        <v>0</v>
      </c>
      <c r="AD74" s="148">
        <f t="shared" ca="1" si="20"/>
        <v>-281</v>
      </c>
      <c r="AE74" s="148">
        <f t="shared" ca="1" si="21"/>
        <v>-10000000000</v>
      </c>
    </row>
    <row r="75" spans="1:31" x14ac:dyDescent="0.3">
      <c r="A75" s="148"/>
      <c r="B75" s="148"/>
      <c r="C75" s="148"/>
      <c r="D75" s="148"/>
      <c r="E75" s="148"/>
      <c r="F75" s="148"/>
      <c r="G75" s="148"/>
      <c r="H75" s="148"/>
      <c r="I75" s="148"/>
      <c r="J75" s="148"/>
      <c r="K75" s="148"/>
      <c r="L75" s="148"/>
      <c r="M75" s="148"/>
      <c r="N75" s="148"/>
      <c r="O75" s="148"/>
      <c r="P75" s="148"/>
      <c r="Q75" s="148"/>
      <c r="R75" s="148"/>
      <c r="S75" s="148"/>
      <c r="T75" s="148"/>
      <c r="U75" s="148"/>
      <c r="V75" s="148"/>
      <c r="W75" s="148"/>
      <c r="X75" s="148"/>
      <c r="Y75" s="148">
        <v>45952</v>
      </c>
      <c r="Z75" s="148">
        <v>16839972</v>
      </c>
      <c r="AA75" s="148" t="s">
        <v>109</v>
      </c>
      <c r="AB75" s="148">
        <v>45962</v>
      </c>
      <c r="AC75" s="148">
        <v>0</v>
      </c>
      <c r="AD75" s="148">
        <f t="shared" ca="1" si="20"/>
        <v>-250</v>
      </c>
      <c r="AE75" s="148">
        <f t="shared" ca="1" si="21"/>
        <v>-10000000000</v>
      </c>
    </row>
    <row r="76" spans="1:31" x14ac:dyDescent="0.3">
      <c r="A76" s="148"/>
      <c r="B76" s="148"/>
      <c r="C76" s="148"/>
      <c r="D76" s="148"/>
      <c r="E76" s="148"/>
      <c r="F76" s="148"/>
      <c r="G76" s="148"/>
      <c r="H76" s="148"/>
      <c r="I76" s="148"/>
      <c r="J76" s="148"/>
      <c r="K76" s="148"/>
      <c r="L76" s="148"/>
      <c r="M76" s="148"/>
      <c r="N76" s="148"/>
      <c r="O76" s="148"/>
      <c r="P76" s="148"/>
      <c r="Q76" s="148"/>
      <c r="R76" s="148"/>
      <c r="S76" s="148"/>
      <c r="T76" s="148"/>
      <c r="U76" s="148"/>
      <c r="V76" s="148"/>
      <c r="W76" s="148"/>
      <c r="X76" s="148"/>
      <c r="Y76" s="148">
        <v>46030</v>
      </c>
      <c r="Z76" s="148">
        <v>16839709</v>
      </c>
      <c r="AA76" s="148" t="s">
        <v>51</v>
      </c>
      <c r="AB76" s="148">
        <v>46035</v>
      </c>
      <c r="AC76" s="148">
        <v>0</v>
      </c>
      <c r="AD76" s="148">
        <f t="shared" ca="1" si="20"/>
        <v>-172</v>
      </c>
      <c r="AE76" s="148">
        <f t="shared" ca="1" si="21"/>
        <v>-10000000000</v>
      </c>
    </row>
    <row r="77" spans="1:31" x14ac:dyDescent="0.3">
      <c r="A77" s="148"/>
      <c r="B77" s="148"/>
      <c r="C77" s="148"/>
      <c r="D77" s="148"/>
      <c r="E77" s="148"/>
      <c r="F77" s="148"/>
      <c r="G77" s="148"/>
      <c r="H77" s="148"/>
      <c r="I77" s="148"/>
      <c r="J77" s="148"/>
      <c r="K77" s="148"/>
      <c r="L77" s="148"/>
      <c r="M77" s="148"/>
      <c r="N77" s="148"/>
      <c r="O77" s="148"/>
      <c r="P77" s="148"/>
      <c r="Q77" s="148"/>
      <c r="R77" s="148"/>
      <c r="S77" s="148"/>
      <c r="T77" s="148"/>
      <c r="U77" s="148"/>
      <c r="V77" s="148"/>
      <c r="W77" s="148"/>
      <c r="X77" s="148"/>
      <c r="Y77" s="148">
        <v>45935</v>
      </c>
      <c r="Z77" s="148">
        <v>16836655</v>
      </c>
      <c r="AA77" s="148" t="s">
        <v>92</v>
      </c>
      <c r="AB77" s="148">
        <v>45944</v>
      </c>
      <c r="AC77" s="148">
        <v>1530.9</v>
      </c>
      <c r="AD77" s="148">
        <f t="shared" ca="1" si="20"/>
        <v>-267</v>
      </c>
      <c r="AE77" s="148">
        <f t="shared" ca="1" si="21"/>
        <v>-10000000000</v>
      </c>
    </row>
    <row r="78" spans="1:31" x14ac:dyDescent="0.3">
      <c r="A78" s="148"/>
      <c r="B78" s="148"/>
      <c r="C78" s="148"/>
      <c r="D78" s="148"/>
      <c r="E78" s="148"/>
      <c r="F78" s="148"/>
      <c r="G78" s="148"/>
      <c r="H78" s="148"/>
      <c r="I78" s="148"/>
      <c r="J78" s="148"/>
      <c r="K78" s="148"/>
      <c r="L78" s="148"/>
      <c r="M78" s="148"/>
      <c r="N78" s="148"/>
      <c r="O78" s="148"/>
      <c r="P78" s="148"/>
      <c r="Q78" s="148"/>
      <c r="R78" s="148"/>
      <c r="S78" s="148"/>
      <c r="T78" s="148"/>
      <c r="U78" s="148"/>
      <c r="V78" s="148"/>
      <c r="W78" s="148"/>
      <c r="X78" s="148"/>
      <c r="Y78" s="148">
        <v>46068</v>
      </c>
      <c r="Z78" s="148">
        <v>16844095</v>
      </c>
      <c r="AA78" s="148" t="s">
        <v>110</v>
      </c>
      <c r="AB78" s="148">
        <v>46089</v>
      </c>
      <c r="AC78" s="148">
        <v>0</v>
      </c>
      <c r="AD78" s="148">
        <f t="shared" ca="1" si="20"/>
        <v>-134</v>
      </c>
      <c r="AE78" s="148">
        <f t="shared" ca="1" si="21"/>
        <v>-10000000000</v>
      </c>
    </row>
    <row r="79" spans="1:31" x14ac:dyDescent="0.3">
      <c r="A79" s="148"/>
      <c r="B79" s="148"/>
      <c r="C79" s="148"/>
      <c r="D79" s="148"/>
      <c r="E79" s="148"/>
      <c r="F79" s="148"/>
      <c r="G79" s="148"/>
      <c r="H79" s="148"/>
      <c r="I79" s="148"/>
      <c r="J79" s="148"/>
      <c r="K79" s="148"/>
      <c r="L79" s="148"/>
      <c r="M79" s="148"/>
      <c r="N79" s="148"/>
      <c r="O79" s="148"/>
      <c r="P79" s="148"/>
      <c r="Q79" s="148"/>
      <c r="R79" s="148"/>
      <c r="S79" s="148"/>
      <c r="T79" s="148"/>
      <c r="U79" s="148"/>
      <c r="V79" s="148"/>
      <c r="W79" s="148"/>
      <c r="X79" s="148"/>
      <c r="Y79" s="148">
        <v>45959</v>
      </c>
      <c r="Z79" s="148">
        <v>13307759</v>
      </c>
      <c r="AA79" s="148" t="s">
        <v>111</v>
      </c>
      <c r="AB79" s="148">
        <v>45967</v>
      </c>
      <c r="AC79" s="148">
        <v>0</v>
      </c>
      <c r="AD79" s="148">
        <f t="shared" ca="1" si="20"/>
        <v>-243</v>
      </c>
      <c r="AE79" s="148">
        <f t="shared" ca="1" si="21"/>
        <v>-10000000000</v>
      </c>
    </row>
    <row r="80" spans="1:31" x14ac:dyDescent="0.3">
      <c r="A80" s="148"/>
      <c r="B80" s="148"/>
      <c r="C80" s="148"/>
      <c r="D80" s="148"/>
      <c r="E80" s="148"/>
      <c r="F80" s="148"/>
      <c r="G80" s="148"/>
      <c r="H80" s="148"/>
      <c r="I80" s="148"/>
      <c r="J80" s="148"/>
      <c r="K80" s="148"/>
      <c r="L80" s="148"/>
      <c r="M80" s="148"/>
      <c r="N80" s="148"/>
      <c r="O80" s="148"/>
      <c r="P80" s="148"/>
      <c r="Q80" s="148"/>
      <c r="R80" s="148"/>
      <c r="S80" s="148"/>
      <c r="T80" s="148"/>
      <c r="U80" s="148"/>
      <c r="V80" s="148"/>
      <c r="W80" s="148"/>
      <c r="X80" s="148"/>
      <c r="Y80" s="148">
        <v>45914</v>
      </c>
      <c r="Z80" s="148">
        <v>13323194</v>
      </c>
      <c r="AA80" s="148" t="s">
        <v>92</v>
      </c>
      <c r="AB80" s="148">
        <v>45923</v>
      </c>
      <c r="AC80" s="148">
        <v>816</v>
      </c>
      <c r="AD80" s="148">
        <f t="shared" ca="1" si="20"/>
        <v>-288</v>
      </c>
      <c r="AE80" s="148">
        <f t="shared" ca="1" si="21"/>
        <v>-10000000000</v>
      </c>
    </row>
    <row r="81" spans="1:31" x14ac:dyDescent="0.3">
      <c r="A81" s="148"/>
      <c r="B81" s="148"/>
      <c r="C81" s="148"/>
      <c r="D81" s="148"/>
      <c r="E81" s="148"/>
      <c r="F81" s="148"/>
      <c r="G81" s="148"/>
      <c r="H81" s="148"/>
      <c r="I81" s="148"/>
      <c r="J81" s="148"/>
      <c r="K81" s="148"/>
      <c r="L81" s="148"/>
      <c r="M81" s="148"/>
      <c r="N81" s="148"/>
      <c r="O81" s="148"/>
      <c r="P81" s="148"/>
      <c r="Q81" s="148"/>
      <c r="R81" s="148"/>
      <c r="S81" s="148"/>
      <c r="T81" s="148"/>
      <c r="U81" s="148"/>
      <c r="V81" s="148"/>
      <c r="W81" s="148"/>
      <c r="X81" s="148"/>
      <c r="Y81" s="148">
        <v>45942</v>
      </c>
      <c r="Z81" s="148">
        <v>16849279</v>
      </c>
      <c r="AA81" s="148" t="s">
        <v>92</v>
      </c>
      <c r="AB81" s="148">
        <v>45951</v>
      </c>
      <c r="AC81" s="148">
        <v>1080</v>
      </c>
      <c r="AD81" s="148">
        <f t="shared" ca="1" si="20"/>
        <v>-260</v>
      </c>
      <c r="AE81" s="148">
        <f t="shared" ca="1" si="21"/>
        <v>-10000000000</v>
      </c>
    </row>
    <row r="82" spans="1:31" x14ac:dyDescent="0.3">
      <c r="A82" s="148"/>
      <c r="B82" s="148"/>
      <c r="C82" s="148"/>
      <c r="D82" s="148"/>
      <c r="E82" s="148"/>
      <c r="F82" s="148"/>
      <c r="G82" s="148"/>
      <c r="H82" s="148"/>
      <c r="I82" s="148"/>
      <c r="J82" s="148"/>
      <c r="K82" s="148"/>
      <c r="L82" s="148"/>
      <c r="M82" s="148"/>
      <c r="N82" s="148"/>
      <c r="O82" s="148"/>
      <c r="P82" s="148"/>
      <c r="Q82" s="148"/>
      <c r="R82" s="148"/>
      <c r="S82" s="148"/>
      <c r="T82" s="148"/>
      <c r="U82" s="148"/>
      <c r="V82" s="148"/>
      <c r="W82" s="148"/>
      <c r="X82" s="148"/>
      <c r="Y82" s="148">
        <v>45992</v>
      </c>
      <c r="Z82" s="148">
        <v>16852168</v>
      </c>
      <c r="AA82" s="148" t="s">
        <v>112</v>
      </c>
      <c r="AB82" s="148">
        <v>45998</v>
      </c>
      <c r="AC82" s="148">
        <v>1182.72</v>
      </c>
      <c r="AD82" s="148">
        <f t="shared" ca="1" si="20"/>
        <v>-210</v>
      </c>
      <c r="AE82" s="148">
        <f t="shared" ca="1" si="21"/>
        <v>-10000000000</v>
      </c>
    </row>
    <row r="83" spans="1:31" x14ac:dyDescent="0.3">
      <c r="A83" s="148"/>
      <c r="B83" s="148"/>
      <c r="C83" s="148"/>
      <c r="D83" s="148"/>
      <c r="E83" s="148"/>
      <c r="F83" s="148"/>
      <c r="G83" s="148"/>
      <c r="H83" s="148"/>
      <c r="I83" s="148"/>
      <c r="J83" s="148"/>
      <c r="K83" s="148"/>
      <c r="L83" s="148"/>
      <c r="M83" s="148"/>
      <c r="N83" s="148"/>
      <c r="O83" s="148"/>
      <c r="P83" s="148"/>
      <c r="Q83" s="148"/>
      <c r="R83" s="148"/>
      <c r="S83" s="148"/>
      <c r="T83" s="148"/>
      <c r="U83" s="148"/>
      <c r="V83" s="148"/>
      <c r="W83" s="148"/>
      <c r="X83" s="148"/>
      <c r="Y83" s="148">
        <v>45914</v>
      </c>
      <c r="Z83" s="148">
        <v>13373233</v>
      </c>
      <c r="AA83" s="148" t="s">
        <v>78</v>
      </c>
      <c r="AB83" s="148">
        <v>45921</v>
      </c>
      <c r="AC83" s="148">
        <v>0</v>
      </c>
      <c r="AD83" s="148">
        <f t="shared" ca="1" si="20"/>
        <v>-288</v>
      </c>
      <c r="AE83" s="148">
        <f t="shared" ca="1" si="21"/>
        <v>-10000000000</v>
      </c>
    </row>
    <row r="84" spans="1:31" x14ac:dyDescent="0.3">
      <c r="A84" s="148"/>
      <c r="B84" s="148"/>
      <c r="C84" s="148"/>
      <c r="D84" s="148"/>
      <c r="E84" s="148"/>
      <c r="F84" s="148"/>
      <c r="G84" s="148"/>
      <c r="H84" s="148"/>
      <c r="I84" s="148"/>
      <c r="J84" s="148"/>
      <c r="K84" s="148"/>
      <c r="L84" s="148"/>
      <c r="M84" s="148"/>
      <c r="N84" s="148"/>
      <c r="O84" s="148"/>
      <c r="P84" s="148"/>
      <c r="Q84" s="148"/>
      <c r="R84" s="148"/>
      <c r="S84" s="148"/>
      <c r="T84" s="148"/>
      <c r="U84" s="148"/>
      <c r="V84" s="148"/>
      <c r="W84" s="148"/>
      <c r="X84" s="148"/>
      <c r="Y84" s="148">
        <v>45942</v>
      </c>
      <c r="Z84" s="148">
        <v>13358619</v>
      </c>
      <c r="AA84" s="148" t="s">
        <v>113</v>
      </c>
      <c r="AB84" s="148">
        <v>45957</v>
      </c>
      <c r="AC84" s="148">
        <v>0</v>
      </c>
      <c r="AD84" s="148">
        <f t="shared" ca="1" si="20"/>
        <v>-260</v>
      </c>
      <c r="AE84" s="148">
        <f t="shared" ca="1" si="21"/>
        <v>-10000000000</v>
      </c>
    </row>
    <row r="85" spans="1:31" x14ac:dyDescent="0.3">
      <c r="A85" s="148"/>
      <c r="B85" s="148"/>
      <c r="C85" s="148"/>
      <c r="D85" s="148"/>
      <c r="E85" s="148"/>
      <c r="F85" s="148"/>
      <c r="G85" s="148"/>
      <c r="H85" s="148"/>
      <c r="I85" s="148"/>
      <c r="J85" s="148"/>
      <c r="K85" s="148"/>
      <c r="L85" s="148"/>
      <c r="M85" s="148"/>
      <c r="N85" s="148"/>
      <c r="O85" s="148"/>
      <c r="P85" s="148"/>
      <c r="Q85" s="148"/>
      <c r="R85" s="148"/>
      <c r="S85" s="148"/>
      <c r="T85" s="148"/>
      <c r="U85" s="148"/>
      <c r="V85" s="148"/>
      <c r="W85" s="148"/>
      <c r="X85" s="148"/>
      <c r="Y85" s="148">
        <v>45953</v>
      </c>
      <c r="Z85" s="148">
        <v>16856541</v>
      </c>
      <c r="AA85" s="148" t="s">
        <v>101</v>
      </c>
      <c r="AB85" s="148">
        <v>45959</v>
      </c>
      <c r="AC85" s="148">
        <v>150</v>
      </c>
      <c r="AD85" s="148">
        <f t="shared" ca="1" si="20"/>
        <v>-249</v>
      </c>
      <c r="AE85" s="148">
        <f t="shared" ca="1" si="21"/>
        <v>-10000000000</v>
      </c>
    </row>
    <row r="86" spans="1:31" x14ac:dyDescent="0.3">
      <c r="A86" s="148"/>
      <c r="B86" s="148"/>
      <c r="C86" s="148"/>
      <c r="D86" s="148"/>
      <c r="E86" s="148"/>
      <c r="F86" s="148"/>
      <c r="G86" s="148"/>
      <c r="H86" s="148"/>
      <c r="I86" s="148"/>
      <c r="J86" s="148"/>
      <c r="K86" s="148"/>
      <c r="L86" s="148"/>
      <c r="M86" s="148"/>
      <c r="N86" s="148"/>
      <c r="O86" s="148"/>
      <c r="P86" s="148"/>
      <c r="Q86" s="148"/>
      <c r="R86" s="148"/>
      <c r="S86" s="148"/>
      <c r="T86" s="148"/>
      <c r="U86" s="148"/>
      <c r="V86" s="148"/>
      <c r="W86" s="148"/>
      <c r="X86" s="148"/>
      <c r="Y86" s="148">
        <v>45956</v>
      </c>
      <c r="Z86" s="148">
        <v>16865209</v>
      </c>
      <c r="AA86" s="148" t="s">
        <v>51</v>
      </c>
      <c r="AB86" s="148">
        <v>45962</v>
      </c>
      <c r="AC86" s="148">
        <v>730.8</v>
      </c>
      <c r="AD86" s="148">
        <f t="shared" ca="1" si="20"/>
        <v>-246</v>
      </c>
      <c r="AE86" s="148">
        <f t="shared" ca="1" si="21"/>
        <v>-10000000000</v>
      </c>
    </row>
    <row r="87" spans="1:31" x14ac:dyDescent="0.3">
      <c r="A87" s="148"/>
      <c r="B87" s="148"/>
      <c r="C87" s="148"/>
      <c r="D87" s="148"/>
      <c r="E87" s="148"/>
      <c r="F87" s="148"/>
      <c r="G87" s="148"/>
      <c r="H87" s="148"/>
      <c r="I87" s="148"/>
      <c r="J87" s="148"/>
      <c r="K87" s="148"/>
      <c r="L87" s="148"/>
      <c r="M87" s="148"/>
      <c r="N87" s="148"/>
      <c r="O87" s="148"/>
      <c r="P87" s="148"/>
      <c r="Q87" s="148"/>
      <c r="R87" s="148"/>
      <c r="S87" s="148"/>
      <c r="T87" s="148"/>
      <c r="U87" s="148"/>
      <c r="V87" s="148"/>
      <c r="W87" s="148"/>
      <c r="X87" s="148"/>
      <c r="Y87" s="148">
        <v>45967</v>
      </c>
      <c r="Z87" s="148">
        <v>16856236</v>
      </c>
      <c r="AA87" s="148" t="s">
        <v>57</v>
      </c>
      <c r="AB87" s="148">
        <v>45978</v>
      </c>
      <c r="AC87" s="148">
        <v>1181.1400000000001</v>
      </c>
      <c r="AD87" s="148">
        <f t="shared" ca="1" si="20"/>
        <v>-235</v>
      </c>
      <c r="AE87" s="148">
        <f t="shared" ca="1" si="21"/>
        <v>-10000000000</v>
      </c>
    </row>
    <row r="88" spans="1:31" x14ac:dyDescent="0.3">
      <c r="A88" s="148"/>
      <c r="B88" s="148"/>
      <c r="C88" s="148"/>
      <c r="D88" s="148"/>
      <c r="E88" s="148"/>
      <c r="F88" s="148"/>
      <c r="G88" s="148"/>
      <c r="H88" s="148"/>
      <c r="I88" s="148"/>
      <c r="J88" s="148"/>
      <c r="K88" s="148"/>
      <c r="L88" s="148"/>
      <c r="M88" s="148"/>
      <c r="N88" s="148"/>
      <c r="O88" s="148"/>
      <c r="P88" s="148"/>
      <c r="Q88" s="148"/>
      <c r="R88" s="148"/>
      <c r="S88" s="148"/>
      <c r="T88" s="148"/>
      <c r="U88" s="148"/>
      <c r="V88" s="148"/>
      <c r="W88" s="148"/>
      <c r="X88" s="148"/>
      <c r="Y88" s="148">
        <v>45928</v>
      </c>
      <c r="Z88" s="148">
        <v>16863024</v>
      </c>
      <c r="AA88" s="148" t="s">
        <v>109</v>
      </c>
      <c r="AB88" s="148">
        <v>45935</v>
      </c>
      <c r="AC88" s="148">
        <v>1064</v>
      </c>
      <c r="AD88" s="148">
        <f t="shared" ca="1" si="20"/>
        <v>-274</v>
      </c>
      <c r="AE88" s="148">
        <f t="shared" ca="1" si="21"/>
        <v>-10000000000</v>
      </c>
    </row>
    <row r="89" spans="1:31" x14ac:dyDescent="0.3">
      <c r="A89" s="148"/>
      <c r="B89" s="148"/>
      <c r="C89" s="148"/>
      <c r="D89" s="148"/>
      <c r="E89" s="148"/>
      <c r="F89" s="148"/>
      <c r="G89" s="148"/>
      <c r="H89" s="148"/>
      <c r="I89" s="148"/>
      <c r="J89" s="148"/>
      <c r="K89" s="148"/>
      <c r="L89" s="148"/>
      <c r="M89" s="148"/>
      <c r="N89" s="148"/>
      <c r="O89" s="148"/>
      <c r="P89" s="148"/>
      <c r="Q89" s="148"/>
      <c r="R89" s="148"/>
      <c r="S89" s="148"/>
      <c r="T89" s="148"/>
      <c r="U89" s="148"/>
      <c r="V89" s="148"/>
      <c r="W89" s="148"/>
      <c r="X89" s="148"/>
      <c r="Y89" s="148">
        <v>45942</v>
      </c>
      <c r="Z89" s="148">
        <v>16861173</v>
      </c>
      <c r="AA89" s="148" t="s">
        <v>109</v>
      </c>
      <c r="AB89" s="148">
        <v>45955</v>
      </c>
      <c r="AC89" s="148">
        <v>896</v>
      </c>
      <c r="AD89" s="148">
        <f t="shared" ca="1" si="20"/>
        <v>-260</v>
      </c>
      <c r="AE89" s="148">
        <f t="shared" ca="1" si="21"/>
        <v>-10000000000</v>
      </c>
    </row>
    <row r="90" spans="1:31" x14ac:dyDescent="0.3">
      <c r="A90" s="148"/>
      <c r="B90" s="148"/>
      <c r="C90" s="148"/>
      <c r="D90" s="148"/>
      <c r="E90" s="148"/>
      <c r="F90" s="148"/>
      <c r="G90" s="148"/>
      <c r="H90" s="148"/>
      <c r="I90" s="148"/>
      <c r="J90" s="148"/>
      <c r="K90" s="148"/>
      <c r="L90" s="148"/>
      <c r="M90" s="148"/>
      <c r="N90" s="148"/>
      <c r="O90" s="148"/>
      <c r="P90" s="148"/>
      <c r="Q90" s="148"/>
      <c r="R90" s="148"/>
      <c r="S90" s="148"/>
      <c r="T90" s="148"/>
      <c r="U90" s="148"/>
      <c r="V90" s="148"/>
      <c r="W90" s="148"/>
      <c r="X90" s="148"/>
      <c r="Y90" s="148">
        <v>45953</v>
      </c>
      <c r="Z90" s="148">
        <v>16862078</v>
      </c>
      <c r="AA90" s="148" t="s">
        <v>101</v>
      </c>
      <c r="AB90" s="148">
        <v>45959</v>
      </c>
      <c r="AC90" s="148">
        <v>112</v>
      </c>
      <c r="AD90" s="148">
        <f t="shared" ca="1" si="20"/>
        <v>-249</v>
      </c>
      <c r="AE90" s="148">
        <f t="shared" ca="1" si="21"/>
        <v>-10000000000</v>
      </c>
    </row>
    <row r="91" spans="1:31" x14ac:dyDescent="0.3">
      <c r="A91" s="148"/>
      <c r="B91" s="148"/>
      <c r="C91" s="148"/>
      <c r="D91" s="148"/>
      <c r="E91" s="148"/>
      <c r="F91" s="148"/>
      <c r="G91" s="148"/>
      <c r="H91" s="148"/>
      <c r="I91" s="148"/>
      <c r="J91" s="148"/>
      <c r="K91" s="148"/>
      <c r="L91" s="148"/>
      <c r="M91" s="148"/>
      <c r="N91" s="148"/>
      <c r="O91" s="148"/>
      <c r="P91" s="148"/>
      <c r="Q91" s="148"/>
      <c r="R91" s="148"/>
      <c r="S91" s="148"/>
      <c r="T91" s="148"/>
      <c r="U91" s="148"/>
      <c r="V91" s="148"/>
      <c r="W91" s="148"/>
      <c r="X91" s="148"/>
      <c r="Y91" s="148">
        <v>45970</v>
      </c>
      <c r="Z91" s="148">
        <v>13384319</v>
      </c>
      <c r="AA91" s="148" t="s">
        <v>92</v>
      </c>
      <c r="AB91" s="148">
        <v>45975</v>
      </c>
      <c r="AC91" s="148">
        <v>1155</v>
      </c>
      <c r="AD91" s="148">
        <f t="shared" ca="1" si="20"/>
        <v>-232</v>
      </c>
      <c r="AE91" s="148">
        <f t="shared" ca="1" si="21"/>
        <v>-10000000000</v>
      </c>
    </row>
    <row r="92" spans="1:31" x14ac:dyDescent="0.3">
      <c r="A92" s="148"/>
      <c r="B92" s="148"/>
      <c r="C92" s="148"/>
      <c r="D92" s="148"/>
      <c r="E92" s="148"/>
      <c r="F92" s="148"/>
      <c r="G92" s="148"/>
      <c r="H92" s="148"/>
      <c r="I92" s="148"/>
      <c r="J92" s="148"/>
      <c r="K92" s="148"/>
      <c r="L92" s="148"/>
      <c r="M92" s="148"/>
      <c r="N92" s="148"/>
      <c r="O92" s="148"/>
      <c r="P92" s="148"/>
      <c r="Q92" s="148"/>
      <c r="R92" s="148"/>
      <c r="S92" s="148"/>
      <c r="T92" s="148"/>
      <c r="U92" s="148"/>
      <c r="V92" s="148"/>
      <c r="W92" s="148"/>
      <c r="X92" s="148"/>
      <c r="Y92" s="148">
        <v>45966</v>
      </c>
      <c r="Z92" s="148">
        <v>17063482</v>
      </c>
      <c r="AA92" s="148" t="s">
        <v>114</v>
      </c>
      <c r="AB92" s="148">
        <v>45970</v>
      </c>
      <c r="AC92" s="148">
        <v>0</v>
      </c>
      <c r="AD92" s="148">
        <f t="shared" ca="1" si="20"/>
        <v>-236</v>
      </c>
      <c r="AE92" s="148">
        <f t="shared" ca="1" si="21"/>
        <v>-10000000000</v>
      </c>
    </row>
    <row r="93" spans="1:31" x14ac:dyDescent="0.3">
      <c r="A93" s="148"/>
      <c r="B93" s="148"/>
      <c r="C93" s="148"/>
      <c r="D93" s="148"/>
      <c r="E93" s="148"/>
      <c r="F93" s="148"/>
      <c r="G93" s="148"/>
      <c r="H93" s="148"/>
      <c r="I93" s="148"/>
      <c r="J93" s="148"/>
      <c r="K93" s="148"/>
      <c r="L93" s="148"/>
      <c r="M93" s="148"/>
      <c r="N93" s="148"/>
      <c r="O93" s="148"/>
      <c r="P93" s="148"/>
      <c r="Q93" s="148"/>
      <c r="R93" s="148"/>
      <c r="S93" s="148"/>
      <c r="T93" s="148"/>
      <c r="U93" s="148"/>
      <c r="V93" s="148"/>
      <c r="W93" s="148"/>
      <c r="X93" s="148"/>
      <c r="Y93" s="148">
        <v>45949</v>
      </c>
      <c r="Z93" s="148">
        <v>16871782</v>
      </c>
      <c r="AA93" s="148" t="s">
        <v>115</v>
      </c>
      <c r="AB93" s="148">
        <v>45961</v>
      </c>
      <c r="AC93" s="148">
        <v>746</v>
      </c>
      <c r="AD93" s="148">
        <f t="shared" ca="1" si="20"/>
        <v>-253</v>
      </c>
      <c r="AE93" s="148">
        <f t="shared" ca="1" si="21"/>
        <v>-10000000000</v>
      </c>
    </row>
    <row r="94" spans="1:31" x14ac:dyDescent="0.3">
      <c r="A94" s="148"/>
      <c r="B94" s="148"/>
      <c r="C94" s="148"/>
      <c r="D94" s="148"/>
      <c r="E94" s="148"/>
      <c r="F94" s="148"/>
      <c r="G94" s="148"/>
      <c r="H94" s="148"/>
      <c r="I94" s="148"/>
      <c r="J94" s="148"/>
      <c r="K94" s="148"/>
      <c r="L94" s="148"/>
      <c r="M94" s="148"/>
      <c r="N94" s="148"/>
      <c r="O94" s="148"/>
      <c r="P94" s="148"/>
      <c r="Q94" s="148"/>
      <c r="R94" s="148"/>
      <c r="S94" s="148"/>
      <c r="T94" s="148"/>
      <c r="U94" s="148"/>
      <c r="V94" s="148"/>
      <c r="W94" s="148"/>
      <c r="X94" s="148"/>
      <c r="Y94" s="148">
        <v>45957</v>
      </c>
      <c r="Z94" s="148">
        <v>16870655</v>
      </c>
      <c r="AA94" s="148" t="s">
        <v>95</v>
      </c>
      <c r="AB94" s="148">
        <v>45963</v>
      </c>
      <c r="AC94" s="148">
        <v>1346.4</v>
      </c>
      <c r="AD94" s="148">
        <f t="shared" ca="1" si="20"/>
        <v>-245</v>
      </c>
      <c r="AE94" s="148">
        <f t="shared" ca="1" si="21"/>
        <v>-10000000000</v>
      </c>
    </row>
    <row r="95" spans="1:31" x14ac:dyDescent="0.3">
      <c r="A95" s="148"/>
      <c r="B95" s="148"/>
      <c r="C95" s="148"/>
      <c r="D95" s="148"/>
      <c r="E95" s="148"/>
      <c r="F95" s="148"/>
      <c r="G95" s="148"/>
      <c r="H95" s="148"/>
      <c r="I95" s="148"/>
      <c r="J95" s="148"/>
      <c r="K95" s="148"/>
      <c r="L95" s="148"/>
      <c r="M95" s="148"/>
      <c r="N95" s="148"/>
      <c r="O95" s="148"/>
      <c r="P95" s="148"/>
      <c r="Q95" s="148"/>
      <c r="R95" s="148"/>
      <c r="S95" s="148"/>
      <c r="T95" s="148"/>
      <c r="U95" s="148"/>
      <c r="V95" s="148"/>
      <c r="W95" s="148"/>
      <c r="X95" s="148"/>
      <c r="Y95" s="148">
        <v>46001</v>
      </c>
      <c r="Z95" s="148">
        <v>16870754</v>
      </c>
      <c r="AA95" s="148" t="s">
        <v>62</v>
      </c>
      <c r="AB95" s="148">
        <v>46009</v>
      </c>
      <c r="AC95" s="148">
        <v>1074</v>
      </c>
      <c r="AD95" s="148">
        <f t="shared" ca="1" si="20"/>
        <v>-201</v>
      </c>
      <c r="AE95" s="148">
        <f t="shared" ca="1" si="21"/>
        <v>-10000000000</v>
      </c>
    </row>
    <row r="96" spans="1:31" x14ac:dyDescent="0.3">
      <c r="A96" s="148"/>
      <c r="B96" s="148"/>
      <c r="C96" s="148"/>
      <c r="D96" s="148"/>
      <c r="E96" s="148"/>
      <c r="F96" s="148"/>
      <c r="G96" s="148"/>
      <c r="H96" s="148"/>
      <c r="I96" s="148"/>
      <c r="J96" s="148"/>
      <c r="K96" s="148"/>
      <c r="L96" s="148"/>
      <c r="M96" s="148"/>
      <c r="N96" s="148"/>
      <c r="O96" s="148"/>
      <c r="P96" s="148"/>
      <c r="Q96" s="148"/>
      <c r="R96" s="148"/>
      <c r="S96" s="148"/>
      <c r="T96" s="148"/>
      <c r="U96" s="148"/>
      <c r="V96" s="148"/>
      <c r="W96" s="148"/>
      <c r="X96" s="148"/>
      <c r="Y96" s="148">
        <v>46012</v>
      </c>
      <c r="Z96" s="148">
        <v>16871847</v>
      </c>
      <c r="AA96" s="148" t="s">
        <v>62</v>
      </c>
      <c r="AB96" s="148">
        <v>46018</v>
      </c>
      <c r="AC96" s="148">
        <v>1060</v>
      </c>
      <c r="AD96" s="148">
        <f t="shared" ca="1" si="20"/>
        <v>-190</v>
      </c>
      <c r="AE96" s="148">
        <f t="shared" ca="1" si="21"/>
        <v>-10000000000</v>
      </c>
    </row>
    <row r="97" spans="1:31" x14ac:dyDescent="0.3">
      <c r="A97" s="148"/>
      <c r="B97" s="148"/>
      <c r="C97" s="148"/>
      <c r="D97" s="148"/>
      <c r="E97" s="148"/>
      <c r="F97" s="148"/>
      <c r="G97" s="148"/>
      <c r="H97" s="148"/>
      <c r="I97" s="148"/>
      <c r="J97" s="148"/>
      <c r="K97" s="148"/>
      <c r="L97" s="148"/>
      <c r="M97" s="148"/>
      <c r="N97" s="148"/>
      <c r="O97" s="148"/>
      <c r="P97" s="148"/>
      <c r="Q97" s="148"/>
      <c r="R97" s="148"/>
      <c r="S97" s="148"/>
      <c r="T97" s="148"/>
      <c r="U97" s="148"/>
      <c r="V97" s="148"/>
      <c r="W97" s="148"/>
      <c r="X97" s="148"/>
      <c r="Y97" s="148">
        <v>46005</v>
      </c>
      <c r="Z97" s="148">
        <v>16871600</v>
      </c>
      <c r="AA97" s="148" t="s">
        <v>104</v>
      </c>
      <c r="AB97" s="148">
        <v>46021</v>
      </c>
      <c r="AC97" s="148">
        <v>1966.16</v>
      </c>
      <c r="AD97" s="148">
        <f t="shared" ca="1" si="20"/>
        <v>-197</v>
      </c>
      <c r="AE97" s="148">
        <f t="shared" ca="1" si="21"/>
        <v>-10000000000</v>
      </c>
    </row>
    <row r="98" spans="1:31" x14ac:dyDescent="0.3">
      <c r="A98" s="148"/>
      <c r="B98" s="148"/>
      <c r="C98" s="148"/>
      <c r="D98" s="148"/>
      <c r="E98" s="148"/>
      <c r="F98" s="148"/>
      <c r="G98" s="148"/>
      <c r="H98" s="148"/>
      <c r="I98" s="148"/>
      <c r="J98" s="148"/>
      <c r="K98" s="148"/>
      <c r="L98" s="148"/>
      <c r="M98" s="148"/>
      <c r="N98" s="148"/>
      <c r="O98" s="148"/>
      <c r="P98" s="148"/>
      <c r="Q98" s="148"/>
      <c r="R98" s="148"/>
      <c r="S98" s="148"/>
      <c r="T98" s="148"/>
      <c r="U98" s="148"/>
      <c r="V98" s="148"/>
      <c r="W98" s="148"/>
      <c r="X98" s="148"/>
      <c r="Y98" s="148">
        <v>45957</v>
      </c>
      <c r="Z98" s="148">
        <v>16872403</v>
      </c>
      <c r="AA98" s="148" t="s">
        <v>95</v>
      </c>
      <c r="AB98" s="148">
        <v>45969</v>
      </c>
      <c r="AC98" s="148">
        <v>1106.7</v>
      </c>
      <c r="AD98" s="148">
        <f t="shared" ca="1" si="20"/>
        <v>-245</v>
      </c>
      <c r="AE98" s="148">
        <f t="shared" ca="1" si="21"/>
        <v>-10000000000</v>
      </c>
    </row>
    <row r="99" spans="1:31" x14ac:dyDescent="0.3">
      <c r="A99" s="148"/>
      <c r="B99" s="148"/>
      <c r="C99" s="148"/>
      <c r="D99" s="148"/>
      <c r="E99" s="148"/>
      <c r="F99" s="148"/>
      <c r="G99" s="148"/>
      <c r="H99" s="148"/>
      <c r="I99" s="148"/>
      <c r="J99" s="148"/>
      <c r="K99" s="148"/>
      <c r="L99" s="148"/>
      <c r="M99" s="148"/>
      <c r="N99" s="148"/>
      <c r="O99" s="148"/>
      <c r="P99" s="148"/>
      <c r="Q99" s="148"/>
      <c r="R99" s="148"/>
      <c r="S99" s="148"/>
      <c r="T99" s="148"/>
      <c r="U99" s="148"/>
      <c r="V99" s="148"/>
      <c r="W99" s="148"/>
      <c r="X99" s="148"/>
      <c r="Y99" s="148">
        <v>45950</v>
      </c>
      <c r="Z99" s="148">
        <v>16874084</v>
      </c>
      <c r="AA99" s="148" t="s">
        <v>109</v>
      </c>
      <c r="AB99" s="148">
        <v>45972</v>
      </c>
      <c r="AC99" s="148">
        <v>0</v>
      </c>
      <c r="AD99" s="148">
        <f t="shared" ca="1" si="20"/>
        <v>-252</v>
      </c>
      <c r="AE99" s="148">
        <f t="shared" ca="1" si="21"/>
        <v>-10000000000</v>
      </c>
    </row>
    <row r="100" spans="1:31" x14ac:dyDescent="0.3">
      <c r="A100" s="148"/>
      <c r="B100" s="148"/>
      <c r="C100" s="148"/>
      <c r="D100" s="148"/>
      <c r="E100" s="148"/>
      <c r="F100" s="148"/>
      <c r="G100" s="148"/>
      <c r="H100" s="148"/>
      <c r="I100" s="148"/>
      <c r="J100" s="148"/>
      <c r="K100" s="148"/>
      <c r="L100" s="148"/>
      <c r="M100" s="148"/>
      <c r="N100" s="148"/>
      <c r="O100" s="148"/>
      <c r="P100" s="148"/>
      <c r="Q100" s="148"/>
      <c r="R100" s="148"/>
      <c r="S100" s="148"/>
      <c r="T100" s="148"/>
      <c r="U100" s="148"/>
      <c r="V100" s="148"/>
      <c r="W100" s="148"/>
      <c r="X100" s="148"/>
      <c r="Y100" s="148">
        <v>45963</v>
      </c>
      <c r="Z100" s="148">
        <v>16873832</v>
      </c>
      <c r="AA100" s="148" t="s">
        <v>115</v>
      </c>
      <c r="AB100" s="148">
        <v>45974</v>
      </c>
      <c r="AC100" s="148">
        <v>1176</v>
      </c>
      <c r="AD100" s="148">
        <f t="shared" ca="1" si="20"/>
        <v>-239</v>
      </c>
      <c r="AE100" s="148">
        <f t="shared" ca="1" si="21"/>
        <v>-10000000000</v>
      </c>
    </row>
    <row r="101" spans="1:31" x14ac:dyDescent="0.3">
      <c r="Y101">
        <v>45984</v>
      </c>
      <c r="Z101">
        <v>16874155</v>
      </c>
      <c r="AA101" t="s">
        <v>62</v>
      </c>
      <c r="AB101">
        <v>45993</v>
      </c>
      <c r="AC101">
        <v>882</v>
      </c>
      <c r="AD101">
        <f t="shared" ca="1" si="20"/>
        <v>-218</v>
      </c>
      <c r="AE101">
        <f t="shared" ca="1" si="21"/>
        <v>-10000000000</v>
      </c>
    </row>
    <row r="102" spans="1:31" x14ac:dyDescent="0.3">
      <c r="Y102">
        <v>45938</v>
      </c>
      <c r="Z102">
        <v>13471972</v>
      </c>
      <c r="AA102" t="s">
        <v>116</v>
      </c>
      <c r="AB102">
        <v>45948</v>
      </c>
      <c r="AC102">
        <v>0</v>
      </c>
      <c r="AD102">
        <f t="shared" ca="1" si="20"/>
        <v>-264</v>
      </c>
      <c r="AE102">
        <f t="shared" ca="1" si="21"/>
        <v>-10000000000</v>
      </c>
    </row>
    <row r="103" spans="1:31" x14ac:dyDescent="0.3">
      <c r="Y103">
        <v>45971</v>
      </c>
      <c r="Z103">
        <v>16882693</v>
      </c>
      <c r="AA103" t="s">
        <v>117</v>
      </c>
      <c r="AB103">
        <v>45983</v>
      </c>
      <c r="AC103">
        <v>456.96</v>
      </c>
      <c r="AD103">
        <f t="shared" ca="1" si="20"/>
        <v>-231</v>
      </c>
      <c r="AE103">
        <f t="shared" ca="1" si="21"/>
        <v>-10000000000</v>
      </c>
    </row>
    <row r="104" spans="1:31" x14ac:dyDescent="0.3">
      <c r="Y104">
        <v>45984</v>
      </c>
      <c r="Z104">
        <v>13481274</v>
      </c>
      <c r="AA104" t="s">
        <v>113</v>
      </c>
      <c r="AB104">
        <v>45992</v>
      </c>
      <c r="AC104">
        <v>0</v>
      </c>
      <c r="AD104">
        <f t="shared" ca="1" si="20"/>
        <v>-218</v>
      </c>
      <c r="AE104">
        <f t="shared" ca="1" si="21"/>
        <v>-10000000000</v>
      </c>
    </row>
    <row r="105" spans="1:31" x14ac:dyDescent="0.3">
      <c r="Y105">
        <v>46006</v>
      </c>
      <c r="Z105">
        <v>16882362</v>
      </c>
      <c r="AA105" t="s">
        <v>118</v>
      </c>
      <c r="AB105">
        <v>46021</v>
      </c>
      <c r="AC105">
        <v>2784</v>
      </c>
      <c r="AD105">
        <f t="shared" ca="1" si="20"/>
        <v>-196</v>
      </c>
      <c r="AE105">
        <f t="shared" ca="1" si="21"/>
        <v>-10000000000</v>
      </c>
    </row>
    <row r="106" spans="1:31" x14ac:dyDescent="0.3">
      <c r="Y106">
        <v>45977</v>
      </c>
      <c r="Z106">
        <v>16883643</v>
      </c>
      <c r="AA106" t="s">
        <v>119</v>
      </c>
      <c r="AB106">
        <v>45985</v>
      </c>
      <c r="AC106">
        <v>686</v>
      </c>
      <c r="AD106">
        <f t="shared" ca="1" si="20"/>
        <v>-225</v>
      </c>
      <c r="AE106">
        <f t="shared" ca="1" si="21"/>
        <v>-10000000000</v>
      </c>
    </row>
    <row r="107" spans="1:31" x14ac:dyDescent="0.3">
      <c r="Y107">
        <v>45956</v>
      </c>
      <c r="Z107">
        <v>16884343</v>
      </c>
      <c r="AA107" t="s">
        <v>95</v>
      </c>
      <c r="AB107">
        <v>45966</v>
      </c>
      <c r="AC107">
        <v>1106.7</v>
      </c>
      <c r="AD107">
        <f t="shared" ca="1" si="20"/>
        <v>-246</v>
      </c>
      <c r="AE107">
        <f t="shared" ca="1" si="21"/>
        <v>-10000000000</v>
      </c>
    </row>
    <row r="108" spans="1:31" x14ac:dyDescent="0.3">
      <c r="Y108">
        <v>45963</v>
      </c>
      <c r="Z108">
        <v>16885256</v>
      </c>
      <c r="AA108" t="s">
        <v>95</v>
      </c>
      <c r="AB108">
        <v>45970</v>
      </c>
      <c r="AC108">
        <v>785.4</v>
      </c>
      <c r="AD108">
        <f t="shared" ca="1" si="20"/>
        <v>-239</v>
      </c>
      <c r="AE108">
        <f t="shared" ca="1" si="21"/>
        <v>-10000000000</v>
      </c>
    </row>
    <row r="109" spans="1:31" x14ac:dyDescent="0.3">
      <c r="Y109">
        <v>45986</v>
      </c>
      <c r="Z109">
        <v>16885811</v>
      </c>
      <c r="AA109" t="s">
        <v>96</v>
      </c>
      <c r="AB109">
        <v>45994</v>
      </c>
      <c r="AC109">
        <v>520.20000000000005</v>
      </c>
      <c r="AD109">
        <f t="shared" ca="1" si="20"/>
        <v>-216</v>
      </c>
      <c r="AE109">
        <f t="shared" ca="1" si="21"/>
        <v>-10000000000</v>
      </c>
    </row>
    <row r="110" spans="1:31" x14ac:dyDescent="0.3">
      <c r="Y110">
        <v>45957</v>
      </c>
      <c r="Z110">
        <v>16888609</v>
      </c>
      <c r="AA110" t="s">
        <v>95</v>
      </c>
      <c r="AB110">
        <v>45967</v>
      </c>
      <c r="AC110">
        <v>1224</v>
      </c>
      <c r="AD110">
        <f t="shared" ca="1" si="20"/>
        <v>-245</v>
      </c>
      <c r="AE110">
        <f t="shared" ca="1" si="21"/>
        <v>-10000000000</v>
      </c>
    </row>
    <row r="111" spans="1:31" x14ac:dyDescent="0.3">
      <c r="Y111">
        <v>45956</v>
      </c>
      <c r="Z111">
        <v>13531572</v>
      </c>
      <c r="AA111" t="s">
        <v>51</v>
      </c>
      <c r="AB111">
        <v>45962</v>
      </c>
      <c r="AC111">
        <v>0</v>
      </c>
      <c r="AD111">
        <f t="shared" ca="1" si="20"/>
        <v>-246</v>
      </c>
      <c r="AE111">
        <f t="shared" ca="1" si="21"/>
        <v>-10000000000</v>
      </c>
    </row>
    <row r="112" spans="1:31" x14ac:dyDescent="0.3">
      <c r="Y112">
        <v>45962</v>
      </c>
      <c r="Z112">
        <v>16893424</v>
      </c>
      <c r="AA112" t="s">
        <v>120</v>
      </c>
      <c r="AB112">
        <v>45969</v>
      </c>
      <c r="AC112">
        <v>487.2</v>
      </c>
      <c r="AD112">
        <f t="shared" ca="1" si="20"/>
        <v>-240</v>
      </c>
      <c r="AE112">
        <f t="shared" ca="1" si="21"/>
        <v>-10000000000</v>
      </c>
    </row>
    <row r="113" spans="25:31" x14ac:dyDescent="0.3">
      <c r="Y113">
        <v>45970</v>
      </c>
      <c r="Z113">
        <v>16891013</v>
      </c>
      <c r="AA113" t="s">
        <v>119</v>
      </c>
      <c r="AB113">
        <v>45976</v>
      </c>
      <c r="AC113">
        <v>816</v>
      </c>
      <c r="AD113">
        <f t="shared" ca="1" si="20"/>
        <v>-232</v>
      </c>
      <c r="AE113">
        <f t="shared" ca="1" si="21"/>
        <v>-10000000000</v>
      </c>
    </row>
    <row r="114" spans="25:31" x14ac:dyDescent="0.3">
      <c r="Y114">
        <v>46005</v>
      </c>
      <c r="Z114">
        <v>13567320</v>
      </c>
      <c r="AA114" t="s">
        <v>113</v>
      </c>
      <c r="AB114">
        <v>46024</v>
      </c>
      <c r="AC114">
        <v>0</v>
      </c>
      <c r="AD114">
        <f t="shared" ca="1" si="20"/>
        <v>-197</v>
      </c>
      <c r="AE114">
        <f t="shared" ca="1" si="21"/>
        <v>-10000000000</v>
      </c>
    </row>
    <row r="115" spans="25:31" x14ac:dyDescent="0.3">
      <c r="Y115">
        <v>45978</v>
      </c>
      <c r="Z115">
        <v>16904345</v>
      </c>
      <c r="AA115" t="s">
        <v>121</v>
      </c>
      <c r="AB115">
        <v>45991</v>
      </c>
      <c r="AC115">
        <v>0</v>
      </c>
      <c r="AD115">
        <f t="shared" ca="1" si="20"/>
        <v>-224</v>
      </c>
      <c r="AE115">
        <f t="shared" ca="1" si="21"/>
        <v>-10000000000</v>
      </c>
    </row>
    <row r="116" spans="25:31" x14ac:dyDescent="0.3">
      <c r="Y116">
        <v>46023</v>
      </c>
      <c r="Z116">
        <v>16356733</v>
      </c>
      <c r="AA116" t="s">
        <v>57</v>
      </c>
      <c r="AB116">
        <v>46090</v>
      </c>
      <c r="AC116">
        <v>0</v>
      </c>
      <c r="AD116">
        <f t="shared" ca="1" si="20"/>
        <v>-179</v>
      </c>
      <c r="AE116">
        <f t="shared" ca="1" si="21"/>
        <v>-10000000000</v>
      </c>
    </row>
    <row r="117" spans="25:31" x14ac:dyDescent="0.3">
      <c r="Y117">
        <v>45935</v>
      </c>
      <c r="Z117">
        <v>13624585</v>
      </c>
      <c r="AA117" t="s">
        <v>123</v>
      </c>
      <c r="AB117">
        <v>45942</v>
      </c>
      <c r="AC117">
        <v>0</v>
      </c>
      <c r="AD117">
        <f t="shared" ca="1" si="20"/>
        <v>-267</v>
      </c>
      <c r="AE117">
        <f t="shared" ca="1" si="21"/>
        <v>-10000000000</v>
      </c>
    </row>
    <row r="118" spans="25:31" x14ac:dyDescent="0.3">
      <c r="Y118">
        <v>45935</v>
      </c>
      <c r="Z118">
        <v>13624679</v>
      </c>
      <c r="AA118" t="s">
        <v>123</v>
      </c>
      <c r="AB118">
        <v>45942</v>
      </c>
      <c r="AC118">
        <v>0</v>
      </c>
      <c r="AD118">
        <f t="shared" ca="1" si="20"/>
        <v>-267</v>
      </c>
      <c r="AE118">
        <f t="shared" ca="1" si="21"/>
        <v>-10000000000</v>
      </c>
    </row>
    <row r="119" spans="25:31" x14ac:dyDescent="0.3">
      <c r="Y119">
        <v>45942</v>
      </c>
      <c r="Z119">
        <v>16911652</v>
      </c>
      <c r="AA119" t="s">
        <v>111</v>
      </c>
      <c r="AB119">
        <v>45949</v>
      </c>
      <c r="AC119">
        <v>760</v>
      </c>
      <c r="AD119">
        <f t="shared" ca="1" si="20"/>
        <v>-260</v>
      </c>
      <c r="AE119">
        <f t="shared" ca="1" si="21"/>
        <v>-10000000000</v>
      </c>
    </row>
    <row r="120" spans="25:31" x14ac:dyDescent="0.3">
      <c r="Y120">
        <v>45921</v>
      </c>
      <c r="Z120">
        <v>16913375</v>
      </c>
      <c r="AA120" t="s">
        <v>121</v>
      </c>
      <c r="AB120">
        <v>45928</v>
      </c>
      <c r="AC120">
        <v>560</v>
      </c>
      <c r="AD120">
        <f t="shared" ca="1" si="20"/>
        <v>-281</v>
      </c>
      <c r="AE120">
        <f t="shared" ca="1" si="21"/>
        <v>-10000000000</v>
      </c>
    </row>
    <row r="121" spans="25:31" x14ac:dyDescent="0.3">
      <c r="Y121">
        <v>46002</v>
      </c>
      <c r="Z121">
        <v>13648957</v>
      </c>
      <c r="AA121" t="s">
        <v>123</v>
      </c>
      <c r="AB121">
        <v>46011</v>
      </c>
      <c r="AC121">
        <v>3125.4</v>
      </c>
      <c r="AD121">
        <f t="shared" ca="1" si="20"/>
        <v>-200</v>
      </c>
      <c r="AE121">
        <f t="shared" ca="1" si="21"/>
        <v>-10000000000</v>
      </c>
    </row>
    <row r="122" spans="25:31" x14ac:dyDescent="0.3">
      <c r="Y122">
        <v>45967</v>
      </c>
      <c r="Z122">
        <v>13665462</v>
      </c>
      <c r="AA122" t="s">
        <v>123</v>
      </c>
      <c r="AB122">
        <v>45976</v>
      </c>
      <c r="AC122">
        <v>637.20000000000005</v>
      </c>
      <c r="AD122">
        <f t="shared" ca="1" si="20"/>
        <v>-235</v>
      </c>
      <c r="AE122">
        <f t="shared" ca="1" si="21"/>
        <v>-10000000000</v>
      </c>
    </row>
    <row r="123" spans="25:31" x14ac:dyDescent="0.3">
      <c r="Y123">
        <v>45979</v>
      </c>
      <c r="Z123">
        <v>16824642</v>
      </c>
      <c r="AA123" t="s">
        <v>103</v>
      </c>
      <c r="AB123">
        <v>45987</v>
      </c>
      <c r="AC123">
        <v>1085.5</v>
      </c>
      <c r="AD123">
        <f t="shared" ca="1" si="20"/>
        <v>-223</v>
      </c>
      <c r="AE123">
        <f t="shared" ca="1" si="21"/>
        <v>-10000000000</v>
      </c>
    </row>
    <row r="124" spans="25:31" x14ac:dyDescent="0.3">
      <c r="Y124">
        <v>45992</v>
      </c>
      <c r="Z124">
        <v>14787229</v>
      </c>
      <c r="AA124" t="s">
        <v>103</v>
      </c>
      <c r="AB124">
        <v>46001</v>
      </c>
      <c r="AC124">
        <v>1216.5999999999999</v>
      </c>
      <c r="AD124">
        <f t="shared" ca="1" si="20"/>
        <v>-210</v>
      </c>
      <c r="AE124">
        <f t="shared" ca="1" si="21"/>
        <v>-10000000000</v>
      </c>
    </row>
    <row r="125" spans="25:31" x14ac:dyDescent="0.3">
      <c r="Y125">
        <v>45977</v>
      </c>
      <c r="Z125">
        <v>16918351</v>
      </c>
      <c r="AA125" t="s">
        <v>125</v>
      </c>
      <c r="AB125">
        <v>45984</v>
      </c>
      <c r="AC125">
        <v>364</v>
      </c>
      <c r="AD125">
        <f t="shared" ca="1" si="20"/>
        <v>-225</v>
      </c>
      <c r="AE125">
        <f t="shared" ca="1" si="21"/>
        <v>-10000000000</v>
      </c>
    </row>
    <row r="126" spans="25:31" x14ac:dyDescent="0.3">
      <c r="Y126">
        <v>45918</v>
      </c>
      <c r="Z126">
        <v>16918877</v>
      </c>
      <c r="AA126" t="s">
        <v>51</v>
      </c>
      <c r="AB126">
        <v>45921</v>
      </c>
      <c r="AC126">
        <v>0</v>
      </c>
      <c r="AD126">
        <f t="shared" ca="1" si="20"/>
        <v>-284</v>
      </c>
      <c r="AE126">
        <f t="shared" ca="1" si="21"/>
        <v>-10000000000</v>
      </c>
    </row>
    <row r="127" spans="25:31" x14ac:dyDescent="0.3">
      <c r="Y127">
        <v>45945</v>
      </c>
      <c r="Z127">
        <v>13708520</v>
      </c>
      <c r="AA127" t="s">
        <v>107</v>
      </c>
      <c r="AB127">
        <v>45953</v>
      </c>
      <c r="AC127">
        <v>0</v>
      </c>
      <c r="AD127">
        <f t="shared" ca="1" si="20"/>
        <v>-257</v>
      </c>
      <c r="AE127">
        <f t="shared" ca="1" si="21"/>
        <v>-10000000000</v>
      </c>
    </row>
    <row r="128" spans="25:31" x14ac:dyDescent="0.3">
      <c r="Y128">
        <v>45942</v>
      </c>
      <c r="Z128">
        <v>16926047</v>
      </c>
      <c r="AA128" t="s">
        <v>119</v>
      </c>
      <c r="AB128">
        <v>45948</v>
      </c>
      <c r="AC128">
        <v>620</v>
      </c>
      <c r="AD128">
        <f t="shared" ca="1" si="20"/>
        <v>-260</v>
      </c>
      <c r="AE128">
        <f t="shared" ca="1" si="21"/>
        <v>-10000000000</v>
      </c>
    </row>
    <row r="129" spans="25:31" x14ac:dyDescent="0.3">
      <c r="Y129">
        <v>45952</v>
      </c>
      <c r="Z129">
        <v>16925257</v>
      </c>
      <c r="AA129" t="s">
        <v>93</v>
      </c>
      <c r="AB129">
        <v>45969</v>
      </c>
      <c r="AC129">
        <v>603.5</v>
      </c>
      <c r="AD129">
        <f t="shared" ca="1" si="20"/>
        <v>-250</v>
      </c>
      <c r="AE129">
        <f t="shared" ca="1" si="21"/>
        <v>-10000000000</v>
      </c>
    </row>
    <row r="130" spans="25:31" x14ac:dyDescent="0.3">
      <c r="Y130">
        <v>45966</v>
      </c>
      <c r="Z130">
        <v>16928760</v>
      </c>
      <c r="AA130" t="s">
        <v>126</v>
      </c>
      <c r="AB130">
        <v>45975</v>
      </c>
      <c r="AC130">
        <v>0</v>
      </c>
      <c r="AD130">
        <f t="shared" ca="1" si="20"/>
        <v>-236</v>
      </c>
      <c r="AE130">
        <f t="shared" ca="1" si="21"/>
        <v>-10000000000</v>
      </c>
    </row>
    <row r="131" spans="25:31" x14ac:dyDescent="0.3">
      <c r="Y131">
        <v>45979</v>
      </c>
      <c r="Z131">
        <v>16933086</v>
      </c>
      <c r="AA131" t="s">
        <v>127</v>
      </c>
      <c r="AB131">
        <v>45987</v>
      </c>
      <c r="AC131">
        <v>0</v>
      </c>
      <c r="AD131">
        <f t="shared" ca="1" si="20"/>
        <v>-223</v>
      </c>
      <c r="AE131">
        <f t="shared" ca="1" si="21"/>
        <v>-10000000000</v>
      </c>
    </row>
    <row r="132" spans="25:31" x14ac:dyDescent="0.3">
      <c r="Y132">
        <v>46113</v>
      </c>
      <c r="Z132">
        <v>13756315</v>
      </c>
      <c r="AA132" t="s">
        <v>67</v>
      </c>
      <c r="AB132">
        <v>46119</v>
      </c>
      <c r="AC132">
        <v>0</v>
      </c>
      <c r="AD132">
        <f t="shared" ref="AD132:AD195" ca="1" si="22">IF(Y132="","",Y132-TODAY())</f>
        <v>-89</v>
      </c>
      <c r="AE132">
        <f t="shared" ref="AE132:AE195" ca="1" si="23">IF(OR(Y132="",AD132&lt;0,AD132&gt;60),-10000000000,-AD132*1000+ROW()/100000)</f>
        <v>-10000000000</v>
      </c>
    </row>
    <row r="133" spans="25:31" x14ac:dyDescent="0.3">
      <c r="Y133">
        <v>45942</v>
      </c>
      <c r="Z133">
        <v>13798245</v>
      </c>
      <c r="AA133" t="s">
        <v>101</v>
      </c>
      <c r="AB133">
        <v>45946</v>
      </c>
      <c r="AC133">
        <v>0</v>
      </c>
      <c r="AD133">
        <f t="shared" ca="1" si="22"/>
        <v>-260</v>
      </c>
      <c r="AE133">
        <f t="shared" ca="1" si="23"/>
        <v>-10000000000</v>
      </c>
    </row>
    <row r="134" spans="25:31" x14ac:dyDescent="0.3">
      <c r="Y134">
        <v>45942</v>
      </c>
      <c r="Z134">
        <v>13813148</v>
      </c>
      <c r="AA134" t="s">
        <v>101</v>
      </c>
      <c r="AB134">
        <v>45946</v>
      </c>
      <c r="AC134">
        <v>0</v>
      </c>
      <c r="AD134">
        <f t="shared" ca="1" si="22"/>
        <v>-260</v>
      </c>
      <c r="AE134">
        <f t="shared" ca="1" si="23"/>
        <v>-10000000000</v>
      </c>
    </row>
    <row r="135" spans="25:31" x14ac:dyDescent="0.3">
      <c r="Y135">
        <v>45942</v>
      </c>
      <c r="Z135">
        <v>13813202</v>
      </c>
      <c r="AA135" t="s">
        <v>101</v>
      </c>
      <c r="AB135">
        <v>45946</v>
      </c>
      <c r="AC135">
        <v>0</v>
      </c>
      <c r="AD135">
        <f t="shared" ca="1" si="22"/>
        <v>-260</v>
      </c>
      <c r="AE135">
        <f t="shared" ca="1" si="23"/>
        <v>-10000000000</v>
      </c>
    </row>
    <row r="136" spans="25:31" x14ac:dyDescent="0.3">
      <c r="Y136">
        <v>45971</v>
      </c>
      <c r="Z136">
        <v>16942663</v>
      </c>
      <c r="AA136" t="s">
        <v>95</v>
      </c>
      <c r="AB136">
        <v>45982</v>
      </c>
      <c r="AC136">
        <v>1193.4000000000001</v>
      </c>
      <c r="AD136">
        <f t="shared" ca="1" si="22"/>
        <v>-231</v>
      </c>
      <c r="AE136">
        <f t="shared" ca="1" si="23"/>
        <v>-10000000000</v>
      </c>
    </row>
    <row r="137" spans="25:31" x14ac:dyDescent="0.3">
      <c r="Y137">
        <v>45931</v>
      </c>
      <c r="Z137">
        <v>16944474</v>
      </c>
      <c r="AA137" t="s">
        <v>66</v>
      </c>
      <c r="AB137">
        <v>45934</v>
      </c>
      <c r="AC137">
        <v>1056</v>
      </c>
      <c r="AD137">
        <f t="shared" ca="1" si="22"/>
        <v>-271</v>
      </c>
      <c r="AE137">
        <f t="shared" ca="1" si="23"/>
        <v>-10000000000</v>
      </c>
    </row>
    <row r="138" spans="25:31" x14ac:dyDescent="0.3">
      <c r="Y138">
        <v>45949</v>
      </c>
      <c r="Z138">
        <v>16944080</v>
      </c>
      <c r="AA138" t="s">
        <v>66</v>
      </c>
      <c r="AB138">
        <v>45956</v>
      </c>
      <c r="AC138">
        <v>1644</v>
      </c>
      <c r="AD138">
        <f t="shared" ca="1" si="22"/>
        <v>-253</v>
      </c>
      <c r="AE138">
        <f t="shared" ca="1" si="23"/>
        <v>-10000000000</v>
      </c>
    </row>
    <row r="139" spans="25:31" x14ac:dyDescent="0.3">
      <c r="Y139">
        <v>45952</v>
      </c>
      <c r="Z139">
        <v>16943844</v>
      </c>
      <c r="AA139" t="s">
        <v>93</v>
      </c>
      <c r="AB139">
        <v>45958</v>
      </c>
      <c r="AC139">
        <v>0</v>
      </c>
      <c r="AD139">
        <f t="shared" ca="1" si="22"/>
        <v>-250</v>
      </c>
      <c r="AE139">
        <f t="shared" ca="1" si="23"/>
        <v>-10000000000</v>
      </c>
    </row>
    <row r="140" spans="25:31" x14ac:dyDescent="0.3">
      <c r="Y140">
        <v>45971</v>
      </c>
      <c r="Z140">
        <v>16944967</v>
      </c>
      <c r="AA140" t="s">
        <v>124</v>
      </c>
      <c r="AB140">
        <v>45977</v>
      </c>
      <c r="AC140">
        <v>1148</v>
      </c>
      <c r="AD140">
        <f t="shared" ca="1" si="22"/>
        <v>-231</v>
      </c>
      <c r="AE140">
        <f t="shared" ca="1" si="23"/>
        <v>-10000000000</v>
      </c>
    </row>
    <row r="141" spans="25:31" x14ac:dyDescent="0.3">
      <c r="Y141">
        <v>45924</v>
      </c>
      <c r="Z141">
        <v>16949056</v>
      </c>
      <c r="AA141" t="s">
        <v>76</v>
      </c>
      <c r="AB141">
        <v>45926</v>
      </c>
      <c r="AC141">
        <v>0</v>
      </c>
      <c r="AD141">
        <f t="shared" ca="1" si="22"/>
        <v>-278</v>
      </c>
      <c r="AE141">
        <f t="shared" ca="1" si="23"/>
        <v>-10000000000</v>
      </c>
    </row>
    <row r="142" spans="25:31" x14ac:dyDescent="0.3">
      <c r="Y142">
        <v>46006</v>
      </c>
      <c r="Z142">
        <v>16951203</v>
      </c>
      <c r="AA142" t="s">
        <v>125</v>
      </c>
      <c r="AB142">
        <v>46014</v>
      </c>
      <c r="AC142">
        <v>380</v>
      </c>
      <c r="AD142">
        <f t="shared" ca="1" si="22"/>
        <v>-196</v>
      </c>
      <c r="AE142">
        <f t="shared" ca="1" si="23"/>
        <v>-10000000000</v>
      </c>
    </row>
    <row r="143" spans="25:31" x14ac:dyDescent="0.3">
      <c r="Y143">
        <v>45952</v>
      </c>
      <c r="Z143">
        <v>16955408</v>
      </c>
      <c r="AA143" t="s">
        <v>125</v>
      </c>
      <c r="AB143">
        <v>45961</v>
      </c>
      <c r="AC143">
        <v>366</v>
      </c>
      <c r="AD143">
        <f t="shared" ca="1" si="22"/>
        <v>-250</v>
      </c>
      <c r="AE143">
        <f t="shared" ca="1" si="23"/>
        <v>-10000000000</v>
      </c>
    </row>
    <row r="144" spans="25:31" x14ac:dyDescent="0.3">
      <c r="Y144">
        <v>45952</v>
      </c>
      <c r="Z144">
        <v>16955493</v>
      </c>
      <c r="AA144" t="s">
        <v>125</v>
      </c>
      <c r="AB144">
        <v>45961</v>
      </c>
      <c r="AC144">
        <v>366</v>
      </c>
      <c r="AD144">
        <f t="shared" ca="1" si="22"/>
        <v>-250</v>
      </c>
      <c r="AE144">
        <f t="shared" ca="1" si="23"/>
        <v>-10000000000</v>
      </c>
    </row>
    <row r="145" spans="25:31" x14ac:dyDescent="0.3">
      <c r="Y145">
        <v>45966</v>
      </c>
      <c r="Z145">
        <v>13886461</v>
      </c>
      <c r="AA145" t="s">
        <v>77</v>
      </c>
      <c r="AB145">
        <v>45971</v>
      </c>
      <c r="AC145">
        <v>0</v>
      </c>
      <c r="AD145">
        <f t="shared" ca="1" si="22"/>
        <v>-236</v>
      </c>
      <c r="AE145">
        <f t="shared" ca="1" si="23"/>
        <v>-10000000000</v>
      </c>
    </row>
    <row r="146" spans="25:31" x14ac:dyDescent="0.3">
      <c r="Y146">
        <v>45923</v>
      </c>
      <c r="Z146">
        <v>13898177</v>
      </c>
      <c r="AA146" t="s">
        <v>87</v>
      </c>
      <c r="AB146">
        <v>45924</v>
      </c>
      <c r="AC146">
        <v>0</v>
      </c>
      <c r="AD146">
        <f t="shared" ca="1" si="22"/>
        <v>-279</v>
      </c>
      <c r="AE146">
        <f t="shared" ca="1" si="23"/>
        <v>-10000000000</v>
      </c>
    </row>
    <row r="147" spans="25:31" x14ac:dyDescent="0.3">
      <c r="Y147">
        <v>45925</v>
      </c>
      <c r="Z147">
        <v>16962092</v>
      </c>
      <c r="AA147" t="s">
        <v>111</v>
      </c>
      <c r="AB147">
        <v>45928</v>
      </c>
      <c r="AC147">
        <v>240</v>
      </c>
      <c r="AD147">
        <f t="shared" ca="1" si="22"/>
        <v>-277</v>
      </c>
      <c r="AE147">
        <f t="shared" ca="1" si="23"/>
        <v>-10000000000</v>
      </c>
    </row>
    <row r="148" spans="25:31" x14ac:dyDescent="0.3">
      <c r="Y148">
        <v>45942</v>
      </c>
      <c r="Z148">
        <v>16961754</v>
      </c>
      <c r="AA148" t="s">
        <v>122</v>
      </c>
      <c r="AB148">
        <v>45946</v>
      </c>
      <c r="AC148">
        <v>0</v>
      </c>
      <c r="AD148">
        <f t="shared" ca="1" si="22"/>
        <v>-260</v>
      </c>
      <c r="AE148">
        <f t="shared" ca="1" si="23"/>
        <v>-10000000000</v>
      </c>
    </row>
    <row r="149" spans="25:31" x14ac:dyDescent="0.3">
      <c r="Y149">
        <v>46093</v>
      </c>
      <c r="Z149">
        <v>13921273</v>
      </c>
      <c r="AA149" t="s">
        <v>123</v>
      </c>
      <c r="AB149">
        <v>46102</v>
      </c>
      <c r="AC149">
        <v>894.6</v>
      </c>
      <c r="AD149">
        <f t="shared" ca="1" si="22"/>
        <v>-109</v>
      </c>
      <c r="AE149">
        <f t="shared" ca="1" si="23"/>
        <v>-10000000000</v>
      </c>
    </row>
    <row r="150" spans="25:31" x14ac:dyDescent="0.3">
      <c r="Y150">
        <v>45964</v>
      </c>
      <c r="Z150">
        <v>13923316</v>
      </c>
      <c r="AA150" t="s">
        <v>125</v>
      </c>
      <c r="AB150">
        <v>45971</v>
      </c>
      <c r="AC150">
        <v>273</v>
      </c>
      <c r="AD150">
        <f t="shared" ca="1" si="22"/>
        <v>-238</v>
      </c>
      <c r="AE150">
        <f t="shared" ca="1" si="23"/>
        <v>-10000000000</v>
      </c>
    </row>
    <row r="151" spans="25:31" x14ac:dyDescent="0.3">
      <c r="Y151">
        <v>46001</v>
      </c>
      <c r="Z151">
        <v>16968616</v>
      </c>
      <c r="AA151" t="s">
        <v>62</v>
      </c>
      <c r="AB151">
        <v>46010</v>
      </c>
      <c r="AC151">
        <v>913.6</v>
      </c>
      <c r="AD151">
        <f t="shared" ca="1" si="22"/>
        <v>-201</v>
      </c>
      <c r="AE151">
        <f t="shared" ca="1" si="23"/>
        <v>-10000000000</v>
      </c>
    </row>
    <row r="152" spans="25:31" x14ac:dyDescent="0.3">
      <c r="Y152">
        <v>45942</v>
      </c>
      <c r="Z152">
        <v>13995850</v>
      </c>
      <c r="AA152" t="s">
        <v>110</v>
      </c>
      <c r="AB152">
        <v>45955</v>
      </c>
      <c r="AC152">
        <v>0</v>
      </c>
      <c r="AD152">
        <f t="shared" ca="1" si="22"/>
        <v>-260</v>
      </c>
      <c r="AE152">
        <f t="shared" ca="1" si="23"/>
        <v>-10000000000</v>
      </c>
    </row>
    <row r="153" spans="25:31" x14ac:dyDescent="0.3">
      <c r="Y153">
        <v>45950</v>
      </c>
      <c r="Z153">
        <v>16977472</v>
      </c>
      <c r="AA153" t="s">
        <v>125</v>
      </c>
      <c r="AB153">
        <v>45961</v>
      </c>
      <c r="AC153">
        <v>244.5</v>
      </c>
      <c r="AD153">
        <f t="shared" ca="1" si="22"/>
        <v>-252</v>
      </c>
      <c r="AE153">
        <f t="shared" ca="1" si="23"/>
        <v>-10000000000</v>
      </c>
    </row>
    <row r="154" spans="25:31" x14ac:dyDescent="0.3">
      <c r="Y154">
        <v>45971</v>
      </c>
      <c r="Z154">
        <v>16978027</v>
      </c>
      <c r="AA154" t="s">
        <v>124</v>
      </c>
      <c r="AB154">
        <v>45977</v>
      </c>
      <c r="AC154">
        <v>939.2</v>
      </c>
      <c r="AD154">
        <f t="shared" ca="1" si="22"/>
        <v>-231</v>
      </c>
      <c r="AE154">
        <f t="shared" ca="1" si="23"/>
        <v>-10000000000</v>
      </c>
    </row>
    <row r="155" spans="25:31" x14ac:dyDescent="0.3">
      <c r="Y155">
        <v>46054</v>
      </c>
      <c r="Z155">
        <v>16979321</v>
      </c>
      <c r="AA155" t="s">
        <v>129</v>
      </c>
      <c r="AB155">
        <v>46071</v>
      </c>
      <c r="AC155">
        <v>0</v>
      </c>
      <c r="AD155">
        <f t="shared" ca="1" si="22"/>
        <v>-148</v>
      </c>
      <c r="AE155">
        <f t="shared" ca="1" si="23"/>
        <v>-10000000000</v>
      </c>
    </row>
    <row r="156" spans="25:31" x14ac:dyDescent="0.3">
      <c r="Y156">
        <v>45956</v>
      </c>
      <c r="Z156">
        <v>16985341</v>
      </c>
      <c r="AA156" t="s">
        <v>125</v>
      </c>
      <c r="AB156">
        <v>45960</v>
      </c>
      <c r="AC156">
        <v>286.5</v>
      </c>
      <c r="AD156">
        <f t="shared" ca="1" si="22"/>
        <v>-246</v>
      </c>
      <c r="AE156">
        <f t="shared" ca="1" si="23"/>
        <v>-10000000000</v>
      </c>
    </row>
    <row r="157" spans="25:31" x14ac:dyDescent="0.3">
      <c r="Y157">
        <v>46001</v>
      </c>
      <c r="Z157">
        <v>14057363</v>
      </c>
      <c r="AA157" t="s">
        <v>123</v>
      </c>
      <c r="AB157">
        <v>46009</v>
      </c>
      <c r="AC157">
        <v>979.2</v>
      </c>
      <c r="AD157">
        <f t="shared" ca="1" si="22"/>
        <v>-201</v>
      </c>
      <c r="AE157">
        <f t="shared" ca="1" si="23"/>
        <v>-10000000000</v>
      </c>
    </row>
    <row r="158" spans="25:31" x14ac:dyDescent="0.3">
      <c r="Y158">
        <v>45963</v>
      </c>
      <c r="Z158">
        <v>14064243</v>
      </c>
      <c r="AA158" t="s">
        <v>82</v>
      </c>
      <c r="AB158">
        <v>45969</v>
      </c>
      <c r="AC158">
        <v>0</v>
      </c>
      <c r="AD158">
        <f t="shared" ca="1" si="22"/>
        <v>-239</v>
      </c>
      <c r="AE158">
        <f t="shared" ca="1" si="23"/>
        <v>-10000000000</v>
      </c>
    </row>
    <row r="159" spans="25:31" x14ac:dyDescent="0.3">
      <c r="Y159">
        <v>45978</v>
      </c>
      <c r="Z159">
        <v>16989938</v>
      </c>
      <c r="AA159" t="s">
        <v>124</v>
      </c>
      <c r="AB159">
        <v>45987</v>
      </c>
      <c r="AC159">
        <v>546.79999999999995</v>
      </c>
      <c r="AD159">
        <f t="shared" ca="1" si="22"/>
        <v>-224</v>
      </c>
      <c r="AE159">
        <f t="shared" ca="1" si="23"/>
        <v>-10000000000</v>
      </c>
    </row>
    <row r="160" spans="25:31" x14ac:dyDescent="0.3">
      <c r="Y160">
        <v>45946</v>
      </c>
      <c r="Z160">
        <v>16991348</v>
      </c>
      <c r="AA160" t="s">
        <v>115</v>
      </c>
      <c r="AB160">
        <v>45959</v>
      </c>
      <c r="AC160">
        <v>1258</v>
      </c>
      <c r="AD160">
        <f t="shared" ca="1" si="22"/>
        <v>-256</v>
      </c>
      <c r="AE160">
        <f t="shared" ca="1" si="23"/>
        <v>-10000000000</v>
      </c>
    </row>
    <row r="161" spans="25:31" x14ac:dyDescent="0.3">
      <c r="Y161">
        <v>46001</v>
      </c>
      <c r="Z161">
        <v>14080547</v>
      </c>
      <c r="AA161" t="s">
        <v>123</v>
      </c>
      <c r="AB161">
        <v>46009</v>
      </c>
      <c r="AC161">
        <v>1229.4000000000001</v>
      </c>
      <c r="AD161">
        <f t="shared" ca="1" si="22"/>
        <v>-201</v>
      </c>
      <c r="AE161">
        <f t="shared" ca="1" si="23"/>
        <v>-10000000000</v>
      </c>
    </row>
    <row r="162" spans="25:31" x14ac:dyDescent="0.3">
      <c r="Y162">
        <v>45977</v>
      </c>
      <c r="Z162">
        <v>16995433</v>
      </c>
      <c r="AA162" t="s">
        <v>59</v>
      </c>
      <c r="AB162">
        <v>45982</v>
      </c>
      <c r="AC162">
        <v>295.68</v>
      </c>
      <c r="AD162">
        <f t="shared" ca="1" si="22"/>
        <v>-225</v>
      </c>
      <c r="AE162">
        <f t="shared" ca="1" si="23"/>
        <v>-10000000000</v>
      </c>
    </row>
    <row r="163" spans="25:31" x14ac:dyDescent="0.3">
      <c r="Y163">
        <v>46012</v>
      </c>
      <c r="Z163">
        <v>14106195</v>
      </c>
      <c r="AA163" t="s">
        <v>59</v>
      </c>
      <c r="AB163">
        <v>46012</v>
      </c>
      <c r="AC163">
        <v>667.4</v>
      </c>
      <c r="AD163">
        <f t="shared" ca="1" si="22"/>
        <v>-190</v>
      </c>
      <c r="AE163">
        <f t="shared" ca="1" si="23"/>
        <v>-10000000000</v>
      </c>
    </row>
    <row r="164" spans="25:31" x14ac:dyDescent="0.3">
      <c r="Y164">
        <v>45945</v>
      </c>
      <c r="Z164">
        <v>14114681</v>
      </c>
      <c r="AA164" t="s">
        <v>129</v>
      </c>
      <c r="AB164">
        <v>45952</v>
      </c>
      <c r="AC164">
        <v>0</v>
      </c>
      <c r="AD164">
        <f t="shared" ca="1" si="22"/>
        <v>-257</v>
      </c>
      <c r="AE164">
        <f t="shared" ca="1" si="23"/>
        <v>-10000000000</v>
      </c>
    </row>
    <row r="165" spans="25:31" x14ac:dyDescent="0.3">
      <c r="Y165">
        <v>45963</v>
      </c>
      <c r="Z165">
        <v>14175319</v>
      </c>
      <c r="AA165" t="s">
        <v>127</v>
      </c>
      <c r="AB165">
        <v>45970</v>
      </c>
      <c r="AC165">
        <v>0</v>
      </c>
      <c r="AD165">
        <f t="shared" ca="1" si="22"/>
        <v>-239</v>
      </c>
      <c r="AE165">
        <f t="shared" ca="1" si="23"/>
        <v>-10000000000</v>
      </c>
    </row>
    <row r="166" spans="25:31" x14ac:dyDescent="0.3">
      <c r="Y166">
        <v>46005</v>
      </c>
      <c r="Z166">
        <v>17007099</v>
      </c>
      <c r="AA166" t="s">
        <v>129</v>
      </c>
      <c r="AB166">
        <v>46015</v>
      </c>
      <c r="AC166">
        <v>0</v>
      </c>
      <c r="AD166">
        <f t="shared" ca="1" si="22"/>
        <v>-197</v>
      </c>
      <c r="AE166">
        <f t="shared" ca="1" si="23"/>
        <v>-10000000000</v>
      </c>
    </row>
    <row r="167" spans="25:31" x14ac:dyDescent="0.3">
      <c r="Y167">
        <v>45971</v>
      </c>
      <c r="Z167">
        <v>17008224</v>
      </c>
      <c r="AA167" t="s">
        <v>125</v>
      </c>
      <c r="AB167">
        <v>45983</v>
      </c>
      <c r="AC167">
        <v>208</v>
      </c>
      <c r="AD167">
        <f t="shared" ca="1" si="22"/>
        <v>-231</v>
      </c>
      <c r="AE167">
        <f t="shared" ca="1" si="23"/>
        <v>-10000000000</v>
      </c>
    </row>
    <row r="168" spans="25:31" x14ac:dyDescent="0.3">
      <c r="Y168">
        <v>45985</v>
      </c>
      <c r="Z168">
        <v>17008190</v>
      </c>
      <c r="AA168" t="s">
        <v>96</v>
      </c>
      <c r="AB168">
        <v>45992</v>
      </c>
      <c r="AC168">
        <v>751.4</v>
      </c>
      <c r="AD168">
        <f t="shared" ca="1" si="22"/>
        <v>-217</v>
      </c>
      <c r="AE168">
        <f t="shared" ca="1" si="23"/>
        <v>-10000000000</v>
      </c>
    </row>
    <row r="169" spans="25:31" x14ac:dyDescent="0.3">
      <c r="Y169">
        <v>45956</v>
      </c>
      <c r="Z169">
        <v>17011166</v>
      </c>
      <c r="AA169" t="s">
        <v>125</v>
      </c>
      <c r="AB169">
        <v>45960</v>
      </c>
      <c r="AC169">
        <v>286.5</v>
      </c>
      <c r="AD169">
        <f t="shared" ca="1" si="22"/>
        <v>-246</v>
      </c>
      <c r="AE169">
        <f t="shared" ca="1" si="23"/>
        <v>-10000000000</v>
      </c>
    </row>
    <row r="170" spans="25:31" x14ac:dyDescent="0.3">
      <c r="Y170">
        <v>46044</v>
      </c>
      <c r="Z170">
        <v>17071614</v>
      </c>
      <c r="AA170" t="s">
        <v>130</v>
      </c>
      <c r="AB170">
        <v>46052</v>
      </c>
      <c r="AC170">
        <v>867</v>
      </c>
      <c r="AD170">
        <f t="shared" ca="1" si="22"/>
        <v>-158</v>
      </c>
      <c r="AE170">
        <f t="shared" ca="1" si="23"/>
        <v>-10000000000</v>
      </c>
    </row>
    <row r="171" spans="25:31" x14ac:dyDescent="0.3">
      <c r="Y171">
        <v>45953</v>
      </c>
      <c r="Z171">
        <v>17011764</v>
      </c>
      <c r="AA171" t="s">
        <v>90</v>
      </c>
      <c r="AB171">
        <v>45977</v>
      </c>
      <c r="AC171">
        <v>960</v>
      </c>
      <c r="AD171">
        <f t="shared" ca="1" si="22"/>
        <v>-249</v>
      </c>
      <c r="AE171">
        <f t="shared" ca="1" si="23"/>
        <v>-10000000000</v>
      </c>
    </row>
    <row r="172" spans="25:31" x14ac:dyDescent="0.3">
      <c r="Y172">
        <v>45963</v>
      </c>
      <c r="Z172">
        <v>17015969</v>
      </c>
      <c r="AA172" t="s">
        <v>115</v>
      </c>
      <c r="AB172">
        <v>45974</v>
      </c>
      <c r="AC172">
        <v>422.1</v>
      </c>
      <c r="AD172">
        <f t="shared" ca="1" si="22"/>
        <v>-239</v>
      </c>
      <c r="AE172">
        <f t="shared" ca="1" si="23"/>
        <v>-10000000000</v>
      </c>
    </row>
    <row r="173" spans="25:31" x14ac:dyDescent="0.3">
      <c r="Y173">
        <v>46006</v>
      </c>
      <c r="Z173">
        <v>14233018</v>
      </c>
      <c r="AA173" t="s">
        <v>123</v>
      </c>
      <c r="AB173">
        <v>46012</v>
      </c>
      <c r="AC173">
        <v>774</v>
      </c>
      <c r="AD173">
        <f t="shared" ca="1" si="22"/>
        <v>-196</v>
      </c>
      <c r="AE173">
        <f t="shared" ca="1" si="23"/>
        <v>-10000000000</v>
      </c>
    </row>
    <row r="174" spans="25:31" x14ac:dyDescent="0.3">
      <c r="Y174">
        <v>46063</v>
      </c>
      <c r="Z174">
        <v>14225028</v>
      </c>
      <c r="AA174" t="s">
        <v>59</v>
      </c>
      <c r="AB174">
        <v>46074</v>
      </c>
      <c r="AC174">
        <v>352.8</v>
      </c>
      <c r="AD174">
        <f t="shared" ca="1" si="22"/>
        <v>-139</v>
      </c>
      <c r="AE174">
        <f t="shared" ca="1" si="23"/>
        <v>-10000000000</v>
      </c>
    </row>
    <row r="175" spans="25:31" x14ac:dyDescent="0.3">
      <c r="Y175">
        <v>46012</v>
      </c>
      <c r="Z175">
        <v>17021109</v>
      </c>
      <c r="AA175" t="s">
        <v>125</v>
      </c>
      <c r="AB175">
        <v>46015</v>
      </c>
      <c r="AC175">
        <v>268</v>
      </c>
      <c r="AD175">
        <f t="shared" ca="1" si="22"/>
        <v>-190</v>
      </c>
      <c r="AE175">
        <f t="shared" ca="1" si="23"/>
        <v>-10000000000</v>
      </c>
    </row>
    <row r="176" spans="25:31" x14ac:dyDescent="0.3">
      <c r="Y176">
        <v>46091</v>
      </c>
      <c r="Z176">
        <v>14256639</v>
      </c>
      <c r="AA176" t="s">
        <v>123</v>
      </c>
      <c r="AB176">
        <v>46102</v>
      </c>
      <c r="AC176">
        <v>1200.1500000000001</v>
      </c>
      <c r="AD176">
        <f t="shared" ca="1" si="22"/>
        <v>-111</v>
      </c>
      <c r="AE176">
        <f t="shared" ca="1" si="23"/>
        <v>-10000000000</v>
      </c>
    </row>
    <row r="177" spans="25:31" x14ac:dyDescent="0.3">
      <c r="Y177">
        <v>45956</v>
      </c>
      <c r="Z177">
        <v>14269366</v>
      </c>
      <c r="AA177" t="s">
        <v>131</v>
      </c>
      <c r="AB177">
        <v>45961</v>
      </c>
      <c r="AC177">
        <v>0</v>
      </c>
      <c r="AD177">
        <f t="shared" ca="1" si="22"/>
        <v>-246</v>
      </c>
      <c r="AE177">
        <f t="shared" ca="1" si="23"/>
        <v>-10000000000</v>
      </c>
    </row>
    <row r="178" spans="25:31" x14ac:dyDescent="0.3">
      <c r="Y178">
        <v>46002</v>
      </c>
      <c r="Z178">
        <v>14272598</v>
      </c>
      <c r="AA178" t="s">
        <v>123</v>
      </c>
      <c r="AB178">
        <v>46011</v>
      </c>
      <c r="AC178">
        <v>1977.2</v>
      </c>
      <c r="AD178">
        <f t="shared" ca="1" si="22"/>
        <v>-200</v>
      </c>
      <c r="AE178">
        <f t="shared" ca="1" si="23"/>
        <v>-10000000000</v>
      </c>
    </row>
    <row r="179" spans="25:31" x14ac:dyDescent="0.3">
      <c r="Y179">
        <v>46012</v>
      </c>
      <c r="Z179">
        <v>14263938</v>
      </c>
      <c r="AA179" t="s">
        <v>124</v>
      </c>
      <c r="AB179">
        <v>46020</v>
      </c>
      <c r="AC179">
        <v>766.08</v>
      </c>
      <c r="AD179">
        <f t="shared" ca="1" si="22"/>
        <v>-190</v>
      </c>
      <c r="AE179">
        <f t="shared" ca="1" si="23"/>
        <v>-10000000000</v>
      </c>
    </row>
    <row r="180" spans="25:31" x14ac:dyDescent="0.3">
      <c r="Y180">
        <v>46012</v>
      </c>
      <c r="Z180">
        <v>14263864</v>
      </c>
      <c r="AA180" t="s">
        <v>124</v>
      </c>
      <c r="AB180">
        <v>46020</v>
      </c>
      <c r="AC180">
        <v>1167.44</v>
      </c>
      <c r="AD180">
        <f t="shared" ca="1" si="22"/>
        <v>-190</v>
      </c>
      <c r="AE180">
        <f t="shared" ca="1" si="23"/>
        <v>-10000000000</v>
      </c>
    </row>
    <row r="181" spans="25:31" x14ac:dyDescent="0.3">
      <c r="Y181">
        <v>45956</v>
      </c>
      <c r="Z181">
        <v>14282379</v>
      </c>
      <c r="AA181" t="s">
        <v>55</v>
      </c>
      <c r="AB181">
        <v>45964</v>
      </c>
      <c r="AC181">
        <v>0</v>
      </c>
      <c r="AD181">
        <f t="shared" ca="1" si="22"/>
        <v>-246</v>
      </c>
      <c r="AE181">
        <f t="shared" ca="1" si="23"/>
        <v>-10000000000</v>
      </c>
    </row>
    <row r="182" spans="25:31" x14ac:dyDescent="0.3">
      <c r="Y182">
        <v>45998</v>
      </c>
      <c r="Z182">
        <v>14286651</v>
      </c>
      <c r="AA182" t="s">
        <v>127</v>
      </c>
      <c r="AB182">
        <v>46006</v>
      </c>
      <c r="AC182">
        <v>0</v>
      </c>
      <c r="AD182">
        <f t="shared" ca="1" si="22"/>
        <v>-204</v>
      </c>
      <c r="AE182">
        <f t="shared" ca="1" si="23"/>
        <v>-10000000000</v>
      </c>
    </row>
    <row r="183" spans="25:31" x14ac:dyDescent="0.3">
      <c r="Y183">
        <v>45963</v>
      </c>
      <c r="Z183">
        <v>14294871</v>
      </c>
      <c r="AA183" t="s">
        <v>120</v>
      </c>
      <c r="AB183">
        <v>45966</v>
      </c>
      <c r="AC183">
        <v>0</v>
      </c>
      <c r="AD183">
        <f t="shared" ca="1" si="22"/>
        <v>-239</v>
      </c>
      <c r="AE183">
        <f t="shared" ca="1" si="23"/>
        <v>-10000000000</v>
      </c>
    </row>
    <row r="184" spans="25:31" x14ac:dyDescent="0.3">
      <c r="Y184">
        <v>45957</v>
      </c>
      <c r="Z184">
        <v>17025422</v>
      </c>
      <c r="AA184" t="s">
        <v>108</v>
      </c>
      <c r="AB184">
        <v>45967</v>
      </c>
      <c r="AC184">
        <v>0</v>
      </c>
      <c r="AD184">
        <f t="shared" ca="1" si="22"/>
        <v>-245</v>
      </c>
      <c r="AE184">
        <f t="shared" ca="1" si="23"/>
        <v>-10000000000</v>
      </c>
    </row>
    <row r="185" spans="25:31" x14ac:dyDescent="0.3">
      <c r="Y185">
        <v>45986</v>
      </c>
      <c r="Z185">
        <v>14298436</v>
      </c>
      <c r="AA185" t="s">
        <v>59</v>
      </c>
      <c r="AB185">
        <v>45992</v>
      </c>
      <c r="AC185">
        <v>401.8</v>
      </c>
      <c r="AD185">
        <f t="shared" ca="1" si="22"/>
        <v>-216</v>
      </c>
      <c r="AE185">
        <f t="shared" ca="1" si="23"/>
        <v>-10000000000</v>
      </c>
    </row>
    <row r="186" spans="25:31" x14ac:dyDescent="0.3">
      <c r="Y186">
        <v>46012</v>
      </c>
      <c r="Z186">
        <v>14315126</v>
      </c>
      <c r="AA186" t="s">
        <v>123</v>
      </c>
      <c r="AB186">
        <v>46020</v>
      </c>
      <c r="AC186">
        <v>1295.2</v>
      </c>
      <c r="AD186">
        <f t="shared" ca="1" si="22"/>
        <v>-190</v>
      </c>
      <c r="AE186">
        <f t="shared" ca="1" si="23"/>
        <v>-10000000000</v>
      </c>
    </row>
    <row r="187" spans="25:31" x14ac:dyDescent="0.3">
      <c r="Y187">
        <v>46012</v>
      </c>
      <c r="Z187">
        <v>14314969</v>
      </c>
      <c r="AA187" t="s">
        <v>123</v>
      </c>
      <c r="AB187">
        <v>46020</v>
      </c>
      <c r="AC187">
        <v>1905</v>
      </c>
      <c r="AD187">
        <f t="shared" ca="1" si="22"/>
        <v>-190</v>
      </c>
      <c r="AE187">
        <f t="shared" ca="1" si="23"/>
        <v>-10000000000</v>
      </c>
    </row>
    <row r="188" spans="25:31" x14ac:dyDescent="0.3">
      <c r="Y188">
        <v>45963</v>
      </c>
      <c r="Z188">
        <v>17035144</v>
      </c>
      <c r="AA188" t="s">
        <v>113</v>
      </c>
      <c r="AB188">
        <v>45975</v>
      </c>
      <c r="AC188">
        <v>0</v>
      </c>
      <c r="AD188">
        <f t="shared" ca="1" si="22"/>
        <v>-239</v>
      </c>
      <c r="AE188">
        <f t="shared" ca="1" si="23"/>
        <v>-10000000000</v>
      </c>
    </row>
    <row r="189" spans="25:31" x14ac:dyDescent="0.3">
      <c r="Y189">
        <v>46022</v>
      </c>
      <c r="Z189">
        <v>17034922</v>
      </c>
      <c r="AA189" t="s">
        <v>113</v>
      </c>
      <c r="AB189">
        <v>46032</v>
      </c>
      <c r="AC189">
        <v>0</v>
      </c>
      <c r="AD189">
        <f t="shared" ca="1" si="22"/>
        <v>-180</v>
      </c>
      <c r="AE189">
        <f t="shared" ca="1" si="23"/>
        <v>-10000000000</v>
      </c>
    </row>
    <row r="190" spans="25:31" x14ac:dyDescent="0.3">
      <c r="Y190">
        <v>45973</v>
      </c>
      <c r="Z190">
        <v>14345467</v>
      </c>
      <c r="AA190" t="s">
        <v>117</v>
      </c>
      <c r="AB190">
        <v>45984</v>
      </c>
      <c r="AC190">
        <v>0</v>
      </c>
      <c r="AD190">
        <f t="shared" ca="1" si="22"/>
        <v>-229</v>
      </c>
      <c r="AE190">
        <f t="shared" ca="1" si="23"/>
        <v>-10000000000</v>
      </c>
    </row>
    <row r="191" spans="25:31" x14ac:dyDescent="0.3">
      <c r="Y191">
        <v>45958</v>
      </c>
      <c r="Z191">
        <v>17036561</v>
      </c>
      <c r="AA191" t="s">
        <v>108</v>
      </c>
      <c r="AB191">
        <v>45963</v>
      </c>
      <c r="AC191">
        <v>440</v>
      </c>
      <c r="AD191">
        <f t="shared" ca="1" si="22"/>
        <v>-244</v>
      </c>
      <c r="AE191">
        <f t="shared" ca="1" si="23"/>
        <v>-10000000000</v>
      </c>
    </row>
    <row r="192" spans="25:31" x14ac:dyDescent="0.3">
      <c r="Y192">
        <v>45964</v>
      </c>
      <c r="Z192">
        <v>14339563</v>
      </c>
      <c r="AA192" t="s">
        <v>82</v>
      </c>
      <c r="AB192">
        <v>45972</v>
      </c>
      <c r="AC192">
        <v>0</v>
      </c>
      <c r="AD192">
        <f t="shared" ca="1" si="22"/>
        <v>-238</v>
      </c>
      <c r="AE192">
        <f t="shared" ca="1" si="23"/>
        <v>-10000000000</v>
      </c>
    </row>
    <row r="193" spans="25:31" x14ac:dyDescent="0.3">
      <c r="Y193">
        <v>45985</v>
      </c>
      <c r="Z193">
        <v>14347243</v>
      </c>
      <c r="AA193" t="s">
        <v>117</v>
      </c>
      <c r="AB193">
        <v>45995</v>
      </c>
      <c r="AC193">
        <v>0</v>
      </c>
      <c r="AD193">
        <f t="shared" ca="1" si="22"/>
        <v>-217</v>
      </c>
      <c r="AE193">
        <f t="shared" ca="1" si="23"/>
        <v>-10000000000</v>
      </c>
    </row>
    <row r="194" spans="25:31" x14ac:dyDescent="0.3">
      <c r="Y194">
        <v>45965</v>
      </c>
      <c r="Z194">
        <v>14347859</v>
      </c>
      <c r="AA194" t="s">
        <v>82</v>
      </c>
      <c r="AB194">
        <v>45971</v>
      </c>
      <c r="AC194">
        <v>0</v>
      </c>
      <c r="AD194">
        <f t="shared" ca="1" si="22"/>
        <v>-237</v>
      </c>
      <c r="AE194">
        <f t="shared" ca="1" si="23"/>
        <v>-10000000000</v>
      </c>
    </row>
    <row r="195" spans="25:31" x14ac:dyDescent="0.3">
      <c r="Y195">
        <v>45965</v>
      </c>
      <c r="Z195">
        <v>17061282</v>
      </c>
      <c r="AA195" t="s">
        <v>132</v>
      </c>
      <c r="AB195">
        <v>45971</v>
      </c>
      <c r="AC195">
        <v>0</v>
      </c>
      <c r="AD195">
        <f t="shared" ca="1" si="22"/>
        <v>-237</v>
      </c>
      <c r="AE195">
        <f t="shared" ca="1" si="23"/>
        <v>-10000000000</v>
      </c>
    </row>
    <row r="196" spans="25:31" x14ac:dyDescent="0.3">
      <c r="Y196">
        <v>45960</v>
      </c>
      <c r="Z196">
        <v>17039330</v>
      </c>
      <c r="AA196" t="s">
        <v>133</v>
      </c>
      <c r="AB196">
        <v>45967</v>
      </c>
      <c r="AC196">
        <v>852</v>
      </c>
      <c r="AD196">
        <f t="shared" ref="AD196:AD259" ca="1" si="24">IF(Y196="","",Y196-TODAY())</f>
        <v>-242</v>
      </c>
      <c r="AE196">
        <f t="shared" ref="AE196:AE259" ca="1" si="25">IF(OR(Y196="",AD196&lt;0,AD196&gt;60),-10000000000,-AD196*1000+ROW()/100000)</f>
        <v>-10000000000</v>
      </c>
    </row>
    <row r="197" spans="25:31" x14ac:dyDescent="0.3">
      <c r="Y197">
        <v>45973</v>
      </c>
      <c r="Z197">
        <v>14384663</v>
      </c>
      <c r="AA197" t="s">
        <v>82</v>
      </c>
      <c r="AB197">
        <v>45977</v>
      </c>
      <c r="AC197">
        <v>0</v>
      </c>
      <c r="AD197">
        <f t="shared" ca="1" si="24"/>
        <v>-229</v>
      </c>
      <c r="AE197">
        <f t="shared" ca="1" si="25"/>
        <v>-10000000000</v>
      </c>
    </row>
    <row r="198" spans="25:31" x14ac:dyDescent="0.3">
      <c r="Y198">
        <v>45980</v>
      </c>
      <c r="Z198">
        <v>14381130</v>
      </c>
      <c r="AA198" t="s">
        <v>118</v>
      </c>
      <c r="AB198">
        <v>45997</v>
      </c>
      <c r="AC198">
        <v>1668.9749999999999</v>
      </c>
      <c r="AD198">
        <f t="shared" ca="1" si="24"/>
        <v>-222</v>
      </c>
      <c r="AE198">
        <f t="shared" ca="1" si="25"/>
        <v>-10000000000</v>
      </c>
    </row>
    <row r="199" spans="25:31" x14ac:dyDescent="0.3">
      <c r="Y199">
        <v>45963</v>
      </c>
      <c r="Z199">
        <v>17043946</v>
      </c>
      <c r="AA199" t="s">
        <v>133</v>
      </c>
      <c r="AB199">
        <v>45970</v>
      </c>
      <c r="AC199">
        <v>588</v>
      </c>
      <c r="AD199">
        <f t="shared" ca="1" si="24"/>
        <v>-239</v>
      </c>
      <c r="AE199">
        <f t="shared" ca="1" si="25"/>
        <v>-10000000000</v>
      </c>
    </row>
    <row r="200" spans="25:31" x14ac:dyDescent="0.3">
      <c r="Y200">
        <v>46012</v>
      </c>
      <c r="Z200">
        <v>14391856</v>
      </c>
      <c r="AA200" t="s">
        <v>125</v>
      </c>
      <c r="AB200">
        <v>46012</v>
      </c>
      <c r="AC200">
        <v>728</v>
      </c>
      <c r="AD200">
        <f t="shared" ca="1" si="24"/>
        <v>-190</v>
      </c>
      <c r="AE200">
        <f t="shared" ca="1" si="25"/>
        <v>-10000000000</v>
      </c>
    </row>
    <row r="201" spans="25:31" x14ac:dyDescent="0.3">
      <c r="Y201">
        <v>45973</v>
      </c>
      <c r="Z201">
        <v>17048053</v>
      </c>
      <c r="AA201" t="s">
        <v>133</v>
      </c>
      <c r="AB201">
        <v>45983</v>
      </c>
      <c r="AC201">
        <v>924</v>
      </c>
      <c r="AD201">
        <f t="shared" ca="1" si="24"/>
        <v>-229</v>
      </c>
      <c r="AE201">
        <f t="shared" ca="1" si="25"/>
        <v>-10000000000</v>
      </c>
    </row>
    <row r="202" spans="25:31" x14ac:dyDescent="0.3">
      <c r="Y202">
        <v>45977</v>
      </c>
      <c r="Z202">
        <v>17045677</v>
      </c>
      <c r="AA202" t="s">
        <v>127</v>
      </c>
      <c r="AB202">
        <v>45983</v>
      </c>
      <c r="AC202">
        <v>0</v>
      </c>
      <c r="AD202">
        <f t="shared" ca="1" si="24"/>
        <v>-225</v>
      </c>
      <c r="AE202">
        <f t="shared" ca="1" si="25"/>
        <v>-10000000000</v>
      </c>
    </row>
    <row r="203" spans="25:31" x14ac:dyDescent="0.3">
      <c r="Y203">
        <v>46055</v>
      </c>
      <c r="Z203">
        <v>16915853</v>
      </c>
      <c r="AA203" t="s">
        <v>103</v>
      </c>
      <c r="AB203">
        <v>46065</v>
      </c>
      <c r="AC203">
        <v>705.6</v>
      </c>
      <c r="AD203">
        <f t="shared" ca="1" si="24"/>
        <v>-147</v>
      </c>
      <c r="AE203">
        <f t="shared" ca="1" si="25"/>
        <v>-10000000000</v>
      </c>
    </row>
    <row r="204" spans="25:31" x14ac:dyDescent="0.3">
      <c r="Y204">
        <v>45973</v>
      </c>
      <c r="Z204">
        <v>14422923</v>
      </c>
      <c r="AA204" t="s">
        <v>127</v>
      </c>
      <c r="AB204">
        <v>45983</v>
      </c>
      <c r="AC204">
        <v>0</v>
      </c>
      <c r="AD204">
        <f t="shared" ca="1" si="24"/>
        <v>-229</v>
      </c>
      <c r="AE204">
        <f t="shared" ca="1" si="25"/>
        <v>-10000000000</v>
      </c>
    </row>
    <row r="205" spans="25:31" x14ac:dyDescent="0.3">
      <c r="Y205">
        <v>46012</v>
      </c>
      <c r="Z205">
        <v>14426144</v>
      </c>
      <c r="AA205" t="s">
        <v>125</v>
      </c>
      <c r="AB205">
        <v>46017</v>
      </c>
      <c r="AC205">
        <v>988</v>
      </c>
      <c r="AD205">
        <f t="shared" ca="1" si="24"/>
        <v>-190</v>
      </c>
      <c r="AE205">
        <f t="shared" ca="1" si="25"/>
        <v>-10000000000</v>
      </c>
    </row>
    <row r="206" spans="25:31" x14ac:dyDescent="0.3">
      <c r="Y206">
        <v>46082</v>
      </c>
      <c r="Z206">
        <v>14418852</v>
      </c>
      <c r="AA206" t="s">
        <v>117</v>
      </c>
      <c r="AB206">
        <v>46093</v>
      </c>
      <c r="AC206">
        <v>1443.2</v>
      </c>
      <c r="AD206">
        <f t="shared" ca="1" si="24"/>
        <v>-120</v>
      </c>
      <c r="AE206">
        <f t="shared" ca="1" si="25"/>
        <v>-10000000000</v>
      </c>
    </row>
    <row r="207" spans="25:31" x14ac:dyDescent="0.3">
      <c r="Y207">
        <v>45965</v>
      </c>
      <c r="Z207">
        <v>17054462</v>
      </c>
      <c r="AA207" t="s">
        <v>82</v>
      </c>
      <c r="AB207">
        <v>45973</v>
      </c>
      <c r="AC207">
        <v>826.28</v>
      </c>
      <c r="AD207">
        <f t="shared" ca="1" si="24"/>
        <v>-237</v>
      </c>
      <c r="AE207">
        <f t="shared" ca="1" si="25"/>
        <v>-10000000000</v>
      </c>
    </row>
    <row r="208" spans="25:31" x14ac:dyDescent="0.3">
      <c r="Y208">
        <v>45981</v>
      </c>
      <c r="Z208">
        <v>17053751</v>
      </c>
      <c r="AA208" t="s">
        <v>93</v>
      </c>
      <c r="AB208">
        <v>45995</v>
      </c>
      <c r="AC208">
        <v>1675.2</v>
      </c>
      <c r="AD208">
        <f t="shared" ca="1" si="24"/>
        <v>-221</v>
      </c>
      <c r="AE208">
        <f t="shared" ca="1" si="25"/>
        <v>-10000000000</v>
      </c>
    </row>
    <row r="209" spans="25:31" x14ac:dyDescent="0.3">
      <c r="Y209">
        <v>46014</v>
      </c>
      <c r="Z209">
        <v>14431061</v>
      </c>
      <c r="AA209" t="s">
        <v>95</v>
      </c>
      <c r="AB209">
        <v>46022</v>
      </c>
      <c r="AC209">
        <v>1046.4000000000001</v>
      </c>
      <c r="AD209">
        <f t="shared" ca="1" si="24"/>
        <v>-188</v>
      </c>
      <c r="AE209">
        <f t="shared" ca="1" si="25"/>
        <v>-10000000000</v>
      </c>
    </row>
    <row r="210" spans="25:31" x14ac:dyDescent="0.3">
      <c r="Y210">
        <v>45991</v>
      </c>
      <c r="Z210">
        <v>14453425</v>
      </c>
      <c r="AA210" t="s">
        <v>129</v>
      </c>
      <c r="AB210">
        <v>45997</v>
      </c>
      <c r="AC210">
        <v>0</v>
      </c>
      <c r="AD210">
        <f t="shared" ca="1" si="24"/>
        <v>-211</v>
      </c>
      <c r="AE210">
        <f t="shared" ca="1" si="25"/>
        <v>-10000000000</v>
      </c>
    </row>
    <row r="211" spans="25:31" x14ac:dyDescent="0.3">
      <c r="Y211">
        <v>46008</v>
      </c>
      <c r="Z211">
        <v>17056711</v>
      </c>
      <c r="AA211" t="s">
        <v>101</v>
      </c>
      <c r="AB211">
        <v>46013</v>
      </c>
      <c r="AC211">
        <v>566</v>
      </c>
      <c r="AD211">
        <f t="shared" ca="1" si="24"/>
        <v>-194</v>
      </c>
      <c r="AE211">
        <f t="shared" ca="1" si="25"/>
        <v>-10000000000</v>
      </c>
    </row>
    <row r="212" spans="25:31" x14ac:dyDescent="0.3">
      <c r="Y212">
        <v>46001</v>
      </c>
      <c r="Z212">
        <v>14463134</v>
      </c>
      <c r="AA212" t="s">
        <v>71</v>
      </c>
      <c r="AB212">
        <v>46010</v>
      </c>
      <c r="AC212">
        <v>777</v>
      </c>
      <c r="AD212">
        <f t="shared" ca="1" si="24"/>
        <v>-201</v>
      </c>
      <c r="AE212">
        <f t="shared" ca="1" si="25"/>
        <v>-10000000000</v>
      </c>
    </row>
    <row r="213" spans="25:31" x14ac:dyDescent="0.3">
      <c r="Y213">
        <v>45965</v>
      </c>
      <c r="Z213">
        <v>17039413</v>
      </c>
      <c r="AA213" t="s">
        <v>132</v>
      </c>
      <c r="AB213">
        <v>45976</v>
      </c>
      <c r="AC213">
        <v>0</v>
      </c>
      <c r="AD213">
        <f t="shared" ca="1" si="24"/>
        <v>-237</v>
      </c>
      <c r="AE213">
        <f t="shared" ca="1" si="25"/>
        <v>-10000000000</v>
      </c>
    </row>
    <row r="214" spans="25:31" x14ac:dyDescent="0.3">
      <c r="Y214">
        <v>45995</v>
      </c>
      <c r="Z214">
        <v>17062828</v>
      </c>
      <c r="AA214" t="s">
        <v>55</v>
      </c>
      <c r="AB214">
        <v>45999</v>
      </c>
      <c r="AC214">
        <v>636</v>
      </c>
      <c r="AD214">
        <f t="shared" ca="1" si="24"/>
        <v>-207</v>
      </c>
      <c r="AE214">
        <f t="shared" ca="1" si="25"/>
        <v>-10000000000</v>
      </c>
    </row>
    <row r="215" spans="25:31" x14ac:dyDescent="0.3">
      <c r="Y215">
        <v>46002</v>
      </c>
      <c r="Z215">
        <v>17060897</v>
      </c>
      <c r="AA215" t="s">
        <v>133</v>
      </c>
      <c r="AB215">
        <v>46011</v>
      </c>
      <c r="AC215">
        <v>1326</v>
      </c>
      <c r="AD215">
        <f t="shared" ca="1" si="24"/>
        <v>-200</v>
      </c>
      <c r="AE215">
        <f t="shared" ca="1" si="25"/>
        <v>-10000000000</v>
      </c>
    </row>
    <row r="216" spans="25:31" x14ac:dyDescent="0.3">
      <c r="Y216">
        <v>46106</v>
      </c>
      <c r="Z216">
        <v>17061585</v>
      </c>
      <c r="AA216" t="s">
        <v>88</v>
      </c>
      <c r="AB216">
        <v>46113</v>
      </c>
      <c r="AC216">
        <v>1004.76</v>
      </c>
      <c r="AD216">
        <f t="shared" ca="1" si="24"/>
        <v>-96</v>
      </c>
      <c r="AE216">
        <f t="shared" ca="1" si="25"/>
        <v>-10000000000</v>
      </c>
    </row>
    <row r="217" spans="25:31" x14ac:dyDescent="0.3">
      <c r="Y217">
        <v>46001</v>
      </c>
      <c r="Z217">
        <v>16866023</v>
      </c>
      <c r="AA217" t="s">
        <v>132</v>
      </c>
      <c r="AB217">
        <v>46014</v>
      </c>
      <c r="AC217">
        <v>0</v>
      </c>
      <c r="AD217">
        <f t="shared" ca="1" si="24"/>
        <v>-201</v>
      </c>
      <c r="AE217">
        <f t="shared" ca="1" si="25"/>
        <v>-10000000000</v>
      </c>
    </row>
    <row r="218" spans="25:31" x14ac:dyDescent="0.3">
      <c r="Y218">
        <v>46012</v>
      </c>
      <c r="Z218">
        <v>17065811</v>
      </c>
      <c r="AA218" t="s">
        <v>108</v>
      </c>
      <c r="AB218">
        <v>46020</v>
      </c>
      <c r="AC218">
        <v>1865</v>
      </c>
      <c r="AD218">
        <f t="shared" ca="1" si="24"/>
        <v>-190</v>
      </c>
      <c r="AE218">
        <f t="shared" ca="1" si="25"/>
        <v>-10000000000</v>
      </c>
    </row>
    <row r="219" spans="25:31" x14ac:dyDescent="0.3">
      <c r="Y219">
        <v>45970</v>
      </c>
      <c r="Z219">
        <v>14492567</v>
      </c>
      <c r="AA219" t="s">
        <v>134</v>
      </c>
      <c r="AB219">
        <v>45976</v>
      </c>
      <c r="AC219">
        <v>419.76</v>
      </c>
      <c r="AD219">
        <f t="shared" ca="1" si="24"/>
        <v>-232</v>
      </c>
      <c r="AE219">
        <f t="shared" ca="1" si="25"/>
        <v>-10000000000</v>
      </c>
    </row>
    <row r="220" spans="25:31" x14ac:dyDescent="0.3">
      <c r="Y220">
        <v>46012</v>
      </c>
      <c r="Z220">
        <v>14502226</v>
      </c>
      <c r="AA220" t="s">
        <v>96</v>
      </c>
      <c r="AB220">
        <v>46021</v>
      </c>
      <c r="AC220">
        <v>1605</v>
      </c>
      <c r="AD220">
        <f t="shared" ca="1" si="24"/>
        <v>-190</v>
      </c>
      <c r="AE220">
        <f t="shared" ca="1" si="25"/>
        <v>-10000000000</v>
      </c>
    </row>
    <row r="221" spans="25:31" x14ac:dyDescent="0.3">
      <c r="Y221">
        <v>45979</v>
      </c>
      <c r="Z221">
        <v>17069169</v>
      </c>
      <c r="AA221" t="s">
        <v>133</v>
      </c>
      <c r="AB221">
        <v>45984</v>
      </c>
      <c r="AC221">
        <v>1120</v>
      </c>
      <c r="AD221">
        <f t="shared" ca="1" si="24"/>
        <v>-223</v>
      </c>
      <c r="AE221">
        <f t="shared" ca="1" si="25"/>
        <v>-10000000000</v>
      </c>
    </row>
    <row r="222" spans="25:31" x14ac:dyDescent="0.3">
      <c r="Y222">
        <v>45970</v>
      </c>
      <c r="Z222">
        <v>14509541</v>
      </c>
      <c r="AA222" t="s">
        <v>135</v>
      </c>
      <c r="AB222">
        <v>45972</v>
      </c>
      <c r="AC222">
        <v>90</v>
      </c>
      <c r="AD222">
        <f t="shared" ca="1" si="24"/>
        <v>-232</v>
      </c>
      <c r="AE222">
        <f t="shared" ca="1" si="25"/>
        <v>-10000000000</v>
      </c>
    </row>
    <row r="223" spans="25:31" x14ac:dyDescent="0.3">
      <c r="Y223">
        <v>45998</v>
      </c>
      <c r="Z223">
        <v>17070803</v>
      </c>
      <c r="AA223" t="s">
        <v>96</v>
      </c>
      <c r="AB223">
        <v>46005</v>
      </c>
      <c r="AC223">
        <v>825</v>
      </c>
      <c r="AD223">
        <f t="shared" ca="1" si="24"/>
        <v>-204</v>
      </c>
      <c r="AE223">
        <f t="shared" ca="1" si="25"/>
        <v>-10000000000</v>
      </c>
    </row>
    <row r="224" spans="25:31" x14ac:dyDescent="0.3">
      <c r="Y224">
        <v>45986</v>
      </c>
      <c r="Z224">
        <v>14525746</v>
      </c>
      <c r="AA224" t="s">
        <v>136</v>
      </c>
      <c r="AB224">
        <v>45996</v>
      </c>
      <c r="AC224">
        <v>0</v>
      </c>
      <c r="AD224">
        <f t="shared" ca="1" si="24"/>
        <v>-216</v>
      </c>
      <c r="AE224">
        <f t="shared" ca="1" si="25"/>
        <v>-10000000000</v>
      </c>
    </row>
    <row r="225" spans="25:31" x14ac:dyDescent="0.3">
      <c r="Y225">
        <v>46012</v>
      </c>
      <c r="Z225">
        <v>14531287</v>
      </c>
      <c r="AA225" t="s">
        <v>66</v>
      </c>
      <c r="AB225">
        <v>46018</v>
      </c>
      <c r="AC225">
        <v>1016</v>
      </c>
      <c r="AD225">
        <f t="shared" ca="1" si="24"/>
        <v>-190</v>
      </c>
      <c r="AE225">
        <f t="shared" ca="1" si="25"/>
        <v>-10000000000</v>
      </c>
    </row>
    <row r="226" spans="25:31" x14ac:dyDescent="0.3">
      <c r="Y226">
        <v>46055</v>
      </c>
      <c r="Z226">
        <v>16915852</v>
      </c>
      <c r="AA226" t="s">
        <v>103</v>
      </c>
      <c r="AB226">
        <v>46065</v>
      </c>
      <c r="AC226">
        <v>960</v>
      </c>
      <c r="AD226">
        <f t="shared" ca="1" si="24"/>
        <v>-147</v>
      </c>
      <c r="AE226">
        <f t="shared" ca="1" si="25"/>
        <v>-10000000000</v>
      </c>
    </row>
    <row r="227" spans="25:31" x14ac:dyDescent="0.3">
      <c r="Y227">
        <v>46091</v>
      </c>
      <c r="Z227">
        <v>17071563</v>
      </c>
      <c r="AA227" t="s">
        <v>62</v>
      </c>
      <c r="AB227">
        <v>46098</v>
      </c>
      <c r="AC227">
        <v>700</v>
      </c>
      <c r="AD227">
        <f t="shared" ca="1" si="24"/>
        <v>-111</v>
      </c>
      <c r="AE227">
        <f t="shared" ca="1" si="25"/>
        <v>-10000000000</v>
      </c>
    </row>
    <row r="228" spans="25:31" x14ac:dyDescent="0.3">
      <c r="Y228">
        <v>45970</v>
      </c>
      <c r="Z228">
        <v>2025014</v>
      </c>
      <c r="AA228" t="s">
        <v>139</v>
      </c>
      <c r="AB228">
        <v>45970</v>
      </c>
      <c r="AC228">
        <v>2100</v>
      </c>
      <c r="AD228">
        <f t="shared" ca="1" si="24"/>
        <v>-232</v>
      </c>
      <c r="AE228">
        <f t="shared" ca="1" si="25"/>
        <v>-10000000000</v>
      </c>
    </row>
    <row r="229" spans="25:31" x14ac:dyDescent="0.3">
      <c r="Y229">
        <v>45970</v>
      </c>
      <c r="Z229">
        <v>2025032</v>
      </c>
      <c r="AA229" t="s">
        <v>139</v>
      </c>
      <c r="AB229">
        <v>45972</v>
      </c>
      <c r="AC229">
        <v>1500</v>
      </c>
      <c r="AD229">
        <f t="shared" ca="1" si="24"/>
        <v>-232</v>
      </c>
      <c r="AE229">
        <f t="shared" ca="1" si="25"/>
        <v>-10000000000</v>
      </c>
    </row>
    <row r="230" spans="25:31" x14ac:dyDescent="0.3">
      <c r="Y230">
        <v>46014</v>
      </c>
      <c r="Z230">
        <v>17076062</v>
      </c>
      <c r="AA230" t="s">
        <v>133</v>
      </c>
      <c r="AB230">
        <v>46014</v>
      </c>
      <c r="AC230">
        <v>784</v>
      </c>
      <c r="AD230">
        <f t="shared" ca="1" si="24"/>
        <v>-188</v>
      </c>
      <c r="AE230">
        <f t="shared" ca="1" si="25"/>
        <v>-10000000000</v>
      </c>
    </row>
    <row r="231" spans="25:31" x14ac:dyDescent="0.3">
      <c r="Y231">
        <v>46012</v>
      </c>
      <c r="Z231">
        <v>17075496</v>
      </c>
      <c r="AA231" t="s">
        <v>120</v>
      </c>
      <c r="AB231">
        <v>46019</v>
      </c>
      <c r="AC231">
        <v>883.75</v>
      </c>
      <c r="AD231">
        <f t="shared" ca="1" si="24"/>
        <v>-190</v>
      </c>
      <c r="AE231">
        <f t="shared" ca="1" si="25"/>
        <v>-10000000000</v>
      </c>
    </row>
    <row r="232" spans="25:31" x14ac:dyDescent="0.3">
      <c r="Y232">
        <v>46016</v>
      </c>
      <c r="Z232">
        <v>14554947</v>
      </c>
      <c r="AA232" t="s">
        <v>140</v>
      </c>
      <c r="AB232">
        <v>46023</v>
      </c>
      <c r="AC232">
        <v>866.32</v>
      </c>
      <c r="AD232">
        <f t="shared" ca="1" si="24"/>
        <v>-186</v>
      </c>
      <c r="AE232">
        <f t="shared" ca="1" si="25"/>
        <v>-10000000000</v>
      </c>
    </row>
    <row r="233" spans="25:31" x14ac:dyDescent="0.3">
      <c r="Y233">
        <v>45984</v>
      </c>
      <c r="Z233">
        <v>14563639</v>
      </c>
      <c r="AA233" t="s">
        <v>123</v>
      </c>
      <c r="AB233">
        <v>45992</v>
      </c>
      <c r="AC233">
        <v>0</v>
      </c>
      <c r="AD233">
        <f t="shared" ca="1" si="24"/>
        <v>-218</v>
      </c>
      <c r="AE233">
        <f t="shared" ca="1" si="25"/>
        <v>-10000000000</v>
      </c>
    </row>
    <row r="234" spans="25:31" x14ac:dyDescent="0.3">
      <c r="Y234">
        <v>46027</v>
      </c>
      <c r="Z234">
        <v>14580487</v>
      </c>
      <c r="AA234" t="s">
        <v>123</v>
      </c>
      <c r="AB234">
        <v>46034</v>
      </c>
      <c r="AC234">
        <v>0</v>
      </c>
      <c r="AD234">
        <f t="shared" ca="1" si="24"/>
        <v>-175</v>
      </c>
      <c r="AE234">
        <f t="shared" ca="1" si="25"/>
        <v>-10000000000</v>
      </c>
    </row>
    <row r="235" spans="25:31" x14ac:dyDescent="0.3">
      <c r="Y235">
        <v>46055</v>
      </c>
      <c r="Z235">
        <v>17076846</v>
      </c>
      <c r="AA235" t="s">
        <v>103</v>
      </c>
      <c r="AB235">
        <v>46067</v>
      </c>
      <c r="AC235">
        <v>0</v>
      </c>
      <c r="AD235">
        <f t="shared" ca="1" si="24"/>
        <v>-147</v>
      </c>
      <c r="AE235">
        <f t="shared" ca="1" si="25"/>
        <v>-10000000000</v>
      </c>
    </row>
    <row r="236" spans="25:31" x14ac:dyDescent="0.3">
      <c r="Y236">
        <v>45972</v>
      </c>
      <c r="Z236">
        <v>2025033</v>
      </c>
      <c r="AA236" t="s">
        <v>141</v>
      </c>
      <c r="AB236">
        <v>45979</v>
      </c>
      <c r="AC236">
        <v>0</v>
      </c>
      <c r="AD236">
        <f t="shared" ca="1" si="24"/>
        <v>-230</v>
      </c>
      <c r="AE236">
        <f t="shared" ca="1" si="25"/>
        <v>-10000000000</v>
      </c>
    </row>
    <row r="237" spans="25:31" x14ac:dyDescent="0.3">
      <c r="Y237">
        <v>45981</v>
      </c>
      <c r="Z237">
        <v>14603177</v>
      </c>
      <c r="AA237" t="s">
        <v>87</v>
      </c>
      <c r="AB237">
        <v>45987</v>
      </c>
      <c r="AC237">
        <v>999.6</v>
      </c>
      <c r="AD237">
        <f t="shared" ca="1" si="24"/>
        <v>-221</v>
      </c>
      <c r="AE237">
        <f t="shared" ca="1" si="25"/>
        <v>-10000000000</v>
      </c>
    </row>
    <row r="238" spans="25:31" x14ac:dyDescent="0.3">
      <c r="Y238">
        <v>45988</v>
      </c>
      <c r="Z238">
        <v>14602739</v>
      </c>
      <c r="AA238" t="s">
        <v>123</v>
      </c>
      <c r="AB238">
        <v>45994</v>
      </c>
      <c r="AC238">
        <v>1320</v>
      </c>
      <c r="AD238">
        <f t="shared" ca="1" si="24"/>
        <v>-214</v>
      </c>
      <c r="AE238">
        <f t="shared" ca="1" si="25"/>
        <v>-10000000000</v>
      </c>
    </row>
    <row r="239" spans="25:31" x14ac:dyDescent="0.3">
      <c r="Y239">
        <v>45992</v>
      </c>
      <c r="Z239">
        <v>14597403</v>
      </c>
      <c r="AA239" t="s">
        <v>122</v>
      </c>
      <c r="AB239">
        <v>45997</v>
      </c>
      <c r="AC239">
        <v>0</v>
      </c>
      <c r="AD239">
        <f t="shared" ca="1" si="24"/>
        <v>-210</v>
      </c>
      <c r="AE239">
        <f t="shared" ca="1" si="25"/>
        <v>-10000000000</v>
      </c>
    </row>
    <row r="240" spans="25:31" x14ac:dyDescent="0.3">
      <c r="Y240">
        <v>46014</v>
      </c>
      <c r="Z240">
        <v>14606952</v>
      </c>
      <c r="AA240" t="s">
        <v>142</v>
      </c>
      <c r="AB240">
        <v>46019</v>
      </c>
      <c r="AC240">
        <v>0</v>
      </c>
      <c r="AD240">
        <f t="shared" ca="1" si="24"/>
        <v>-188</v>
      </c>
      <c r="AE240">
        <f t="shared" ca="1" si="25"/>
        <v>-10000000000</v>
      </c>
    </row>
    <row r="241" spans="25:31" x14ac:dyDescent="0.3">
      <c r="Y241">
        <v>46012</v>
      </c>
      <c r="Z241">
        <v>14598949</v>
      </c>
      <c r="AA241" t="s">
        <v>125</v>
      </c>
      <c r="AB241">
        <v>46020</v>
      </c>
      <c r="AC241">
        <v>354</v>
      </c>
      <c r="AD241">
        <f t="shared" ca="1" si="24"/>
        <v>-190</v>
      </c>
      <c r="AE241">
        <f t="shared" ca="1" si="25"/>
        <v>-10000000000</v>
      </c>
    </row>
    <row r="242" spans="25:31" x14ac:dyDescent="0.3">
      <c r="Y242">
        <v>46012</v>
      </c>
      <c r="Z242">
        <v>14605147</v>
      </c>
      <c r="AA242" t="s">
        <v>125</v>
      </c>
      <c r="AB242">
        <v>46020</v>
      </c>
      <c r="AC242">
        <v>678</v>
      </c>
      <c r="AD242">
        <f t="shared" ca="1" si="24"/>
        <v>-190</v>
      </c>
      <c r="AE242">
        <f t="shared" ca="1" si="25"/>
        <v>-10000000000</v>
      </c>
    </row>
    <row r="243" spans="25:31" x14ac:dyDescent="0.3">
      <c r="Y243">
        <v>45977</v>
      </c>
      <c r="Z243">
        <v>2025029</v>
      </c>
      <c r="AA243" t="s">
        <v>59</v>
      </c>
      <c r="AB243">
        <v>45976</v>
      </c>
      <c r="AC243">
        <v>728</v>
      </c>
      <c r="AD243">
        <f t="shared" ca="1" si="24"/>
        <v>-225</v>
      </c>
      <c r="AE243">
        <f t="shared" ca="1" si="25"/>
        <v>-10000000000</v>
      </c>
    </row>
    <row r="244" spans="25:31" x14ac:dyDescent="0.3">
      <c r="Y244">
        <v>45981</v>
      </c>
      <c r="Z244">
        <v>2025015</v>
      </c>
      <c r="AA244" t="s">
        <v>59</v>
      </c>
      <c r="AB244">
        <v>45986</v>
      </c>
      <c r="AC244">
        <v>1019.2</v>
      </c>
      <c r="AD244">
        <f t="shared" ca="1" si="24"/>
        <v>-221</v>
      </c>
      <c r="AE244">
        <f t="shared" ca="1" si="25"/>
        <v>-10000000000</v>
      </c>
    </row>
    <row r="245" spans="25:31" x14ac:dyDescent="0.3">
      <c r="Y245">
        <v>45981</v>
      </c>
      <c r="Z245">
        <v>2025016</v>
      </c>
      <c r="AA245" t="s">
        <v>59</v>
      </c>
      <c r="AB245">
        <v>45986</v>
      </c>
      <c r="AC245">
        <v>1274</v>
      </c>
      <c r="AD245">
        <f t="shared" ca="1" si="24"/>
        <v>-221</v>
      </c>
      <c r="AE245">
        <f t="shared" ca="1" si="25"/>
        <v>-10000000000</v>
      </c>
    </row>
    <row r="246" spans="25:31" x14ac:dyDescent="0.3">
      <c r="Y246">
        <v>46016</v>
      </c>
      <c r="Z246">
        <v>17088706</v>
      </c>
      <c r="AA246" t="s">
        <v>96</v>
      </c>
      <c r="AB246">
        <v>46023</v>
      </c>
      <c r="AC246">
        <v>711</v>
      </c>
      <c r="AD246">
        <f t="shared" ca="1" si="24"/>
        <v>-186</v>
      </c>
      <c r="AE246">
        <f t="shared" ca="1" si="25"/>
        <v>-10000000000</v>
      </c>
    </row>
    <row r="247" spans="25:31" x14ac:dyDescent="0.3">
      <c r="Y247">
        <v>46050</v>
      </c>
      <c r="Z247">
        <v>2025020</v>
      </c>
      <c r="AA247" t="s">
        <v>107</v>
      </c>
      <c r="AB247">
        <v>46059</v>
      </c>
      <c r="AC247">
        <v>2302.5</v>
      </c>
      <c r="AD247">
        <f t="shared" ca="1" si="24"/>
        <v>-152</v>
      </c>
      <c r="AE247">
        <f t="shared" ca="1" si="25"/>
        <v>-10000000000</v>
      </c>
    </row>
    <row r="248" spans="25:31" x14ac:dyDescent="0.3">
      <c r="Y248">
        <v>46055</v>
      </c>
      <c r="Z248">
        <v>2025021</v>
      </c>
      <c r="AA248" t="s">
        <v>59</v>
      </c>
      <c r="AB248">
        <v>46061</v>
      </c>
      <c r="AC248">
        <v>955.5</v>
      </c>
      <c r="AD248">
        <f t="shared" ca="1" si="24"/>
        <v>-147</v>
      </c>
      <c r="AE248">
        <f t="shared" ca="1" si="25"/>
        <v>-10000000000</v>
      </c>
    </row>
    <row r="249" spans="25:31" x14ac:dyDescent="0.3">
      <c r="Y249">
        <v>46079</v>
      </c>
      <c r="Z249">
        <v>14632122</v>
      </c>
      <c r="AA249" t="s">
        <v>148</v>
      </c>
      <c r="AB249">
        <v>46087</v>
      </c>
      <c r="AC249">
        <v>1101.5999999999999</v>
      </c>
      <c r="AD249">
        <f t="shared" ca="1" si="24"/>
        <v>-123</v>
      </c>
      <c r="AE249">
        <f t="shared" ca="1" si="25"/>
        <v>-10000000000</v>
      </c>
    </row>
    <row r="250" spans="25:31" x14ac:dyDescent="0.3">
      <c r="Y250">
        <v>45995</v>
      </c>
      <c r="Z250">
        <v>14648688</v>
      </c>
      <c r="AA250" t="s">
        <v>66</v>
      </c>
      <c r="AB250">
        <v>46001</v>
      </c>
      <c r="AC250">
        <v>1280</v>
      </c>
      <c r="AD250">
        <f t="shared" ca="1" si="24"/>
        <v>-207</v>
      </c>
      <c r="AE250">
        <f t="shared" ca="1" si="25"/>
        <v>-10000000000</v>
      </c>
    </row>
    <row r="251" spans="25:31" x14ac:dyDescent="0.3">
      <c r="Y251">
        <v>46040</v>
      </c>
      <c r="Z251">
        <v>14665994</v>
      </c>
      <c r="AA251" t="s">
        <v>125</v>
      </c>
      <c r="AB251">
        <v>46046</v>
      </c>
      <c r="AC251">
        <v>121.5</v>
      </c>
      <c r="AD251">
        <f t="shared" ca="1" si="24"/>
        <v>-162</v>
      </c>
      <c r="AE251">
        <f t="shared" ca="1" si="25"/>
        <v>-10000000000</v>
      </c>
    </row>
    <row r="252" spans="25:31" x14ac:dyDescent="0.3">
      <c r="Y252">
        <v>46285</v>
      </c>
      <c r="Z252">
        <v>17096240</v>
      </c>
      <c r="AA252" t="s">
        <v>90</v>
      </c>
      <c r="AB252">
        <v>46296</v>
      </c>
      <c r="AC252">
        <v>0</v>
      </c>
      <c r="AD252">
        <f t="shared" ca="1" si="24"/>
        <v>83</v>
      </c>
      <c r="AE252">
        <f t="shared" ca="1" si="25"/>
        <v>-10000000000</v>
      </c>
    </row>
    <row r="253" spans="25:31" x14ac:dyDescent="0.3">
      <c r="Y253">
        <v>45981</v>
      </c>
      <c r="Z253">
        <v>2025038</v>
      </c>
      <c r="AA253" t="s">
        <v>149</v>
      </c>
      <c r="AB253">
        <v>45984</v>
      </c>
      <c r="AC253">
        <v>1250</v>
      </c>
      <c r="AD253">
        <f t="shared" ca="1" si="24"/>
        <v>-221</v>
      </c>
      <c r="AE253">
        <f t="shared" ca="1" si="25"/>
        <v>-10000000000</v>
      </c>
    </row>
    <row r="254" spans="25:31" x14ac:dyDescent="0.3">
      <c r="Y254">
        <v>46001</v>
      </c>
      <c r="Z254">
        <v>14691932</v>
      </c>
      <c r="AA254" t="s">
        <v>68</v>
      </c>
      <c r="AB254">
        <v>46007</v>
      </c>
      <c r="AC254">
        <v>0</v>
      </c>
      <c r="AD254">
        <f t="shared" ca="1" si="24"/>
        <v>-201</v>
      </c>
      <c r="AE254">
        <f t="shared" ca="1" si="25"/>
        <v>-10000000000</v>
      </c>
    </row>
    <row r="255" spans="25:31" x14ac:dyDescent="0.3">
      <c r="Y255">
        <v>46019</v>
      </c>
      <c r="Z255">
        <v>17101660</v>
      </c>
      <c r="AA255" t="s">
        <v>151</v>
      </c>
      <c r="AB255">
        <v>46023</v>
      </c>
      <c r="AC255">
        <v>0</v>
      </c>
      <c r="AD255">
        <f t="shared" ca="1" si="24"/>
        <v>-183</v>
      </c>
      <c r="AE255">
        <f t="shared" ca="1" si="25"/>
        <v>-10000000000</v>
      </c>
    </row>
    <row r="256" spans="25:31" x14ac:dyDescent="0.3">
      <c r="Y256">
        <v>45984</v>
      </c>
      <c r="Z256">
        <v>14695547</v>
      </c>
      <c r="AA256" t="s">
        <v>113</v>
      </c>
      <c r="AB256">
        <v>45992</v>
      </c>
      <c r="AC256">
        <v>0</v>
      </c>
      <c r="AD256">
        <f t="shared" ca="1" si="24"/>
        <v>-218</v>
      </c>
      <c r="AE256">
        <f t="shared" ca="1" si="25"/>
        <v>-10000000000</v>
      </c>
    </row>
    <row r="257" spans="25:31" x14ac:dyDescent="0.3">
      <c r="Y257">
        <v>46001</v>
      </c>
      <c r="Z257">
        <v>17103778</v>
      </c>
      <c r="AA257" t="s">
        <v>121</v>
      </c>
      <c r="AB257">
        <v>46013</v>
      </c>
      <c r="AC257">
        <v>0</v>
      </c>
      <c r="AD257">
        <f t="shared" ca="1" si="24"/>
        <v>-201</v>
      </c>
      <c r="AE257">
        <f t="shared" ca="1" si="25"/>
        <v>-10000000000</v>
      </c>
    </row>
    <row r="258" spans="25:31" x14ac:dyDescent="0.3">
      <c r="Y258">
        <v>46140.041666666599</v>
      </c>
      <c r="Z258">
        <v>17527599</v>
      </c>
      <c r="AA258" t="s">
        <v>154</v>
      </c>
      <c r="AB258">
        <v>46148.041666666599</v>
      </c>
      <c r="AC258">
        <v>971.74</v>
      </c>
      <c r="AD258">
        <f t="shared" ca="1" si="24"/>
        <v>-61.958333333401242</v>
      </c>
      <c r="AE258">
        <f t="shared" ca="1" si="25"/>
        <v>-10000000000</v>
      </c>
    </row>
    <row r="259" spans="25:31" x14ac:dyDescent="0.3">
      <c r="Y259">
        <v>46063</v>
      </c>
      <c r="Z259">
        <v>14714219</v>
      </c>
      <c r="AA259" t="s">
        <v>88</v>
      </c>
      <c r="AB259">
        <v>46072</v>
      </c>
      <c r="AC259">
        <v>0</v>
      </c>
      <c r="AD259">
        <f t="shared" ca="1" si="24"/>
        <v>-139</v>
      </c>
      <c r="AE259">
        <f t="shared" ca="1" si="25"/>
        <v>-10000000000</v>
      </c>
    </row>
    <row r="260" spans="25:31" x14ac:dyDescent="0.3">
      <c r="Y260">
        <v>45984</v>
      </c>
      <c r="Z260">
        <v>17105845</v>
      </c>
      <c r="AA260" t="s">
        <v>133</v>
      </c>
      <c r="AB260">
        <v>45986</v>
      </c>
      <c r="AC260">
        <v>0</v>
      </c>
      <c r="AD260">
        <f t="shared" ref="AD260:AD323" ca="1" si="26">IF(Y260="","",Y260-TODAY())</f>
        <v>-218</v>
      </c>
      <c r="AE260">
        <f t="shared" ref="AE260:AE323" ca="1" si="27">IF(OR(Y260="",AD260&lt;0,AD260&gt;60),-10000000000,-AD260*1000+ROW()/100000)</f>
        <v>-10000000000</v>
      </c>
    </row>
    <row r="261" spans="25:31" x14ac:dyDescent="0.3">
      <c r="Y261">
        <v>46027</v>
      </c>
      <c r="Z261">
        <v>2025039</v>
      </c>
      <c r="AA261" t="s">
        <v>156</v>
      </c>
      <c r="AB261">
        <v>46032</v>
      </c>
      <c r="AC261">
        <v>1752</v>
      </c>
      <c r="AD261">
        <f t="shared" ca="1" si="26"/>
        <v>-175</v>
      </c>
      <c r="AE261">
        <f t="shared" ca="1" si="27"/>
        <v>-10000000000</v>
      </c>
    </row>
    <row r="262" spans="25:31" x14ac:dyDescent="0.3">
      <c r="Y262">
        <v>46027</v>
      </c>
      <c r="Z262">
        <v>2025040</v>
      </c>
      <c r="AA262" t="s">
        <v>156</v>
      </c>
      <c r="AB262">
        <v>46032</v>
      </c>
      <c r="AC262">
        <v>1752</v>
      </c>
      <c r="AD262">
        <f t="shared" ca="1" si="26"/>
        <v>-175</v>
      </c>
      <c r="AE262">
        <f t="shared" ca="1" si="27"/>
        <v>-10000000000</v>
      </c>
    </row>
    <row r="263" spans="25:31" x14ac:dyDescent="0.3">
      <c r="Y263">
        <v>46013</v>
      </c>
      <c r="Z263">
        <v>14752228</v>
      </c>
      <c r="AA263" t="s">
        <v>118</v>
      </c>
      <c r="AB263">
        <v>46020</v>
      </c>
      <c r="AC263">
        <v>2502.5</v>
      </c>
      <c r="AD263">
        <f t="shared" ca="1" si="26"/>
        <v>-189</v>
      </c>
      <c r="AE263">
        <f t="shared" ca="1" si="27"/>
        <v>-10000000000</v>
      </c>
    </row>
    <row r="264" spans="25:31" x14ac:dyDescent="0.3">
      <c r="Y264">
        <v>46096</v>
      </c>
      <c r="Z264">
        <v>12970161</v>
      </c>
      <c r="AA264" t="s">
        <v>85</v>
      </c>
      <c r="AB264">
        <v>46108</v>
      </c>
      <c r="AC264">
        <v>3141.6</v>
      </c>
      <c r="AD264">
        <f t="shared" ca="1" si="26"/>
        <v>-106</v>
      </c>
      <c r="AE264">
        <f t="shared" ca="1" si="27"/>
        <v>-10000000000</v>
      </c>
    </row>
    <row r="265" spans="25:31" x14ac:dyDescent="0.3">
      <c r="Y265">
        <v>46012</v>
      </c>
      <c r="Z265">
        <v>17115789</v>
      </c>
      <c r="AA265" t="s">
        <v>133</v>
      </c>
      <c r="AB265">
        <v>46012</v>
      </c>
      <c r="AC265">
        <v>910</v>
      </c>
      <c r="AD265">
        <f t="shared" ca="1" si="26"/>
        <v>-190</v>
      </c>
      <c r="AE265">
        <f t="shared" ca="1" si="27"/>
        <v>-10000000000</v>
      </c>
    </row>
    <row r="266" spans="25:31" x14ac:dyDescent="0.3">
      <c r="Y266">
        <v>46012</v>
      </c>
      <c r="Z266">
        <v>17115882</v>
      </c>
      <c r="AA266" t="s">
        <v>133</v>
      </c>
      <c r="AB266">
        <v>46012</v>
      </c>
      <c r="AC266">
        <v>682.5</v>
      </c>
      <c r="AD266">
        <f t="shared" ca="1" si="26"/>
        <v>-190</v>
      </c>
      <c r="AE266">
        <f t="shared" ca="1" si="27"/>
        <v>-10000000000</v>
      </c>
    </row>
    <row r="267" spans="25:31" x14ac:dyDescent="0.3">
      <c r="Y267">
        <v>46082</v>
      </c>
      <c r="Z267">
        <v>17172128</v>
      </c>
      <c r="AA267" t="s">
        <v>103</v>
      </c>
      <c r="AB267">
        <v>46094</v>
      </c>
      <c r="AC267">
        <v>1152</v>
      </c>
      <c r="AD267">
        <f t="shared" ca="1" si="26"/>
        <v>-120</v>
      </c>
      <c r="AE267">
        <f t="shared" ca="1" si="27"/>
        <v>-10000000000</v>
      </c>
    </row>
    <row r="268" spans="25:31" x14ac:dyDescent="0.3">
      <c r="Y268">
        <v>46000</v>
      </c>
      <c r="Z268">
        <v>14788604</v>
      </c>
      <c r="AA268" t="s">
        <v>157</v>
      </c>
      <c r="AB268">
        <v>46022</v>
      </c>
      <c r="AC268">
        <v>1680</v>
      </c>
      <c r="AD268">
        <f t="shared" ca="1" si="26"/>
        <v>-202</v>
      </c>
      <c r="AE268">
        <f t="shared" ca="1" si="27"/>
        <v>-10000000000</v>
      </c>
    </row>
    <row r="269" spans="25:31" x14ac:dyDescent="0.3">
      <c r="Y269">
        <v>46006</v>
      </c>
      <c r="Z269">
        <v>17118782</v>
      </c>
      <c r="AA269" t="s">
        <v>122</v>
      </c>
      <c r="AB269">
        <v>46013</v>
      </c>
      <c r="AC269">
        <v>682.4</v>
      </c>
      <c r="AD269">
        <f t="shared" ca="1" si="26"/>
        <v>-196</v>
      </c>
      <c r="AE269">
        <f t="shared" ca="1" si="27"/>
        <v>-10000000000</v>
      </c>
    </row>
    <row r="270" spans="25:31" x14ac:dyDescent="0.3">
      <c r="Y270">
        <v>46149.041666666599</v>
      </c>
      <c r="Z270">
        <v>14805425</v>
      </c>
      <c r="AA270" t="s">
        <v>118</v>
      </c>
      <c r="AB270">
        <v>46160.041666666599</v>
      </c>
      <c r="AC270">
        <v>1428</v>
      </c>
      <c r="AD270">
        <f t="shared" ca="1" si="26"/>
        <v>-52.958333333401242</v>
      </c>
      <c r="AE270">
        <f t="shared" ca="1" si="27"/>
        <v>-10000000000</v>
      </c>
    </row>
    <row r="271" spans="25:31" x14ac:dyDescent="0.3">
      <c r="Y271">
        <v>46016</v>
      </c>
      <c r="Z271">
        <v>14814403</v>
      </c>
      <c r="AA271" t="s">
        <v>158</v>
      </c>
      <c r="AB271">
        <v>46023</v>
      </c>
      <c r="AC271">
        <v>494</v>
      </c>
      <c r="AD271">
        <f t="shared" ca="1" si="26"/>
        <v>-186</v>
      </c>
      <c r="AE271">
        <f t="shared" ca="1" si="27"/>
        <v>-10000000000</v>
      </c>
    </row>
    <row r="272" spans="25:31" x14ac:dyDescent="0.3">
      <c r="Y272">
        <v>46014</v>
      </c>
      <c r="Z272">
        <v>14814555</v>
      </c>
      <c r="AA272" t="s">
        <v>122</v>
      </c>
      <c r="AB272">
        <v>46019</v>
      </c>
      <c r="AC272">
        <v>0</v>
      </c>
      <c r="AD272">
        <f t="shared" ca="1" si="26"/>
        <v>-188</v>
      </c>
      <c r="AE272">
        <f t="shared" ca="1" si="27"/>
        <v>-10000000000</v>
      </c>
    </row>
    <row r="273" spans="25:31" x14ac:dyDescent="0.3">
      <c r="Y273">
        <v>46016</v>
      </c>
      <c r="Z273">
        <v>14854131</v>
      </c>
      <c r="AA273" t="s">
        <v>144</v>
      </c>
      <c r="AB273">
        <v>46024</v>
      </c>
      <c r="AC273">
        <v>1150</v>
      </c>
      <c r="AD273">
        <f t="shared" ca="1" si="26"/>
        <v>-186</v>
      </c>
      <c r="AE273">
        <f t="shared" ca="1" si="27"/>
        <v>-10000000000</v>
      </c>
    </row>
    <row r="274" spans="25:31" x14ac:dyDescent="0.3">
      <c r="Y274">
        <v>46026</v>
      </c>
      <c r="Z274">
        <v>17128479</v>
      </c>
      <c r="AA274" t="s">
        <v>67</v>
      </c>
      <c r="AB274">
        <v>46029</v>
      </c>
      <c r="AC274">
        <v>1170</v>
      </c>
      <c r="AD274">
        <f t="shared" ca="1" si="26"/>
        <v>-176</v>
      </c>
      <c r="AE274">
        <f t="shared" ca="1" si="27"/>
        <v>-10000000000</v>
      </c>
    </row>
    <row r="275" spans="25:31" x14ac:dyDescent="0.3">
      <c r="Y275">
        <v>46266</v>
      </c>
      <c r="Z275">
        <v>17129072</v>
      </c>
      <c r="AA275" t="s">
        <v>111</v>
      </c>
      <c r="AB275">
        <v>46272</v>
      </c>
      <c r="AC275">
        <v>1368</v>
      </c>
      <c r="AD275">
        <f t="shared" ca="1" si="26"/>
        <v>64</v>
      </c>
      <c r="AE275">
        <f t="shared" ca="1" si="27"/>
        <v>-10000000000</v>
      </c>
    </row>
    <row r="276" spans="25:31" x14ac:dyDescent="0.3">
      <c r="Y276">
        <v>46091</v>
      </c>
      <c r="Z276">
        <v>17129188</v>
      </c>
      <c r="AA276" t="s">
        <v>122</v>
      </c>
      <c r="AB276">
        <v>46104</v>
      </c>
      <c r="AC276">
        <v>0</v>
      </c>
      <c r="AD276">
        <f t="shared" ca="1" si="26"/>
        <v>-111</v>
      </c>
      <c r="AE276">
        <f t="shared" ca="1" si="27"/>
        <v>-10000000000</v>
      </c>
    </row>
    <row r="277" spans="25:31" x14ac:dyDescent="0.3">
      <c r="Y277">
        <v>46145.041666666599</v>
      </c>
      <c r="Z277">
        <v>17540465</v>
      </c>
      <c r="AA277" t="s">
        <v>82</v>
      </c>
      <c r="AB277">
        <v>46158.041666666599</v>
      </c>
      <c r="AC277">
        <v>778.54</v>
      </c>
      <c r="AD277">
        <f t="shared" ca="1" si="26"/>
        <v>-56.958333333401242</v>
      </c>
      <c r="AE277">
        <f t="shared" ca="1" si="27"/>
        <v>-10000000000</v>
      </c>
    </row>
    <row r="278" spans="25:31" x14ac:dyDescent="0.3">
      <c r="Y278">
        <v>46113</v>
      </c>
      <c r="Z278">
        <v>17143174</v>
      </c>
      <c r="AA278" t="s">
        <v>88</v>
      </c>
      <c r="AB278">
        <v>46120</v>
      </c>
      <c r="AC278">
        <v>2030.25</v>
      </c>
      <c r="AD278">
        <f t="shared" ca="1" si="26"/>
        <v>-89</v>
      </c>
      <c r="AE278">
        <f t="shared" ca="1" si="27"/>
        <v>-10000000000</v>
      </c>
    </row>
    <row r="279" spans="25:31" x14ac:dyDescent="0.3">
      <c r="Y279">
        <v>46022</v>
      </c>
      <c r="Z279">
        <v>14952999</v>
      </c>
      <c r="AA279" t="s">
        <v>114</v>
      </c>
      <c r="AB279">
        <v>46031</v>
      </c>
      <c r="AC279">
        <v>0</v>
      </c>
      <c r="AD279">
        <f t="shared" ca="1" si="26"/>
        <v>-180</v>
      </c>
      <c r="AE279">
        <f t="shared" ca="1" si="27"/>
        <v>-10000000000</v>
      </c>
    </row>
    <row r="280" spans="25:31" x14ac:dyDescent="0.3">
      <c r="Y280">
        <v>46055</v>
      </c>
      <c r="Z280">
        <v>17146442</v>
      </c>
      <c r="AA280" t="s">
        <v>62</v>
      </c>
      <c r="AB280">
        <v>46060</v>
      </c>
      <c r="AC280">
        <v>644</v>
      </c>
      <c r="AD280">
        <f t="shared" ca="1" si="26"/>
        <v>-147</v>
      </c>
      <c r="AE280">
        <f t="shared" ca="1" si="27"/>
        <v>-10000000000</v>
      </c>
    </row>
    <row r="281" spans="25:31" x14ac:dyDescent="0.3">
      <c r="Y281">
        <v>46005</v>
      </c>
      <c r="Z281">
        <v>17146876</v>
      </c>
      <c r="AA281" t="s">
        <v>57</v>
      </c>
      <c r="AB281">
        <v>46008</v>
      </c>
      <c r="AC281">
        <v>1587.6</v>
      </c>
      <c r="AD281">
        <f t="shared" ca="1" si="26"/>
        <v>-197</v>
      </c>
      <c r="AE281">
        <f t="shared" ca="1" si="27"/>
        <v>-10000000000</v>
      </c>
    </row>
    <row r="282" spans="25:31" x14ac:dyDescent="0.3">
      <c r="Y282">
        <v>46040</v>
      </c>
      <c r="Z282">
        <v>17153023</v>
      </c>
      <c r="AA282" t="s">
        <v>64</v>
      </c>
      <c r="AB282">
        <v>46047</v>
      </c>
      <c r="AC282">
        <v>1280</v>
      </c>
      <c r="AD282">
        <f t="shared" ca="1" si="26"/>
        <v>-162</v>
      </c>
      <c r="AE282">
        <f t="shared" ca="1" si="27"/>
        <v>-10000000000</v>
      </c>
    </row>
    <row r="283" spans="25:31" x14ac:dyDescent="0.3">
      <c r="Y283">
        <v>46089</v>
      </c>
      <c r="Z283">
        <v>15025331</v>
      </c>
      <c r="AA283" t="s">
        <v>104</v>
      </c>
      <c r="AB283">
        <v>46096</v>
      </c>
      <c r="AC283">
        <v>0</v>
      </c>
      <c r="AD283">
        <f t="shared" ca="1" si="26"/>
        <v>-113</v>
      </c>
      <c r="AE283">
        <f t="shared" ca="1" si="27"/>
        <v>-10000000000</v>
      </c>
    </row>
    <row r="284" spans="25:31" x14ac:dyDescent="0.3">
      <c r="Y284">
        <v>46014</v>
      </c>
      <c r="Z284">
        <v>15027013</v>
      </c>
      <c r="AA284" t="s">
        <v>158</v>
      </c>
      <c r="AB284">
        <v>46024</v>
      </c>
      <c r="AC284">
        <v>742.5</v>
      </c>
      <c r="AD284">
        <f t="shared" ca="1" si="26"/>
        <v>-188</v>
      </c>
      <c r="AE284">
        <f t="shared" ca="1" si="27"/>
        <v>-10000000000</v>
      </c>
    </row>
    <row r="285" spans="25:31" x14ac:dyDescent="0.3">
      <c r="Y285">
        <v>46138.041666666599</v>
      </c>
      <c r="Z285">
        <v>17477188</v>
      </c>
      <c r="AA285" t="s">
        <v>62</v>
      </c>
      <c r="AB285">
        <v>46144.041666666701</v>
      </c>
      <c r="AC285">
        <v>658</v>
      </c>
      <c r="AD285">
        <f t="shared" ca="1" si="26"/>
        <v>-63.958333333401242</v>
      </c>
      <c r="AE285">
        <f t="shared" ca="1" si="27"/>
        <v>-10000000000</v>
      </c>
    </row>
    <row r="286" spans="25:31" x14ac:dyDescent="0.3">
      <c r="Y286">
        <v>46037</v>
      </c>
      <c r="Z286">
        <v>17158046</v>
      </c>
      <c r="AA286" t="s">
        <v>126</v>
      </c>
      <c r="AB286">
        <v>46047</v>
      </c>
      <c r="AC286">
        <v>0</v>
      </c>
      <c r="AD286">
        <f t="shared" ca="1" si="26"/>
        <v>-165</v>
      </c>
      <c r="AE286">
        <f t="shared" ca="1" si="27"/>
        <v>-10000000000</v>
      </c>
    </row>
    <row r="287" spans="25:31" x14ac:dyDescent="0.3">
      <c r="Y287">
        <v>46058</v>
      </c>
      <c r="Z287">
        <v>15059212</v>
      </c>
      <c r="AA287" t="s">
        <v>62</v>
      </c>
      <c r="AB287">
        <v>46065</v>
      </c>
      <c r="AC287">
        <v>828</v>
      </c>
      <c r="AD287">
        <f t="shared" ca="1" si="26"/>
        <v>-144</v>
      </c>
      <c r="AE287">
        <f t="shared" ca="1" si="27"/>
        <v>-10000000000</v>
      </c>
    </row>
    <row r="288" spans="25:31" x14ac:dyDescent="0.3">
      <c r="Y288">
        <v>46040</v>
      </c>
      <c r="Z288">
        <v>15060324</v>
      </c>
      <c r="AA288" t="s">
        <v>129</v>
      </c>
      <c r="AB288">
        <v>46050</v>
      </c>
      <c r="AC288">
        <v>0</v>
      </c>
      <c r="AD288">
        <f t="shared" ca="1" si="26"/>
        <v>-162</v>
      </c>
      <c r="AE288">
        <f t="shared" ca="1" si="27"/>
        <v>-10000000000</v>
      </c>
    </row>
    <row r="289" spans="25:31" x14ac:dyDescent="0.3">
      <c r="Y289">
        <v>46040</v>
      </c>
      <c r="Z289">
        <v>15060745</v>
      </c>
      <c r="AA289" t="s">
        <v>129</v>
      </c>
      <c r="AB289">
        <v>46050</v>
      </c>
      <c r="AC289">
        <v>0</v>
      </c>
      <c r="AD289">
        <f t="shared" ca="1" si="26"/>
        <v>-162</v>
      </c>
      <c r="AE289">
        <f t="shared" ca="1" si="27"/>
        <v>-10000000000</v>
      </c>
    </row>
    <row r="290" spans="25:31" x14ac:dyDescent="0.3">
      <c r="Y290">
        <v>46079</v>
      </c>
      <c r="Z290">
        <v>17162796</v>
      </c>
      <c r="AA290" t="s">
        <v>104</v>
      </c>
      <c r="AB290">
        <v>46086</v>
      </c>
      <c r="AC290">
        <v>1300.95</v>
      </c>
      <c r="AD290">
        <f t="shared" ca="1" si="26"/>
        <v>-123</v>
      </c>
      <c r="AE290">
        <f t="shared" ca="1" si="27"/>
        <v>-10000000000</v>
      </c>
    </row>
    <row r="291" spans="25:31" x14ac:dyDescent="0.3">
      <c r="Y291">
        <v>46013</v>
      </c>
      <c r="Z291">
        <v>15083340</v>
      </c>
      <c r="AA291" t="s">
        <v>162</v>
      </c>
      <c r="AB291">
        <v>46014</v>
      </c>
      <c r="AC291">
        <v>0</v>
      </c>
      <c r="AD291">
        <f t="shared" ca="1" si="26"/>
        <v>-189</v>
      </c>
      <c r="AE291">
        <f t="shared" ca="1" si="27"/>
        <v>-10000000000</v>
      </c>
    </row>
    <row r="292" spans="25:31" x14ac:dyDescent="0.3">
      <c r="Y292">
        <v>46013</v>
      </c>
      <c r="Z292">
        <v>2025037</v>
      </c>
      <c r="AA292" t="s">
        <v>163</v>
      </c>
      <c r="AB292">
        <v>46015</v>
      </c>
      <c r="AC292">
        <v>1785</v>
      </c>
      <c r="AD292">
        <f t="shared" ca="1" si="26"/>
        <v>-189</v>
      </c>
      <c r="AE292">
        <f t="shared" ca="1" si="27"/>
        <v>-10000000000</v>
      </c>
    </row>
    <row r="293" spans="25:31" x14ac:dyDescent="0.3">
      <c r="Y293">
        <v>46058</v>
      </c>
      <c r="Z293">
        <v>15125845</v>
      </c>
      <c r="AA293" t="s">
        <v>62</v>
      </c>
      <c r="AB293">
        <v>46062</v>
      </c>
      <c r="AC293">
        <v>1288</v>
      </c>
      <c r="AD293">
        <f t="shared" ca="1" si="26"/>
        <v>-144</v>
      </c>
      <c r="AE293">
        <f t="shared" ca="1" si="27"/>
        <v>-10000000000</v>
      </c>
    </row>
    <row r="294" spans="25:31" x14ac:dyDescent="0.3">
      <c r="Y294">
        <v>46040</v>
      </c>
      <c r="Z294">
        <v>17169827</v>
      </c>
      <c r="AA294" t="s">
        <v>68</v>
      </c>
      <c r="AB294">
        <v>46047</v>
      </c>
      <c r="AC294">
        <v>1008</v>
      </c>
      <c r="AD294">
        <f t="shared" ca="1" si="26"/>
        <v>-162</v>
      </c>
      <c r="AE294">
        <f t="shared" ca="1" si="27"/>
        <v>-10000000000</v>
      </c>
    </row>
    <row r="295" spans="25:31" x14ac:dyDescent="0.3">
      <c r="Y295">
        <v>46224</v>
      </c>
      <c r="Z295">
        <v>15147730</v>
      </c>
      <c r="AA295" t="s">
        <v>67</v>
      </c>
      <c r="AB295">
        <v>46233</v>
      </c>
      <c r="AC295">
        <v>868</v>
      </c>
      <c r="AD295">
        <f t="shared" ca="1" si="26"/>
        <v>22</v>
      </c>
      <c r="AE295">
        <f t="shared" ca="1" si="27"/>
        <v>-21999.997050000002</v>
      </c>
    </row>
    <row r="296" spans="25:31" x14ac:dyDescent="0.3">
      <c r="Y296">
        <v>46089</v>
      </c>
      <c r="Z296">
        <v>17178878</v>
      </c>
      <c r="AA296" t="s">
        <v>133</v>
      </c>
      <c r="AB296">
        <v>46096</v>
      </c>
      <c r="AC296">
        <v>0</v>
      </c>
      <c r="AD296">
        <f t="shared" ca="1" si="26"/>
        <v>-113</v>
      </c>
      <c r="AE296">
        <f t="shared" ca="1" si="27"/>
        <v>-10000000000</v>
      </c>
    </row>
    <row r="297" spans="25:31" x14ac:dyDescent="0.3">
      <c r="Y297">
        <v>46058</v>
      </c>
      <c r="Z297">
        <v>17174719</v>
      </c>
      <c r="AA297" t="s">
        <v>166</v>
      </c>
      <c r="AB297">
        <v>46067</v>
      </c>
      <c r="AC297">
        <v>1267.2</v>
      </c>
      <c r="AD297">
        <f t="shared" ca="1" si="26"/>
        <v>-144</v>
      </c>
      <c r="AE297">
        <f t="shared" ca="1" si="27"/>
        <v>-10000000000</v>
      </c>
    </row>
    <row r="298" spans="25:31" x14ac:dyDescent="0.3">
      <c r="Y298">
        <v>46058</v>
      </c>
      <c r="Z298">
        <v>17174720</v>
      </c>
      <c r="AA298" t="s">
        <v>166</v>
      </c>
      <c r="AB298">
        <v>46067</v>
      </c>
      <c r="AC298">
        <v>1267.2</v>
      </c>
      <c r="AD298">
        <f t="shared" ca="1" si="26"/>
        <v>-144</v>
      </c>
      <c r="AE298">
        <f t="shared" ca="1" si="27"/>
        <v>-10000000000</v>
      </c>
    </row>
    <row r="299" spans="25:31" x14ac:dyDescent="0.3">
      <c r="Y299">
        <v>46040</v>
      </c>
      <c r="Z299">
        <v>17181046</v>
      </c>
      <c r="AA299" t="s">
        <v>62</v>
      </c>
      <c r="AB299">
        <v>46046</v>
      </c>
      <c r="AC299">
        <v>2852</v>
      </c>
      <c r="AD299">
        <f t="shared" ca="1" si="26"/>
        <v>-162</v>
      </c>
      <c r="AE299">
        <f t="shared" ca="1" si="27"/>
        <v>-10000000000</v>
      </c>
    </row>
    <row r="300" spans="25:31" x14ac:dyDescent="0.3">
      <c r="Y300">
        <v>46152.041666666599</v>
      </c>
      <c r="Z300">
        <v>17560494</v>
      </c>
      <c r="AA300" t="s">
        <v>104</v>
      </c>
      <c r="AB300">
        <v>46162.041666666599</v>
      </c>
      <c r="AC300">
        <v>1189.44</v>
      </c>
      <c r="AD300">
        <f t="shared" ca="1" si="26"/>
        <v>-49.958333333401242</v>
      </c>
      <c r="AE300">
        <f t="shared" ca="1" si="27"/>
        <v>-10000000000</v>
      </c>
    </row>
    <row r="301" spans="25:31" x14ac:dyDescent="0.3">
      <c r="Y301">
        <v>46049</v>
      </c>
      <c r="Z301">
        <v>15250461</v>
      </c>
      <c r="AA301" t="s">
        <v>81</v>
      </c>
      <c r="AB301">
        <v>46056</v>
      </c>
      <c r="AC301">
        <v>0</v>
      </c>
      <c r="AD301">
        <f t="shared" ca="1" si="26"/>
        <v>-153</v>
      </c>
      <c r="AE301">
        <f t="shared" ca="1" si="27"/>
        <v>-10000000000</v>
      </c>
    </row>
    <row r="302" spans="25:31" x14ac:dyDescent="0.3">
      <c r="Y302">
        <v>46049</v>
      </c>
      <c r="Z302">
        <v>15250546</v>
      </c>
      <c r="AA302" t="s">
        <v>81</v>
      </c>
      <c r="AB302">
        <v>46056</v>
      </c>
      <c r="AC302">
        <v>0</v>
      </c>
      <c r="AD302">
        <f t="shared" ca="1" si="26"/>
        <v>-153</v>
      </c>
      <c r="AE302">
        <f t="shared" ca="1" si="27"/>
        <v>-10000000000</v>
      </c>
    </row>
    <row r="303" spans="25:31" x14ac:dyDescent="0.3">
      <c r="Y303">
        <v>46054</v>
      </c>
      <c r="Z303">
        <v>17184489</v>
      </c>
      <c r="AA303" t="s">
        <v>55</v>
      </c>
      <c r="AB303">
        <v>46061</v>
      </c>
      <c r="AC303">
        <v>0</v>
      </c>
      <c r="AD303">
        <f t="shared" ca="1" si="26"/>
        <v>-148</v>
      </c>
      <c r="AE303">
        <f t="shared" ca="1" si="27"/>
        <v>-10000000000</v>
      </c>
    </row>
    <row r="304" spans="25:31" x14ac:dyDescent="0.3">
      <c r="Y304">
        <v>46113</v>
      </c>
      <c r="Z304">
        <v>17184656</v>
      </c>
      <c r="AA304" t="s">
        <v>96</v>
      </c>
      <c r="AB304">
        <v>46033</v>
      </c>
      <c r="AC304">
        <v>856.8</v>
      </c>
      <c r="AD304">
        <f t="shared" ca="1" si="26"/>
        <v>-89</v>
      </c>
      <c r="AE304">
        <f t="shared" ca="1" si="27"/>
        <v>-10000000000</v>
      </c>
    </row>
    <row r="305" spans="25:31" x14ac:dyDescent="0.3">
      <c r="Y305">
        <v>46113</v>
      </c>
      <c r="Z305">
        <v>15284595</v>
      </c>
      <c r="AA305" t="s">
        <v>157</v>
      </c>
      <c r="AB305">
        <v>46036</v>
      </c>
      <c r="AC305">
        <v>0</v>
      </c>
      <c r="AD305">
        <f t="shared" ca="1" si="26"/>
        <v>-89</v>
      </c>
      <c r="AE305">
        <f t="shared" ca="1" si="27"/>
        <v>-10000000000</v>
      </c>
    </row>
    <row r="306" spans="25:31" x14ac:dyDescent="0.3">
      <c r="Y306">
        <v>46030</v>
      </c>
      <c r="Z306">
        <v>17192811</v>
      </c>
      <c r="AA306" t="s">
        <v>62</v>
      </c>
      <c r="AB306">
        <v>46035</v>
      </c>
      <c r="AC306">
        <v>920</v>
      </c>
      <c r="AD306">
        <f t="shared" ca="1" si="26"/>
        <v>-172</v>
      </c>
      <c r="AE306">
        <f t="shared" ca="1" si="27"/>
        <v>-10000000000</v>
      </c>
    </row>
    <row r="307" spans="25:31" x14ac:dyDescent="0.3">
      <c r="Y307">
        <v>46266</v>
      </c>
      <c r="Z307">
        <v>15319504</v>
      </c>
      <c r="AA307" t="s">
        <v>68</v>
      </c>
      <c r="AB307">
        <v>46274</v>
      </c>
      <c r="AC307">
        <v>0</v>
      </c>
      <c r="AD307">
        <f t="shared" ca="1" si="26"/>
        <v>64</v>
      </c>
      <c r="AE307">
        <f t="shared" ca="1" si="27"/>
        <v>-10000000000</v>
      </c>
    </row>
    <row r="308" spans="25:31" x14ac:dyDescent="0.3">
      <c r="Y308">
        <v>46086</v>
      </c>
      <c r="Z308">
        <v>17223660</v>
      </c>
      <c r="AA308" t="s">
        <v>82</v>
      </c>
      <c r="AB308">
        <v>46175</v>
      </c>
      <c r="AC308">
        <v>994.98</v>
      </c>
      <c r="AD308">
        <f t="shared" ca="1" si="26"/>
        <v>-116</v>
      </c>
      <c r="AE308">
        <f t="shared" ca="1" si="27"/>
        <v>-10000000000</v>
      </c>
    </row>
    <row r="309" spans="25:31" x14ac:dyDescent="0.3">
      <c r="Y309">
        <v>46033</v>
      </c>
      <c r="Z309">
        <v>15321652</v>
      </c>
      <c r="AA309" t="s">
        <v>123</v>
      </c>
      <c r="AB309">
        <v>46037</v>
      </c>
      <c r="AC309">
        <v>0</v>
      </c>
      <c r="AD309">
        <f t="shared" ca="1" si="26"/>
        <v>-169</v>
      </c>
      <c r="AE309">
        <f t="shared" ca="1" si="27"/>
        <v>-10000000000</v>
      </c>
    </row>
    <row r="310" spans="25:31" x14ac:dyDescent="0.3">
      <c r="Y310">
        <v>46026</v>
      </c>
      <c r="Z310">
        <v>20303655</v>
      </c>
      <c r="AA310" t="s">
        <v>170</v>
      </c>
      <c r="AB310">
        <v>46027</v>
      </c>
      <c r="AC310">
        <v>2165</v>
      </c>
      <c r="AD310">
        <f t="shared" ca="1" si="26"/>
        <v>-176</v>
      </c>
      <c r="AE310">
        <f t="shared" ca="1" si="27"/>
        <v>-10000000000</v>
      </c>
    </row>
    <row r="311" spans="25:31" x14ac:dyDescent="0.3">
      <c r="Y311">
        <v>46093</v>
      </c>
      <c r="Z311">
        <v>15344306</v>
      </c>
      <c r="AA311" t="s">
        <v>168</v>
      </c>
      <c r="AB311">
        <v>46102</v>
      </c>
      <c r="AC311">
        <v>700</v>
      </c>
      <c r="AD311">
        <f t="shared" ca="1" si="26"/>
        <v>-109</v>
      </c>
      <c r="AE311">
        <f t="shared" ca="1" si="27"/>
        <v>-10000000000</v>
      </c>
    </row>
    <row r="312" spans="25:31" x14ac:dyDescent="0.3">
      <c r="Y312">
        <v>46243</v>
      </c>
      <c r="Z312">
        <v>17201634</v>
      </c>
      <c r="AA312" t="s">
        <v>62</v>
      </c>
      <c r="AB312">
        <v>46253</v>
      </c>
      <c r="AC312">
        <v>1064</v>
      </c>
      <c r="AD312">
        <f t="shared" ca="1" si="26"/>
        <v>41</v>
      </c>
      <c r="AE312">
        <f t="shared" ca="1" si="27"/>
        <v>-40999.996879999999</v>
      </c>
    </row>
    <row r="313" spans="25:31" x14ac:dyDescent="0.3">
      <c r="Y313">
        <v>46064</v>
      </c>
      <c r="Z313">
        <v>17204189</v>
      </c>
      <c r="AA313" t="s">
        <v>62</v>
      </c>
      <c r="AB313">
        <v>46073</v>
      </c>
      <c r="AC313">
        <v>644</v>
      </c>
      <c r="AD313">
        <f t="shared" ca="1" si="26"/>
        <v>-138</v>
      </c>
      <c r="AE313">
        <f t="shared" ca="1" si="27"/>
        <v>-10000000000</v>
      </c>
    </row>
    <row r="314" spans="25:31" x14ac:dyDescent="0.3">
      <c r="Y314">
        <v>46057</v>
      </c>
      <c r="Z314">
        <v>17204589</v>
      </c>
      <c r="AA314" t="s">
        <v>62</v>
      </c>
      <c r="AB314">
        <v>46065</v>
      </c>
      <c r="AC314">
        <v>736</v>
      </c>
      <c r="AD314">
        <f t="shared" ca="1" si="26"/>
        <v>-145</v>
      </c>
      <c r="AE314">
        <f t="shared" ca="1" si="27"/>
        <v>-10000000000</v>
      </c>
    </row>
    <row r="315" spans="25:31" x14ac:dyDescent="0.3">
      <c r="Y315">
        <v>46049</v>
      </c>
      <c r="Z315">
        <v>15360480</v>
      </c>
      <c r="AA315" t="s">
        <v>81</v>
      </c>
      <c r="AB315">
        <v>46056</v>
      </c>
      <c r="AC315">
        <v>0</v>
      </c>
      <c r="AD315">
        <f t="shared" ca="1" si="26"/>
        <v>-153</v>
      </c>
      <c r="AE315">
        <f t="shared" ca="1" si="27"/>
        <v>-10000000000</v>
      </c>
    </row>
    <row r="316" spans="25:31" x14ac:dyDescent="0.3">
      <c r="Y316">
        <v>46063</v>
      </c>
      <c r="Z316">
        <v>17206478</v>
      </c>
      <c r="AA316" t="s">
        <v>133</v>
      </c>
      <c r="AB316">
        <v>46070</v>
      </c>
      <c r="AC316">
        <v>800</v>
      </c>
      <c r="AD316">
        <f t="shared" ca="1" si="26"/>
        <v>-139</v>
      </c>
      <c r="AE316">
        <f t="shared" ca="1" si="27"/>
        <v>-10000000000</v>
      </c>
    </row>
    <row r="317" spans="25:31" x14ac:dyDescent="0.3">
      <c r="Y317">
        <v>46054</v>
      </c>
      <c r="Z317">
        <v>17286046</v>
      </c>
      <c r="AA317" t="s">
        <v>96</v>
      </c>
      <c r="AB317">
        <v>46062</v>
      </c>
      <c r="AC317">
        <v>773.5</v>
      </c>
      <c r="AD317">
        <f t="shared" ca="1" si="26"/>
        <v>-148</v>
      </c>
      <c r="AE317">
        <f t="shared" ca="1" si="27"/>
        <v>-10000000000</v>
      </c>
    </row>
    <row r="318" spans="25:31" x14ac:dyDescent="0.3">
      <c r="Y318">
        <v>46071</v>
      </c>
      <c r="Z318">
        <v>17208901</v>
      </c>
      <c r="AA318" t="s">
        <v>62</v>
      </c>
      <c r="AB318">
        <v>46079</v>
      </c>
      <c r="AC318">
        <v>994</v>
      </c>
      <c r="AD318">
        <f t="shared" ca="1" si="26"/>
        <v>-131</v>
      </c>
      <c r="AE318">
        <f t="shared" ca="1" si="27"/>
        <v>-10000000000</v>
      </c>
    </row>
    <row r="319" spans="25:31" x14ac:dyDescent="0.3">
      <c r="Y319">
        <v>46034</v>
      </c>
      <c r="Z319">
        <v>17209306</v>
      </c>
      <c r="AA319" t="s">
        <v>104</v>
      </c>
      <c r="AB319">
        <v>46042</v>
      </c>
      <c r="AC319">
        <v>1900.8</v>
      </c>
      <c r="AD319">
        <f t="shared" ca="1" si="26"/>
        <v>-168</v>
      </c>
      <c r="AE319">
        <f t="shared" ca="1" si="27"/>
        <v>-10000000000</v>
      </c>
    </row>
    <row r="320" spans="25:31" x14ac:dyDescent="0.3">
      <c r="Y320">
        <v>46091</v>
      </c>
      <c r="Z320">
        <v>15383361</v>
      </c>
      <c r="AA320" t="s">
        <v>142</v>
      </c>
      <c r="AB320">
        <v>46099</v>
      </c>
      <c r="AC320">
        <v>1232</v>
      </c>
      <c r="AD320">
        <f t="shared" ca="1" si="26"/>
        <v>-111</v>
      </c>
      <c r="AE320">
        <f t="shared" ca="1" si="27"/>
        <v>-10000000000</v>
      </c>
    </row>
    <row r="321" spans="25:31" x14ac:dyDescent="0.3">
      <c r="Y321">
        <v>46105</v>
      </c>
      <c r="Z321">
        <v>17210573</v>
      </c>
      <c r="AA321" t="s">
        <v>123</v>
      </c>
      <c r="AB321">
        <v>46112</v>
      </c>
      <c r="AC321">
        <v>1232</v>
      </c>
      <c r="AD321">
        <f t="shared" ca="1" si="26"/>
        <v>-97</v>
      </c>
      <c r="AE321">
        <f t="shared" ca="1" si="27"/>
        <v>-10000000000</v>
      </c>
    </row>
    <row r="322" spans="25:31" x14ac:dyDescent="0.3">
      <c r="Y322">
        <v>46055</v>
      </c>
      <c r="Z322">
        <v>17212681</v>
      </c>
      <c r="AA322" t="s">
        <v>64</v>
      </c>
      <c r="AB322">
        <v>46065</v>
      </c>
      <c r="AC322">
        <v>478</v>
      </c>
      <c r="AD322">
        <f t="shared" ca="1" si="26"/>
        <v>-147</v>
      </c>
      <c r="AE322">
        <f t="shared" ca="1" si="27"/>
        <v>-10000000000</v>
      </c>
    </row>
    <row r="323" spans="25:31" x14ac:dyDescent="0.3">
      <c r="Y323">
        <v>46072</v>
      </c>
      <c r="Z323">
        <v>15401625</v>
      </c>
      <c r="AA323" t="s">
        <v>177</v>
      </c>
      <c r="AB323">
        <v>46083</v>
      </c>
      <c r="AC323">
        <v>0</v>
      </c>
      <c r="AD323">
        <f t="shared" ca="1" si="26"/>
        <v>-130</v>
      </c>
      <c r="AE323">
        <f t="shared" ca="1" si="27"/>
        <v>-10000000000</v>
      </c>
    </row>
    <row r="324" spans="25:31" x14ac:dyDescent="0.3">
      <c r="Y324">
        <v>46056</v>
      </c>
      <c r="Z324">
        <v>15423042</v>
      </c>
      <c r="AA324" t="s">
        <v>64</v>
      </c>
      <c r="AB324">
        <v>46060</v>
      </c>
      <c r="AC324">
        <v>658</v>
      </c>
      <c r="AD324">
        <f t="shared" ref="AD324:AD387" ca="1" si="28">IF(Y324="","",Y324-TODAY())</f>
        <v>-146</v>
      </c>
      <c r="AE324">
        <f t="shared" ref="AE324:AE387" ca="1" si="29">IF(OR(Y324="",AD324&lt;0,AD324&gt;60),-10000000000,-AD324*1000+ROW()/100000)</f>
        <v>-10000000000</v>
      </c>
    </row>
    <row r="325" spans="25:31" x14ac:dyDescent="0.3">
      <c r="Y325">
        <v>46063</v>
      </c>
      <c r="Z325">
        <v>17220803</v>
      </c>
      <c r="AA325" t="s">
        <v>62</v>
      </c>
      <c r="AB325">
        <v>46070</v>
      </c>
      <c r="AC325">
        <v>728</v>
      </c>
      <c r="AD325">
        <f t="shared" ca="1" si="28"/>
        <v>-139</v>
      </c>
      <c r="AE325">
        <f t="shared" ca="1" si="29"/>
        <v>-10000000000</v>
      </c>
    </row>
    <row r="326" spans="25:31" x14ac:dyDescent="0.3">
      <c r="Y326">
        <v>46204</v>
      </c>
      <c r="Z326">
        <v>17295388</v>
      </c>
      <c r="AA326" t="s">
        <v>68</v>
      </c>
      <c r="AB326">
        <v>46211</v>
      </c>
      <c r="AC326">
        <v>1792.8</v>
      </c>
      <c r="AD326">
        <f t="shared" ca="1" si="28"/>
        <v>2</v>
      </c>
      <c r="AE326">
        <f t="shared" ca="1" si="29"/>
        <v>-1999.99674</v>
      </c>
    </row>
    <row r="327" spans="25:31" x14ac:dyDescent="0.3">
      <c r="Y327">
        <v>46099</v>
      </c>
      <c r="Z327">
        <v>15440575</v>
      </c>
      <c r="AA327" t="s">
        <v>157</v>
      </c>
      <c r="AB327">
        <v>46109</v>
      </c>
      <c r="AC327">
        <v>0</v>
      </c>
      <c r="AD327">
        <f t="shared" ca="1" si="28"/>
        <v>-103</v>
      </c>
      <c r="AE327">
        <f t="shared" ca="1" si="29"/>
        <v>-10000000000</v>
      </c>
    </row>
    <row r="328" spans="25:31" x14ac:dyDescent="0.3">
      <c r="Y328">
        <v>46093</v>
      </c>
      <c r="Z328">
        <v>15442598</v>
      </c>
      <c r="AA328" t="s">
        <v>157</v>
      </c>
      <c r="AB328">
        <v>46104</v>
      </c>
      <c r="AC328">
        <v>700</v>
      </c>
      <c r="AD328">
        <f t="shared" ca="1" si="28"/>
        <v>-109</v>
      </c>
      <c r="AE328">
        <f t="shared" ca="1" si="29"/>
        <v>-10000000000</v>
      </c>
    </row>
    <row r="329" spans="25:31" x14ac:dyDescent="0.3">
      <c r="Y329">
        <v>46204</v>
      </c>
      <c r="Z329">
        <v>17295140</v>
      </c>
      <c r="AA329" t="s">
        <v>68</v>
      </c>
      <c r="AB329">
        <v>46211</v>
      </c>
      <c r="AC329">
        <v>1792.8</v>
      </c>
      <c r="AD329">
        <f t="shared" ca="1" si="28"/>
        <v>2</v>
      </c>
      <c r="AE329">
        <f t="shared" ca="1" si="29"/>
        <v>-1999.9967099999999</v>
      </c>
    </row>
    <row r="330" spans="25:31" x14ac:dyDescent="0.3">
      <c r="Y330">
        <v>46082</v>
      </c>
      <c r="Z330">
        <v>15446131</v>
      </c>
      <c r="AA330" t="s">
        <v>168</v>
      </c>
      <c r="AB330">
        <v>46088</v>
      </c>
      <c r="AC330">
        <v>0</v>
      </c>
      <c r="AD330">
        <f t="shared" ca="1" si="28"/>
        <v>-120</v>
      </c>
      <c r="AE330">
        <f t="shared" ca="1" si="29"/>
        <v>-10000000000</v>
      </c>
    </row>
    <row r="331" spans="25:31" x14ac:dyDescent="0.3">
      <c r="Y331">
        <v>46054</v>
      </c>
      <c r="Z331">
        <v>17224602</v>
      </c>
      <c r="AA331" t="s">
        <v>113</v>
      </c>
      <c r="AB331">
        <v>46062</v>
      </c>
      <c r="AC331">
        <v>1394.16</v>
      </c>
      <c r="AD331">
        <f t="shared" ca="1" si="28"/>
        <v>-148</v>
      </c>
      <c r="AE331">
        <f t="shared" ca="1" si="29"/>
        <v>-10000000000</v>
      </c>
    </row>
    <row r="332" spans="25:31" x14ac:dyDescent="0.3">
      <c r="Y332">
        <v>46082</v>
      </c>
      <c r="Z332">
        <v>15447860</v>
      </c>
      <c r="AA332" t="s">
        <v>168</v>
      </c>
      <c r="AB332">
        <v>46088</v>
      </c>
      <c r="AC332">
        <v>0</v>
      </c>
      <c r="AD332">
        <f t="shared" ca="1" si="28"/>
        <v>-120</v>
      </c>
      <c r="AE332">
        <f t="shared" ca="1" si="29"/>
        <v>-10000000000</v>
      </c>
    </row>
    <row r="333" spans="25:31" x14ac:dyDescent="0.3">
      <c r="Y333">
        <v>46106</v>
      </c>
      <c r="Z333">
        <v>17224814</v>
      </c>
      <c r="AA333" t="s">
        <v>62</v>
      </c>
      <c r="AB333">
        <v>46112</v>
      </c>
      <c r="AC333">
        <v>1336</v>
      </c>
      <c r="AD333">
        <f t="shared" ca="1" si="28"/>
        <v>-96</v>
      </c>
      <c r="AE333">
        <f t="shared" ca="1" si="29"/>
        <v>-10000000000</v>
      </c>
    </row>
    <row r="334" spans="25:31" x14ac:dyDescent="0.3">
      <c r="Y334">
        <v>46040</v>
      </c>
      <c r="Z334">
        <v>15454850</v>
      </c>
      <c r="AA334" t="s">
        <v>182</v>
      </c>
      <c r="AB334">
        <v>46047</v>
      </c>
      <c r="AC334">
        <v>0</v>
      </c>
      <c r="AD334">
        <f t="shared" ca="1" si="28"/>
        <v>-162</v>
      </c>
      <c r="AE334">
        <f t="shared" ca="1" si="29"/>
        <v>-10000000000</v>
      </c>
    </row>
    <row r="335" spans="25:31" x14ac:dyDescent="0.3">
      <c r="Y335">
        <v>46091</v>
      </c>
      <c r="Z335">
        <v>17228559</v>
      </c>
      <c r="AA335" t="s">
        <v>62</v>
      </c>
      <c r="AB335">
        <v>46098</v>
      </c>
      <c r="AC335">
        <v>700</v>
      </c>
      <c r="AD335">
        <f t="shared" ca="1" si="28"/>
        <v>-111</v>
      </c>
      <c r="AE335">
        <f t="shared" ca="1" si="29"/>
        <v>-10000000000</v>
      </c>
    </row>
    <row r="336" spans="25:31" x14ac:dyDescent="0.3">
      <c r="Y336">
        <v>46058</v>
      </c>
      <c r="Z336">
        <v>15484535</v>
      </c>
      <c r="AA336" t="s">
        <v>168</v>
      </c>
      <c r="AB336">
        <v>46073</v>
      </c>
      <c r="AC336">
        <v>630</v>
      </c>
      <c r="AD336">
        <f t="shared" ca="1" si="28"/>
        <v>-144</v>
      </c>
      <c r="AE336">
        <f t="shared" ca="1" si="29"/>
        <v>-10000000000</v>
      </c>
    </row>
    <row r="337" spans="25:31" x14ac:dyDescent="0.3">
      <c r="Y337">
        <v>46040</v>
      </c>
      <c r="Z337">
        <v>15493702</v>
      </c>
      <c r="AA337" t="s">
        <v>183</v>
      </c>
      <c r="AB337">
        <v>46046</v>
      </c>
      <c r="AC337">
        <v>518</v>
      </c>
      <c r="AD337">
        <f t="shared" ca="1" si="28"/>
        <v>-162</v>
      </c>
      <c r="AE337">
        <f t="shared" ca="1" si="29"/>
        <v>-10000000000</v>
      </c>
    </row>
    <row r="338" spans="25:31" x14ac:dyDescent="0.3">
      <c r="Y338">
        <v>46065</v>
      </c>
      <c r="Z338">
        <v>17236252</v>
      </c>
      <c r="AA338" t="s">
        <v>62</v>
      </c>
      <c r="AB338">
        <v>46073</v>
      </c>
      <c r="AC338">
        <v>808</v>
      </c>
      <c r="AD338">
        <f t="shared" ca="1" si="28"/>
        <v>-137</v>
      </c>
      <c r="AE338">
        <f t="shared" ca="1" si="29"/>
        <v>-10000000000</v>
      </c>
    </row>
    <row r="339" spans="25:31" x14ac:dyDescent="0.3">
      <c r="Y339">
        <v>46058</v>
      </c>
      <c r="Z339" t="s">
        <v>185</v>
      </c>
      <c r="AA339" t="s">
        <v>186</v>
      </c>
      <c r="AB339">
        <v>46065</v>
      </c>
      <c r="AC339">
        <v>0</v>
      </c>
      <c r="AD339">
        <f t="shared" ca="1" si="28"/>
        <v>-144</v>
      </c>
      <c r="AE339">
        <f t="shared" ca="1" si="29"/>
        <v>-10000000000</v>
      </c>
    </row>
    <row r="340" spans="25:31" x14ac:dyDescent="0.3">
      <c r="Y340">
        <v>46113</v>
      </c>
      <c r="Z340">
        <v>17236970</v>
      </c>
      <c r="AA340" t="s">
        <v>101</v>
      </c>
      <c r="AB340">
        <v>46118</v>
      </c>
      <c r="AC340">
        <v>650</v>
      </c>
      <c r="AD340">
        <f t="shared" ca="1" si="28"/>
        <v>-89</v>
      </c>
      <c r="AE340">
        <f t="shared" ca="1" si="29"/>
        <v>-10000000000</v>
      </c>
    </row>
    <row r="341" spans="25:31" x14ac:dyDescent="0.3">
      <c r="Y341">
        <v>46063</v>
      </c>
      <c r="Z341">
        <v>17239789</v>
      </c>
      <c r="AA341" t="s">
        <v>62</v>
      </c>
      <c r="AB341">
        <v>46070</v>
      </c>
      <c r="AC341">
        <v>924</v>
      </c>
      <c r="AD341">
        <f t="shared" ca="1" si="28"/>
        <v>-139</v>
      </c>
      <c r="AE341">
        <f t="shared" ca="1" si="29"/>
        <v>-10000000000</v>
      </c>
    </row>
    <row r="342" spans="25:31" x14ac:dyDescent="0.3">
      <c r="Y342">
        <v>46058</v>
      </c>
      <c r="Z342">
        <v>17239527</v>
      </c>
      <c r="AA342" t="s">
        <v>80</v>
      </c>
      <c r="AB342">
        <v>46064</v>
      </c>
      <c r="AC342">
        <v>0</v>
      </c>
      <c r="AD342">
        <f t="shared" ca="1" si="28"/>
        <v>-144</v>
      </c>
      <c r="AE342">
        <f t="shared" ca="1" si="29"/>
        <v>-10000000000</v>
      </c>
    </row>
    <row r="343" spans="25:31" x14ac:dyDescent="0.3">
      <c r="Y343">
        <v>46075</v>
      </c>
      <c r="Z343">
        <v>17241095</v>
      </c>
      <c r="AA343" t="s">
        <v>62</v>
      </c>
      <c r="AB343">
        <v>46082</v>
      </c>
      <c r="AC343">
        <v>900</v>
      </c>
      <c r="AD343">
        <f t="shared" ca="1" si="28"/>
        <v>-127</v>
      </c>
      <c r="AE343">
        <f t="shared" ca="1" si="29"/>
        <v>-10000000000</v>
      </c>
    </row>
    <row r="344" spans="25:31" x14ac:dyDescent="0.3">
      <c r="Y344">
        <v>46096</v>
      </c>
      <c r="Z344">
        <v>17236507</v>
      </c>
      <c r="AA344" t="s">
        <v>96</v>
      </c>
      <c r="AB344">
        <v>46105</v>
      </c>
      <c r="AC344">
        <v>1392</v>
      </c>
      <c r="AD344">
        <f t="shared" ca="1" si="28"/>
        <v>-106</v>
      </c>
      <c r="AE344">
        <f t="shared" ca="1" si="29"/>
        <v>-10000000000</v>
      </c>
    </row>
    <row r="345" spans="25:31" x14ac:dyDescent="0.3">
      <c r="Y345">
        <v>46063</v>
      </c>
      <c r="Z345">
        <v>15547522</v>
      </c>
      <c r="AA345" t="s">
        <v>182</v>
      </c>
      <c r="AB345">
        <v>46070</v>
      </c>
      <c r="AC345">
        <v>0</v>
      </c>
      <c r="AD345">
        <f t="shared" ca="1" si="28"/>
        <v>-139</v>
      </c>
      <c r="AE345">
        <f t="shared" ca="1" si="29"/>
        <v>-10000000000</v>
      </c>
    </row>
    <row r="346" spans="25:31" x14ac:dyDescent="0.3">
      <c r="Y346">
        <v>46063</v>
      </c>
      <c r="Z346">
        <v>15547877</v>
      </c>
      <c r="AA346" t="s">
        <v>182</v>
      </c>
      <c r="AB346">
        <v>46070</v>
      </c>
      <c r="AC346">
        <v>0</v>
      </c>
      <c r="AD346">
        <f t="shared" ca="1" si="28"/>
        <v>-139</v>
      </c>
      <c r="AE346">
        <f t="shared" ca="1" si="29"/>
        <v>-10000000000</v>
      </c>
    </row>
    <row r="347" spans="25:31" x14ac:dyDescent="0.3">
      <c r="Y347">
        <v>46086</v>
      </c>
      <c r="Z347">
        <v>17251767</v>
      </c>
      <c r="AA347" t="s">
        <v>62</v>
      </c>
      <c r="AB347">
        <v>46093</v>
      </c>
      <c r="AC347">
        <v>700</v>
      </c>
      <c r="AD347">
        <f t="shared" ca="1" si="28"/>
        <v>-116</v>
      </c>
      <c r="AE347">
        <f t="shared" ca="1" si="29"/>
        <v>-10000000000</v>
      </c>
    </row>
    <row r="348" spans="25:31" x14ac:dyDescent="0.3">
      <c r="Y348">
        <v>46208</v>
      </c>
      <c r="Z348">
        <v>17497390</v>
      </c>
      <c r="AA348" t="s">
        <v>68</v>
      </c>
      <c r="AB348">
        <v>46216</v>
      </c>
      <c r="AC348">
        <v>1015.2</v>
      </c>
      <c r="AD348">
        <f t="shared" ca="1" si="28"/>
        <v>6</v>
      </c>
      <c r="AE348">
        <f t="shared" ca="1" si="29"/>
        <v>-5999.9965199999997</v>
      </c>
    </row>
    <row r="349" spans="25:31" x14ac:dyDescent="0.3">
      <c r="Y349">
        <v>46104</v>
      </c>
      <c r="Z349">
        <v>17261409</v>
      </c>
      <c r="AA349" t="s">
        <v>62</v>
      </c>
      <c r="AB349">
        <v>46112</v>
      </c>
      <c r="AC349">
        <v>1270</v>
      </c>
      <c r="AD349">
        <f t="shared" ca="1" si="28"/>
        <v>-98</v>
      </c>
      <c r="AE349">
        <f t="shared" ca="1" si="29"/>
        <v>-10000000000</v>
      </c>
    </row>
    <row r="350" spans="25:31" x14ac:dyDescent="0.3">
      <c r="Y350">
        <v>46104</v>
      </c>
      <c r="Z350">
        <v>17261994</v>
      </c>
      <c r="AA350" t="s">
        <v>62</v>
      </c>
      <c r="AB350">
        <v>46109</v>
      </c>
      <c r="AC350">
        <v>1314</v>
      </c>
      <c r="AD350">
        <f t="shared" ca="1" si="28"/>
        <v>-98</v>
      </c>
      <c r="AE350">
        <f t="shared" ca="1" si="29"/>
        <v>-10000000000</v>
      </c>
    </row>
    <row r="351" spans="25:31" x14ac:dyDescent="0.3">
      <c r="Y351">
        <v>46082</v>
      </c>
      <c r="Z351">
        <v>17280833</v>
      </c>
      <c r="AA351" t="s">
        <v>62</v>
      </c>
      <c r="AB351">
        <v>46087</v>
      </c>
      <c r="AC351">
        <v>1100</v>
      </c>
      <c r="AD351">
        <f t="shared" ca="1" si="28"/>
        <v>-120</v>
      </c>
      <c r="AE351">
        <f t="shared" ca="1" si="29"/>
        <v>-10000000000</v>
      </c>
    </row>
    <row r="352" spans="25:31" x14ac:dyDescent="0.3">
      <c r="Y352">
        <v>46065</v>
      </c>
      <c r="Z352">
        <v>17267356</v>
      </c>
      <c r="AA352" t="s">
        <v>168</v>
      </c>
      <c r="AB352">
        <v>46071</v>
      </c>
      <c r="AC352">
        <v>1008</v>
      </c>
      <c r="AD352">
        <f t="shared" ca="1" si="28"/>
        <v>-137</v>
      </c>
      <c r="AE352">
        <f t="shared" ca="1" si="29"/>
        <v>-10000000000</v>
      </c>
    </row>
    <row r="353" spans="25:31" x14ac:dyDescent="0.3">
      <c r="Y353">
        <v>46082</v>
      </c>
      <c r="Z353">
        <v>17267677</v>
      </c>
      <c r="AA353" t="s">
        <v>115</v>
      </c>
      <c r="AB353">
        <v>46059</v>
      </c>
      <c r="AC353">
        <v>420</v>
      </c>
      <c r="AD353">
        <f t="shared" ca="1" si="28"/>
        <v>-120</v>
      </c>
      <c r="AE353">
        <f t="shared" ca="1" si="29"/>
        <v>-10000000000</v>
      </c>
    </row>
    <row r="354" spans="25:31" x14ac:dyDescent="0.3">
      <c r="Y354">
        <v>46089</v>
      </c>
      <c r="Z354">
        <v>17267540</v>
      </c>
      <c r="AA354" t="s">
        <v>62</v>
      </c>
      <c r="AB354">
        <v>46094</v>
      </c>
      <c r="AC354">
        <v>1100</v>
      </c>
      <c r="AD354">
        <f t="shared" ca="1" si="28"/>
        <v>-113</v>
      </c>
      <c r="AE354">
        <f t="shared" ca="1" si="29"/>
        <v>-10000000000</v>
      </c>
    </row>
    <row r="355" spans="25:31" x14ac:dyDescent="0.3">
      <c r="Y355">
        <v>46056</v>
      </c>
      <c r="Z355">
        <v>17268567</v>
      </c>
      <c r="AA355" t="s">
        <v>168</v>
      </c>
      <c r="AB355">
        <v>46061</v>
      </c>
      <c r="AC355">
        <v>900</v>
      </c>
      <c r="AD355">
        <f t="shared" ca="1" si="28"/>
        <v>-146</v>
      </c>
      <c r="AE355">
        <f t="shared" ca="1" si="29"/>
        <v>-10000000000</v>
      </c>
    </row>
    <row r="356" spans="25:31" x14ac:dyDescent="0.3">
      <c r="Y356">
        <v>46104</v>
      </c>
      <c r="Z356">
        <v>17269433</v>
      </c>
      <c r="AA356" t="s">
        <v>62</v>
      </c>
      <c r="AB356">
        <v>46111</v>
      </c>
      <c r="AC356">
        <v>844</v>
      </c>
      <c r="AD356">
        <f t="shared" ca="1" si="28"/>
        <v>-98</v>
      </c>
      <c r="AE356">
        <f t="shared" ca="1" si="29"/>
        <v>-10000000000</v>
      </c>
    </row>
    <row r="357" spans="25:31" x14ac:dyDescent="0.3">
      <c r="Y357">
        <v>46093</v>
      </c>
      <c r="Z357">
        <v>17270570</v>
      </c>
      <c r="AA357" t="s">
        <v>168</v>
      </c>
      <c r="AB357">
        <v>46101</v>
      </c>
      <c r="AC357">
        <v>770</v>
      </c>
      <c r="AD357">
        <f t="shared" ca="1" si="28"/>
        <v>-109</v>
      </c>
      <c r="AE357">
        <f t="shared" ca="1" si="29"/>
        <v>-10000000000</v>
      </c>
    </row>
    <row r="358" spans="25:31" x14ac:dyDescent="0.3">
      <c r="Y358">
        <v>46056</v>
      </c>
      <c r="Z358">
        <v>17272304</v>
      </c>
      <c r="AA358" t="s">
        <v>168</v>
      </c>
      <c r="AB358">
        <v>46061</v>
      </c>
      <c r="AC358">
        <v>900</v>
      </c>
      <c r="AD358">
        <f t="shared" ca="1" si="28"/>
        <v>-146</v>
      </c>
      <c r="AE358">
        <f t="shared" ca="1" si="29"/>
        <v>-10000000000</v>
      </c>
    </row>
    <row r="359" spans="25:31" x14ac:dyDescent="0.3">
      <c r="Y359">
        <v>46075</v>
      </c>
      <c r="Z359">
        <v>17272895</v>
      </c>
      <c r="AA359" t="s">
        <v>115</v>
      </c>
      <c r="AB359">
        <v>46081</v>
      </c>
      <c r="AC359">
        <v>1460</v>
      </c>
      <c r="AD359">
        <f t="shared" ca="1" si="28"/>
        <v>-127</v>
      </c>
      <c r="AE359">
        <f t="shared" ca="1" si="29"/>
        <v>-10000000000</v>
      </c>
    </row>
    <row r="360" spans="25:31" x14ac:dyDescent="0.3">
      <c r="Y360">
        <v>46098</v>
      </c>
      <c r="Z360">
        <v>17276245</v>
      </c>
      <c r="AA360" t="s">
        <v>62</v>
      </c>
      <c r="AB360">
        <v>46098</v>
      </c>
      <c r="AC360">
        <v>700</v>
      </c>
      <c r="AD360">
        <f t="shared" ca="1" si="28"/>
        <v>-104</v>
      </c>
      <c r="AE360">
        <f t="shared" ca="1" si="29"/>
        <v>-10000000000</v>
      </c>
    </row>
    <row r="361" spans="25:31" x14ac:dyDescent="0.3">
      <c r="Y361">
        <v>46113</v>
      </c>
      <c r="Z361">
        <v>17365548</v>
      </c>
      <c r="AA361" t="s">
        <v>62</v>
      </c>
      <c r="AB361">
        <v>46119</v>
      </c>
      <c r="AC361">
        <v>726</v>
      </c>
      <c r="AD361">
        <f t="shared" ca="1" si="28"/>
        <v>-89</v>
      </c>
      <c r="AE361">
        <f t="shared" ca="1" si="29"/>
        <v>-10000000000</v>
      </c>
    </row>
    <row r="362" spans="25:31" x14ac:dyDescent="0.3">
      <c r="Y362">
        <v>46082</v>
      </c>
      <c r="Z362">
        <v>15670520</v>
      </c>
      <c r="AA362" t="s">
        <v>156</v>
      </c>
      <c r="AB362">
        <v>46088</v>
      </c>
      <c r="AC362">
        <v>0</v>
      </c>
      <c r="AD362">
        <f t="shared" ca="1" si="28"/>
        <v>-120</v>
      </c>
      <c r="AE362">
        <f t="shared" ca="1" si="29"/>
        <v>-10000000000</v>
      </c>
    </row>
    <row r="363" spans="25:31" x14ac:dyDescent="0.3">
      <c r="Y363">
        <v>46068</v>
      </c>
      <c r="Z363">
        <v>17280442</v>
      </c>
      <c r="AA363" t="s">
        <v>168</v>
      </c>
      <c r="AB363">
        <v>46074</v>
      </c>
      <c r="AC363">
        <v>630</v>
      </c>
      <c r="AD363">
        <f t="shared" ca="1" si="28"/>
        <v>-134</v>
      </c>
      <c r="AE363">
        <f t="shared" ca="1" si="29"/>
        <v>-10000000000</v>
      </c>
    </row>
    <row r="364" spans="25:31" x14ac:dyDescent="0.3">
      <c r="Y364">
        <v>46082</v>
      </c>
      <c r="Z364">
        <v>15688356</v>
      </c>
      <c r="AA364" t="s">
        <v>123</v>
      </c>
      <c r="AB364">
        <v>46089</v>
      </c>
      <c r="AC364">
        <v>994</v>
      </c>
      <c r="AD364">
        <f t="shared" ca="1" si="28"/>
        <v>-120</v>
      </c>
      <c r="AE364">
        <f t="shared" ca="1" si="29"/>
        <v>-10000000000</v>
      </c>
    </row>
    <row r="365" spans="25:31" x14ac:dyDescent="0.3">
      <c r="Y365">
        <v>46089</v>
      </c>
      <c r="Z365">
        <v>17281001</v>
      </c>
      <c r="AA365" t="s">
        <v>168</v>
      </c>
      <c r="AB365">
        <v>46096</v>
      </c>
      <c r="AC365">
        <v>770</v>
      </c>
      <c r="AD365">
        <f t="shared" ca="1" si="28"/>
        <v>-113</v>
      </c>
      <c r="AE365">
        <f t="shared" ca="1" si="29"/>
        <v>-10000000000</v>
      </c>
    </row>
    <row r="366" spans="25:31" x14ac:dyDescent="0.3">
      <c r="Y366">
        <v>46086</v>
      </c>
      <c r="Z366">
        <v>17282258</v>
      </c>
      <c r="AA366" t="s">
        <v>168</v>
      </c>
      <c r="AB366">
        <v>46093</v>
      </c>
      <c r="AC366">
        <v>2970</v>
      </c>
      <c r="AD366">
        <f t="shared" ca="1" si="28"/>
        <v>-116</v>
      </c>
      <c r="AE366">
        <f t="shared" ca="1" si="29"/>
        <v>-10000000000</v>
      </c>
    </row>
    <row r="367" spans="25:31" x14ac:dyDescent="0.3">
      <c r="Y367">
        <v>46086</v>
      </c>
      <c r="Z367">
        <v>17282449</v>
      </c>
      <c r="AA367" t="s">
        <v>168</v>
      </c>
      <c r="AB367">
        <v>46093</v>
      </c>
      <c r="AC367">
        <v>990</v>
      </c>
      <c r="AD367">
        <f t="shared" ca="1" si="28"/>
        <v>-116</v>
      </c>
      <c r="AE367">
        <f t="shared" ca="1" si="29"/>
        <v>-10000000000</v>
      </c>
    </row>
    <row r="368" spans="25:31" x14ac:dyDescent="0.3">
      <c r="Y368">
        <v>46056</v>
      </c>
      <c r="Z368">
        <v>17283819</v>
      </c>
      <c r="AA368" t="s">
        <v>192</v>
      </c>
      <c r="AB368">
        <v>46072</v>
      </c>
      <c r="AC368">
        <v>0</v>
      </c>
      <c r="AD368">
        <f t="shared" ca="1" si="28"/>
        <v>-146</v>
      </c>
      <c r="AE368">
        <f t="shared" ca="1" si="29"/>
        <v>-10000000000</v>
      </c>
    </row>
    <row r="369" spans="25:31" x14ac:dyDescent="0.3">
      <c r="Y369">
        <v>46096</v>
      </c>
      <c r="Z369">
        <v>17284801</v>
      </c>
      <c r="AA369" t="s">
        <v>168</v>
      </c>
      <c r="AB369">
        <v>46103</v>
      </c>
      <c r="AC369">
        <v>770</v>
      </c>
      <c r="AD369">
        <f t="shared" ca="1" si="28"/>
        <v>-106</v>
      </c>
      <c r="AE369">
        <f t="shared" ca="1" si="29"/>
        <v>-10000000000</v>
      </c>
    </row>
    <row r="370" spans="25:31" x14ac:dyDescent="0.3">
      <c r="Y370">
        <v>46104</v>
      </c>
      <c r="Z370">
        <v>15711586</v>
      </c>
      <c r="AA370" t="s">
        <v>193</v>
      </c>
      <c r="AB370">
        <v>46110</v>
      </c>
      <c r="AC370">
        <v>0</v>
      </c>
      <c r="AD370">
        <f t="shared" ca="1" si="28"/>
        <v>-98</v>
      </c>
      <c r="AE370">
        <f t="shared" ca="1" si="29"/>
        <v>-10000000000</v>
      </c>
    </row>
    <row r="371" spans="25:31" x14ac:dyDescent="0.3">
      <c r="Y371">
        <v>46093</v>
      </c>
      <c r="Z371">
        <v>15714738</v>
      </c>
      <c r="AA371" t="s">
        <v>194</v>
      </c>
      <c r="AB371">
        <v>46097</v>
      </c>
      <c r="AC371">
        <v>552</v>
      </c>
      <c r="AD371">
        <f t="shared" ca="1" si="28"/>
        <v>-109</v>
      </c>
      <c r="AE371">
        <f t="shared" ca="1" si="29"/>
        <v>-10000000000</v>
      </c>
    </row>
    <row r="372" spans="25:31" x14ac:dyDescent="0.3">
      <c r="Y372">
        <v>46107</v>
      </c>
      <c r="Z372">
        <v>17206677</v>
      </c>
      <c r="AA372" t="s">
        <v>96</v>
      </c>
      <c r="AB372">
        <v>46117</v>
      </c>
      <c r="AC372">
        <v>1622.08</v>
      </c>
      <c r="AD372">
        <f t="shared" ca="1" si="28"/>
        <v>-95</v>
      </c>
      <c r="AE372">
        <f t="shared" ca="1" si="29"/>
        <v>-10000000000</v>
      </c>
    </row>
    <row r="373" spans="25:31" x14ac:dyDescent="0.3">
      <c r="Y373">
        <v>46063</v>
      </c>
      <c r="Z373">
        <v>17286233</v>
      </c>
      <c r="AA373" t="s">
        <v>168</v>
      </c>
      <c r="AB373">
        <v>46071</v>
      </c>
      <c r="AC373">
        <v>2880</v>
      </c>
      <c r="AD373">
        <f t="shared" ca="1" si="28"/>
        <v>-139</v>
      </c>
      <c r="AE373">
        <f t="shared" ca="1" si="29"/>
        <v>-10000000000</v>
      </c>
    </row>
    <row r="374" spans="25:31" x14ac:dyDescent="0.3">
      <c r="Y374">
        <v>46114</v>
      </c>
      <c r="Z374">
        <v>17292260</v>
      </c>
      <c r="AA374" t="s">
        <v>62</v>
      </c>
      <c r="AB374">
        <v>46122</v>
      </c>
      <c r="AC374">
        <v>1449</v>
      </c>
      <c r="AD374">
        <f t="shared" ca="1" si="28"/>
        <v>-88</v>
      </c>
      <c r="AE374">
        <f t="shared" ca="1" si="29"/>
        <v>-10000000000</v>
      </c>
    </row>
    <row r="375" spans="25:31" x14ac:dyDescent="0.3">
      <c r="Y375">
        <v>46054</v>
      </c>
      <c r="Z375">
        <v>17288001</v>
      </c>
      <c r="AA375" t="s">
        <v>168</v>
      </c>
      <c r="AB375">
        <v>46058</v>
      </c>
      <c r="AC375">
        <v>700</v>
      </c>
      <c r="AD375">
        <f t="shared" ca="1" si="28"/>
        <v>-148</v>
      </c>
      <c r="AE375">
        <f t="shared" ca="1" si="29"/>
        <v>-10000000000</v>
      </c>
    </row>
    <row r="376" spans="25:31" x14ac:dyDescent="0.3">
      <c r="Y376">
        <v>46105</v>
      </c>
      <c r="Z376">
        <v>15731568</v>
      </c>
      <c r="AA376" t="s">
        <v>144</v>
      </c>
      <c r="AB376">
        <v>46112</v>
      </c>
      <c r="AC376">
        <v>694</v>
      </c>
      <c r="AD376">
        <f t="shared" ca="1" si="28"/>
        <v>-97</v>
      </c>
      <c r="AE376">
        <f t="shared" ca="1" si="29"/>
        <v>-10000000000</v>
      </c>
    </row>
    <row r="377" spans="25:31" x14ac:dyDescent="0.3">
      <c r="Y377">
        <v>46105</v>
      </c>
      <c r="Z377">
        <v>15731611</v>
      </c>
      <c r="AA377" t="s">
        <v>144</v>
      </c>
      <c r="AB377">
        <v>46112</v>
      </c>
      <c r="AC377">
        <v>694</v>
      </c>
      <c r="AD377">
        <f t="shared" ca="1" si="28"/>
        <v>-97</v>
      </c>
      <c r="AE377">
        <f t="shared" ca="1" si="29"/>
        <v>-10000000000</v>
      </c>
    </row>
    <row r="378" spans="25:31" x14ac:dyDescent="0.3">
      <c r="Y378">
        <v>46105</v>
      </c>
      <c r="Z378">
        <v>15731637</v>
      </c>
      <c r="AA378" t="s">
        <v>144</v>
      </c>
      <c r="AB378">
        <v>46112</v>
      </c>
      <c r="AC378">
        <v>694</v>
      </c>
      <c r="AD378">
        <f t="shared" ca="1" si="28"/>
        <v>-97</v>
      </c>
      <c r="AE378">
        <f t="shared" ca="1" si="29"/>
        <v>-10000000000</v>
      </c>
    </row>
    <row r="379" spans="25:31" x14ac:dyDescent="0.3">
      <c r="Y379">
        <v>46208</v>
      </c>
      <c r="Z379">
        <v>15734687</v>
      </c>
      <c r="AA379" t="s">
        <v>62</v>
      </c>
      <c r="AB379">
        <v>46215</v>
      </c>
      <c r="AC379">
        <v>0</v>
      </c>
      <c r="AD379">
        <f t="shared" ca="1" si="28"/>
        <v>6</v>
      </c>
      <c r="AE379">
        <f t="shared" ca="1" si="29"/>
        <v>-5999.9962100000002</v>
      </c>
    </row>
    <row r="380" spans="25:31" x14ac:dyDescent="0.3">
      <c r="Y380">
        <v>46091</v>
      </c>
      <c r="Z380">
        <v>17289501</v>
      </c>
      <c r="AA380" t="s">
        <v>113</v>
      </c>
      <c r="AB380">
        <v>46100</v>
      </c>
      <c r="AC380">
        <v>1071</v>
      </c>
      <c r="AD380">
        <f t="shared" ca="1" si="28"/>
        <v>-111</v>
      </c>
      <c r="AE380">
        <f t="shared" ca="1" si="29"/>
        <v>-10000000000</v>
      </c>
    </row>
    <row r="381" spans="25:31" x14ac:dyDescent="0.3">
      <c r="Y381">
        <v>46083</v>
      </c>
      <c r="Z381">
        <v>17290313</v>
      </c>
      <c r="AA381" t="s">
        <v>62</v>
      </c>
      <c r="AB381">
        <v>46091</v>
      </c>
      <c r="AC381">
        <v>700</v>
      </c>
      <c r="AD381">
        <f t="shared" ca="1" si="28"/>
        <v>-119</v>
      </c>
      <c r="AE381">
        <f t="shared" ca="1" si="29"/>
        <v>-10000000000</v>
      </c>
    </row>
    <row r="382" spans="25:31" x14ac:dyDescent="0.3">
      <c r="Y382">
        <v>46061</v>
      </c>
      <c r="Z382">
        <v>17290326</v>
      </c>
      <c r="AA382" t="s">
        <v>111</v>
      </c>
      <c r="AB382">
        <v>46066</v>
      </c>
      <c r="AC382">
        <v>856.8</v>
      </c>
      <c r="AD382">
        <f t="shared" ca="1" si="28"/>
        <v>-141</v>
      </c>
      <c r="AE382">
        <f t="shared" ca="1" si="29"/>
        <v>-10000000000</v>
      </c>
    </row>
    <row r="383" spans="25:31" x14ac:dyDescent="0.3">
      <c r="Y383">
        <v>46215</v>
      </c>
      <c r="Z383">
        <v>16178025</v>
      </c>
      <c r="AA383" t="s">
        <v>76</v>
      </c>
      <c r="AB383">
        <v>46222</v>
      </c>
      <c r="AC383">
        <v>1265.5999999999999</v>
      </c>
      <c r="AD383">
        <f t="shared" ca="1" si="28"/>
        <v>13</v>
      </c>
      <c r="AE383">
        <f t="shared" ca="1" si="29"/>
        <v>-12999.99617</v>
      </c>
    </row>
    <row r="384" spans="25:31" x14ac:dyDescent="0.3">
      <c r="Y384">
        <v>46114</v>
      </c>
      <c r="Z384">
        <v>17290713</v>
      </c>
      <c r="AA384" t="s">
        <v>62</v>
      </c>
      <c r="AB384">
        <v>46123</v>
      </c>
      <c r="AC384">
        <v>1344</v>
      </c>
      <c r="AD384">
        <f t="shared" ca="1" si="28"/>
        <v>-88</v>
      </c>
      <c r="AE384">
        <f t="shared" ca="1" si="29"/>
        <v>-10000000000</v>
      </c>
    </row>
    <row r="385" spans="25:31" x14ac:dyDescent="0.3">
      <c r="Y385">
        <v>46056</v>
      </c>
      <c r="Z385">
        <v>15745869</v>
      </c>
      <c r="AA385" t="s">
        <v>81</v>
      </c>
      <c r="AB385">
        <v>46058</v>
      </c>
      <c r="AC385">
        <v>0</v>
      </c>
      <c r="AD385">
        <f t="shared" ca="1" si="28"/>
        <v>-146</v>
      </c>
      <c r="AE385">
        <f t="shared" ca="1" si="29"/>
        <v>-10000000000</v>
      </c>
    </row>
    <row r="386" spans="25:31" x14ac:dyDescent="0.3">
      <c r="Y386">
        <v>46119</v>
      </c>
      <c r="Z386">
        <v>17291910</v>
      </c>
      <c r="AA386" t="s">
        <v>62</v>
      </c>
      <c r="AB386">
        <v>46127</v>
      </c>
      <c r="AC386">
        <v>826</v>
      </c>
      <c r="AD386">
        <f t="shared" ca="1" si="28"/>
        <v>-83</v>
      </c>
      <c r="AE386">
        <f t="shared" ca="1" si="29"/>
        <v>-10000000000</v>
      </c>
    </row>
    <row r="387" spans="25:31" x14ac:dyDescent="0.3">
      <c r="Y387">
        <v>46204</v>
      </c>
      <c r="Z387">
        <v>15320563</v>
      </c>
      <c r="AA387" t="s">
        <v>172</v>
      </c>
      <c r="AB387">
        <v>46229</v>
      </c>
      <c r="AC387">
        <v>1672.8</v>
      </c>
      <c r="AD387">
        <f t="shared" ca="1" si="28"/>
        <v>2</v>
      </c>
      <c r="AE387">
        <f t="shared" ca="1" si="29"/>
        <v>-1999.99613</v>
      </c>
    </row>
    <row r="388" spans="25:31" x14ac:dyDescent="0.3">
      <c r="Y388">
        <v>46222</v>
      </c>
      <c r="Z388">
        <v>17181480</v>
      </c>
      <c r="AA388" t="s">
        <v>64</v>
      </c>
      <c r="AB388">
        <v>46231</v>
      </c>
      <c r="AC388">
        <v>1020</v>
      </c>
      <c r="AD388">
        <f t="shared" ref="AD388:AD451" ca="1" si="30">IF(Y388="","",Y388-TODAY())</f>
        <v>20</v>
      </c>
      <c r="AE388">
        <f t="shared" ref="AE388:AE451" ca="1" si="31">IF(OR(Y388="",AD388&lt;0,AD388&gt;60),-10000000000,-AD388*1000+ROW()/100000)</f>
        <v>-19999.99612</v>
      </c>
    </row>
    <row r="389" spans="25:31" x14ac:dyDescent="0.3">
      <c r="Y389">
        <v>46159.041666666599</v>
      </c>
      <c r="Z389">
        <v>17304933</v>
      </c>
      <c r="AA389" t="s">
        <v>168</v>
      </c>
      <c r="AB389">
        <v>46166.041666666599</v>
      </c>
      <c r="AC389">
        <v>826</v>
      </c>
      <c r="AD389">
        <f t="shared" ca="1" si="30"/>
        <v>-42.958333333401242</v>
      </c>
      <c r="AE389">
        <f t="shared" ca="1" si="31"/>
        <v>-10000000000</v>
      </c>
    </row>
    <row r="390" spans="25:31" x14ac:dyDescent="0.3">
      <c r="Y390">
        <v>46245</v>
      </c>
      <c r="Z390">
        <v>17306729</v>
      </c>
      <c r="AA390" t="s">
        <v>168</v>
      </c>
      <c r="AB390">
        <v>46256</v>
      </c>
      <c r="AC390">
        <v>928</v>
      </c>
      <c r="AD390">
        <f t="shared" ca="1" si="30"/>
        <v>43</v>
      </c>
      <c r="AE390">
        <f t="shared" ca="1" si="31"/>
        <v>-42999.996099999997</v>
      </c>
    </row>
    <row r="391" spans="25:31" x14ac:dyDescent="0.3">
      <c r="Y391">
        <v>46132</v>
      </c>
      <c r="Z391">
        <v>17308043</v>
      </c>
      <c r="AA391" t="s">
        <v>68</v>
      </c>
      <c r="AB391">
        <v>46139</v>
      </c>
      <c r="AC391">
        <v>1300</v>
      </c>
      <c r="AD391">
        <f t="shared" ca="1" si="30"/>
        <v>-70</v>
      </c>
      <c r="AE391">
        <f t="shared" ca="1" si="31"/>
        <v>-10000000000</v>
      </c>
    </row>
    <row r="392" spans="25:31" x14ac:dyDescent="0.3">
      <c r="Y392">
        <v>46245</v>
      </c>
      <c r="Z392">
        <v>17308538</v>
      </c>
      <c r="AA392" t="s">
        <v>168</v>
      </c>
      <c r="AB392">
        <v>46256</v>
      </c>
      <c r="AC392">
        <v>928</v>
      </c>
      <c r="AD392">
        <f t="shared" ca="1" si="30"/>
        <v>43</v>
      </c>
      <c r="AE392">
        <f t="shared" ca="1" si="31"/>
        <v>-42999.996079999997</v>
      </c>
    </row>
    <row r="393" spans="25:31" x14ac:dyDescent="0.3">
      <c r="Y393">
        <v>46159.041666666599</v>
      </c>
      <c r="Z393">
        <v>17309103</v>
      </c>
      <c r="AA393" t="s">
        <v>168</v>
      </c>
      <c r="AB393">
        <v>46166.041666666599</v>
      </c>
      <c r="AC393">
        <v>826</v>
      </c>
      <c r="AD393">
        <f t="shared" ca="1" si="30"/>
        <v>-42.958333333401242</v>
      </c>
      <c r="AE393">
        <f t="shared" ca="1" si="31"/>
        <v>-10000000000</v>
      </c>
    </row>
    <row r="394" spans="25:31" x14ac:dyDescent="0.3">
      <c r="Y394">
        <v>46127</v>
      </c>
      <c r="Z394">
        <v>17314455</v>
      </c>
      <c r="AA394" t="s">
        <v>168</v>
      </c>
      <c r="AB394">
        <v>46134</v>
      </c>
      <c r="AC394">
        <v>770</v>
      </c>
      <c r="AD394">
        <f t="shared" ca="1" si="30"/>
        <v>-75</v>
      </c>
      <c r="AE394">
        <f t="shared" ca="1" si="31"/>
        <v>-10000000000</v>
      </c>
    </row>
    <row r="395" spans="25:31" x14ac:dyDescent="0.3">
      <c r="Y395">
        <v>46225</v>
      </c>
      <c r="Z395">
        <v>17381256</v>
      </c>
      <c r="AA395" t="s">
        <v>68</v>
      </c>
      <c r="AB395">
        <v>46233</v>
      </c>
      <c r="AC395">
        <v>919.8</v>
      </c>
      <c r="AD395">
        <f t="shared" ca="1" si="30"/>
        <v>23</v>
      </c>
      <c r="AE395">
        <f t="shared" ca="1" si="31"/>
        <v>-22999.996050000002</v>
      </c>
    </row>
    <row r="396" spans="25:31" x14ac:dyDescent="0.3">
      <c r="Y396">
        <v>46229</v>
      </c>
      <c r="Z396">
        <v>17378842</v>
      </c>
      <c r="AA396" t="s">
        <v>68</v>
      </c>
      <c r="AB396">
        <v>46237</v>
      </c>
      <c r="AC396">
        <v>919.8</v>
      </c>
      <c r="AD396">
        <f t="shared" ca="1" si="30"/>
        <v>27</v>
      </c>
      <c r="AE396">
        <f t="shared" ca="1" si="31"/>
        <v>-26999.996040000002</v>
      </c>
    </row>
    <row r="397" spans="25:31" x14ac:dyDescent="0.3">
      <c r="Y397">
        <v>46236</v>
      </c>
      <c r="Z397">
        <v>17315959</v>
      </c>
      <c r="AA397" t="s">
        <v>68</v>
      </c>
      <c r="AB397">
        <v>46246</v>
      </c>
      <c r="AC397">
        <v>919.8</v>
      </c>
      <c r="AD397">
        <f t="shared" ca="1" si="30"/>
        <v>34</v>
      </c>
      <c r="AE397">
        <f t="shared" ca="1" si="31"/>
        <v>-33999.996030000002</v>
      </c>
    </row>
    <row r="398" spans="25:31" x14ac:dyDescent="0.3">
      <c r="Y398">
        <v>46086</v>
      </c>
      <c r="Z398">
        <v>15930535</v>
      </c>
      <c r="AA398" t="s">
        <v>206</v>
      </c>
      <c r="AB398">
        <v>46097</v>
      </c>
      <c r="AC398">
        <v>1846</v>
      </c>
      <c r="AD398">
        <f t="shared" ca="1" si="30"/>
        <v>-116</v>
      </c>
      <c r="AE398">
        <f t="shared" ca="1" si="31"/>
        <v>-10000000000</v>
      </c>
    </row>
    <row r="399" spans="25:31" x14ac:dyDescent="0.3">
      <c r="Y399">
        <v>46114</v>
      </c>
      <c r="Z399">
        <v>17338961</v>
      </c>
      <c r="AA399" t="s">
        <v>64</v>
      </c>
      <c r="AB399">
        <v>46122</v>
      </c>
      <c r="AC399">
        <v>588</v>
      </c>
      <c r="AD399">
        <f t="shared" ca="1" si="30"/>
        <v>-88</v>
      </c>
      <c r="AE399">
        <f t="shared" ca="1" si="31"/>
        <v>-10000000000</v>
      </c>
    </row>
    <row r="400" spans="25:31" x14ac:dyDescent="0.3">
      <c r="Y400">
        <v>46117</v>
      </c>
      <c r="Z400">
        <v>17340983</v>
      </c>
      <c r="AA400" t="s">
        <v>68</v>
      </c>
      <c r="AB400">
        <v>46124</v>
      </c>
      <c r="AC400">
        <v>910</v>
      </c>
      <c r="AD400">
        <f t="shared" ca="1" si="30"/>
        <v>-85</v>
      </c>
      <c r="AE400">
        <f t="shared" ca="1" si="31"/>
        <v>-10000000000</v>
      </c>
    </row>
    <row r="401" spans="25:31" x14ac:dyDescent="0.3">
      <c r="Y401">
        <v>46232</v>
      </c>
      <c r="Z401">
        <v>17348098</v>
      </c>
      <c r="AA401" t="s">
        <v>168</v>
      </c>
      <c r="AB401">
        <v>46238</v>
      </c>
      <c r="AC401">
        <v>812</v>
      </c>
      <c r="AD401">
        <f t="shared" ca="1" si="30"/>
        <v>30</v>
      </c>
      <c r="AE401">
        <f t="shared" ca="1" si="31"/>
        <v>-29999.995989999999</v>
      </c>
    </row>
    <row r="402" spans="25:31" x14ac:dyDescent="0.3">
      <c r="Y402">
        <v>46139.041666666599</v>
      </c>
      <c r="Z402">
        <v>17471493</v>
      </c>
      <c r="AA402" t="s">
        <v>62</v>
      </c>
      <c r="AB402">
        <v>46147.041666666599</v>
      </c>
      <c r="AC402">
        <v>1222</v>
      </c>
      <c r="AD402">
        <f t="shared" ca="1" si="30"/>
        <v>-62.958333333401242</v>
      </c>
      <c r="AE402">
        <f t="shared" ca="1" si="31"/>
        <v>-10000000000</v>
      </c>
    </row>
    <row r="403" spans="25:31" x14ac:dyDescent="0.3">
      <c r="Y403">
        <v>46128</v>
      </c>
      <c r="Z403">
        <v>16038768</v>
      </c>
      <c r="AA403" t="s">
        <v>67</v>
      </c>
      <c r="AB403">
        <v>46137.041666666599</v>
      </c>
      <c r="AC403">
        <v>0</v>
      </c>
      <c r="AD403">
        <f t="shared" ca="1" si="30"/>
        <v>-74</v>
      </c>
      <c r="AE403">
        <f t="shared" ca="1" si="31"/>
        <v>-10000000000</v>
      </c>
    </row>
    <row r="404" spans="25:31" x14ac:dyDescent="0.3">
      <c r="Y404">
        <v>46159.041666666599</v>
      </c>
      <c r="Z404">
        <v>17357305</v>
      </c>
      <c r="AA404" t="s">
        <v>168</v>
      </c>
      <c r="AB404">
        <v>46166.041666666599</v>
      </c>
      <c r="AC404">
        <v>812</v>
      </c>
      <c r="AD404">
        <f t="shared" ca="1" si="30"/>
        <v>-42.958333333401242</v>
      </c>
      <c r="AE404">
        <f t="shared" ca="1" si="31"/>
        <v>-10000000000</v>
      </c>
    </row>
    <row r="405" spans="25:31" x14ac:dyDescent="0.3">
      <c r="Y405">
        <v>46208</v>
      </c>
      <c r="Z405">
        <v>17357215</v>
      </c>
      <c r="AA405" t="s">
        <v>62</v>
      </c>
      <c r="AB405">
        <v>46217</v>
      </c>
      <c r="AC405">
        <v>1980</v>
      </c>
      <c r="AD405">
        <f t="shared" ca="1" si="30"/>
        <v>6</v>
      </c>
      <c r="AE405">
        <f t="shared" ca="1" si="31"/>
        <v>-5999.9959500000004</v>
      </c>
    </row>
    <row r="406" spans="25:31" x14ac:dyDescent="0.3">
      <c r="Y406">
        <v>46177</v>
      </c>
      <c r="Z406">
        <v>17359260</v>
      </c>
      <c r="AA406" t="s">
        <v>168</v>
      </c>
      <c r="AB406">
        <v>46185</v>
      </c>
      <c r="AC406">
        <v>1044</v>
      </c>
      <c r="AD406">
        <f t="shared" ca="1" si="30"/>
        <v>-25</v>
      </c>
      <c r="AE406">
        <f t="shared" ca="1" si="31"/>
        <v>-10000000000</v>
      </c>
    </row>
    <row r="407" spans="25:31" x14ac:dyDescent="0.3">
      <c r="Y407">
        <v>46239</v>
      </c>
      <c r="Z407">
        <v>17200614</v>
      </c>
      <c r="AA407" t="s">
        <v>64</v>
      </c>
      <c r="AB407">
        <v>46249</v>
      </c>
      <c r="AC407">
        <v>1764</v>
      </c>
      <c r="AD407">
        <f t="shared" ca="1" si="30"/>
        <v>37</v>
      </c>
      <c r="AE407">
        <f t="shared" ca="1" si="31"/>
        <v>-36999.995929999997</v>
      </c>
    </row>
    <row r="408" spans="25:31" x14ac:dyDescent="0.3">
      <c r="Y408">
        <v>46240</v>
      </c>
      <c r="Z408">
        <v>15439141</v>
      </c>
      <c r="AA408" t="s">
        <v>184</v>
      </c>
      <c r="AB408">
        <v>46249</v>
      </c>
      <c r="AC408">
        <v>618</v>
      </c>
      <c r="AD408">
        <f t="shared" ca="1" si="30"/>
        <v>38</v>
      </c>
      <c r="AE408">
        <f t="shared" ca="1" si="31"/>
        <v>-37999.995920000001</v>
      </c>
    </row>
    <row r="409" spans="25:31" x14ac:dyDescent="0.3">
      <c r="Y409">
        <v>46266</v>
      </c>
      <c r="Z409">
        <v>17467768</v>
      </c>
      <c r="AA409" t="s">
        <v>115</v>
      </c>
      <c r="AB409">
        <v>46273</v>
      </c>
      <c r="AC409">
        <v>1134</v>
      </c>
      <c r="AD409">
        <f t="shared" ca="1" si="30"/>
        <v>64</v>
      </c>
      <c r="AE409">
        <f t="shared" ca="1" si="31"/>
        <v>-10000000000</v>
      </c>
    </row>
    <row r="410" spans="25:31" x14ac:dyDescent="0.3">
      <c r="Y410">
        <v>46147.041666666599</v>
      </c>
      <c r="Z410">
        <v>17103496</v>
      </c>
      <c r="AA410" t="s">
        <v>121</v>
      </c>
      <c r="AB410">
        <v>46287</v>
      </c>
      <c r="AC410">
        <v>0</v>
      </c>
      <c r="AD410">
        <f t="shared" ca="1" si="30"/>
        <v>-54.958333333401242</v>
      </c>
      <c r="AE410">
        <f t="shared" ca="1" si="31"/>
        <v>-10000000000</v>
      </c>
    </row>
    <row r="411" spans="25:31" x14ac:dyDescent="0.3">
      <c r="Y411">
        <v>46285</v>
      </c>
      <c r="Z411">
        <v>17534235</v>
      </c>
      <c r="AA411" t="s">
        <v>62</v>
      </c>
      <c r="AB411">
        <v>46294</v>
      </c>
      <c r="AC411">
        <v>1311</v>
      </c>
      <c r="AD411">
        <f t="shared" ca="1" si="30"/>
        <v>83</v>
      </c>
      <c r="AE411">
        <f t="shared" ca="1" si="31"/>
        <v>-10000000000</v>
      </c>
    </row>
    <row r="412" spans="25:31" x14ac:dyDescent="0.3">
      <c r="Y412">
        <v>46275</v>
      </c>
      <c r="Z412">
        <v>17383304</v>
      </c>
      <c r="AA412" t="s">
        <v>168</v>
      </c>
      <c r="AB412">
        <v>46285</v>
      </c>
      <c r="AC412">
        <v>880</v>
      </c>
      <c r="AD412">
        <f t="shared" ca="1" si="30"/>
        <v>73</v>
      </c>
      <c r="AE412">
        <f t="shared" ca="1" si="31"/>
        <v>-10000000000</v>
      </c>
    </row>
    <row r="413" spans="25:31" x14ac:dyDescent="0.3">
      <c r="Y413">
        <v>46289</v>
      </c>
      <c r="Z413">
        <v>17634653</v>
      </c>
      <c r="AA413" t="s">
        <v>62</v>
      </c>
      <c r="AB413">
        <v>46297</v>
      </c>
      <c r="AC413">
        <v>1690</v>
      </c>
      <c r="AD413">
        <f t="shared" ca="1" si="30"/>
        <v>87</v>
      </c>
      <c r="AE413">
        <f t="shared" ca="1" si="31"/>
        <v>-10000000000</v>
      </c>
    </row>
    <row r="414" spans="25:31" x14ac:dyDescent="0.3">
      <c r="Y414">
        <v>46223</v>
      </c>
      <c r="Z414">
        <v>17387953</v>
      </c>
      <c r="AA414" t="s">
        <v>62</v>
      </c>
      <c r="AB414">
        <v>46233</v>
      </c>
      <c r="AC414">
        <v>784</v>
      </c>
      <c r="AD414">
        <f t="shared" ca="1" si="30"/>
        <v>21</v>
      </c>
      <c r="AE414">
        <f t="shared" ca="1" si="31"/>
        <v>-20999.995859999999</v>
      </c>
    </row>
    <row r="415" spans="25:31" x14ac:dyDescent="0.3">
      <c r="Y415">
        <v>46239</v>
      </c>
      <c r="Z415">
        <v>17391018</v>
      </c>
      <c r="AA415" t="s">
        <v>168</v>
      </c>
      <c r="AB415">
        <v>46249</v>
      </c>
      <c r="AC415">
        <v>892</v>
      </c>
      <c r="AD415">
        <f t="shared" ca="1" si="30"/>
        <v>37</v>
      </c>
      <c r="AE415">
        <f t="shared" ca="1" si="31"/>
        <v>-36999.995849999999</v>
      </c>
    </row>
    <row r="416" spans="25:31" x14ac:dyDescent="0.3">
      <c r="Y416">
        <v>46107</v>
      </c>
      <c r="Z416">
        <v>17409599</v>
      </c>
      <c r="AA416" t="s">
        <v>67</v>
      </c>
      <c r="AB416">
        <v>46114</v>
      </c>
      <c r="AC416">
        <v>1288</v>
      </c>
      <c r="AD416">
        <f t="shared" ca="1" si="30"/>
        <v>-95</v>
      </c>
      <c r="AE416">
        <f t="shared" ca="1" si="31"/>
        <v>-10000000000</v>
      </c>
    </row>
    <row r="417" spans="25:31" x14ac:dyDescent="0.3">
      <c r="Y417">
        <v>46099</v>
      </c>
      <c r="Z417">
        <v>16286903</v>
      </c>
      <c r="AA417" t="s">
        <v>111</v>
      </c>
      <c r="AB417">
        <v>46104</v>
      </c>
      <c r="AC417">
        <v>700</v>
      </c>
      <c r="AD417">
        <f t="shared" ca="1" si="30"/>
        <v>-103</v>
      </c>
      <c r="AE417">
        <f t="shared" ca="1" si="31"/>
        <v>-10000000000</v>
      </c>
    </row>
    <row r="418" spans="25:31" x14ac:dyDescent="0.3">
      <c r="Y418">
        <v>46275</v>
      </c>
      <c r="Z418">
        <v>17417340</v>
      </c>
      <c r="AA418" t="s">
        <v>168</v>
      </c>
      <c r="AB418">
        <v>46287</v>
      </c>
      <c r="AC418">
        <v>1732.5</v>
      </c>
      <c r="AD418">
        <f t="shared" ca="1" si="30"/>
        <v>73</v>
      </c>
      <c r="AE418">
        <f t="shared" ca="1" si="31"/>
        <v>-10000000000</v>
      </c>
    </row>
    <row r="419" spans="25:31" x14ac:dyDescent="0.3">
      <c r="Y419">
        <v>46117</v>
      </c>
      <c r="Z419">
        <v>17439715</v>
      </c>
      <c r="AA419" t="s">
        <v>115</v>
      </c>
      <c r="AB419">
        <v>46124</v>
      </c>
      <c r="AC419">
        <v>490</v>
      </c>
      <c r="AD419">
        <f t="shared" ca="1" si="30"/>
        <v>-85</v>
      </c>
      <c r="AE419">
        <f t="shared" ca="1" si="31"/>
        <v>-10000000000</v>
      </c>
    </row>
    <row r="420" spans="25:31" x14ac:dyDescent="0.3">
      <c r="Y420">
        <v>46110</v>
      </c>
      <c r="Z420">
        <v>17445935</v>
      </c>
      <c r="AA420" t="s">
        <v>80</v>
      </c>
      <c r="AB420">
        <v>46116</v>
      </c>
      <c r="AC420">
        <v>0</v>
      </c>
      <c r="AD420">
        <f t="shared" ca="1" si="30"/>
        <v>-92</v>
      </c>
      <c r="AE420">
        <f t="shared" ca="1" si="31"/>
        <v>-10000000000</v>
      </c>
    </row>
    <row r="421" spans="25:31" x14ac:dyDescent="0.3">
      <c r="Y421">
        <v>46289</v>
      </c>
      <c r="Z421">
        <v>16506822</v>
      </c>
      <c r="AA421" t="s">
        <v>133</v>
      </c>
      <c r="AB421">
        <v>46307</v>
      </c>
      <c r="AC421">
        <v>1170</v>
      </c>
      <c r="AD421">
        <f t="shared" ca="1" si="30"/>
        <v>87</v>
      </c>
      <c r="AE421">
        <f t="shared" ca="1" si="31"/>
        <v>-10000000000</v>
      </c>
    </row>
    <row r="422" spans="25:31" x14ac:dyDescent="0.3">
      <c r="Y422">
        <v>46117</v>
      </c>
      <c r="Z422">
        <v>16515140</v>
      </c>
      <c r="AA422" t="s">
        <v>210</v>
      </c>
      <c r="AB422">
        <v>46130</v>
      </c>
      <c r="AC422">
        <v>630</v>
      </c>
      <c r="AD422">
        <f t="shared" ca="1" si="30"/>
        <v>-85</v>
      </c>
      <c r="AE422">
        <f t="shared" ca="1" si="31"/>
        <v>-10000000000</v>
      </c>
    </row>
    <row r="423" spans="25:31" x14ac:dyDescent="0.3">
      <c r="Y423">
        <v>46289</v>
      </c>
      <c r="Z423">
        <v>17482767</v>
      </c>
      <c r="AA423" t="s">
        <v>62</v>
      </c>
      <c r="AB423">
        <v>46301</v>
      </c>
      <c r="AC423">
        <v>1300</v>
      </c>
      <c r="AD423">
        <f t="shared" ca="1" si="30"/>
        <v>87</v>
      </c>
      <c r="AE423">
        <f t="shared" ca="1" si="31"/>
        <v>-10000000000</v>
      </c>
    </row>
    <row r="424" spans="25:31" x14ac:dyDescent="0.3">
      <c r="Y424">
        <v>46153.041666666599</v>
      </c>
      <c r="Z424">
        <v>17550205</v>
      </c>
      <c r="AA424" t="s">
        <v>62</v>
      </c>
      <c r="AB424">
        <v>46165.041666666599</v>
      </c>
      <c r="AC424">
        <v>728</v>
      </c>
      <c r="AD424">
        <f t="shared" ca="1" si="30"/>
        <v>-48.958333333401242</v>
      </c>
      <c r="AE424">
        <f t="shared" ca="1" si="31"/>
        <v>-10000000000</v>
      </c>
    </row>
    <row r="425" spans="25:31" x14ac:dyDescent="0.3">
      <c r="Y425">
        <v>46176.041666666701</v>
      </c>
      <c r="Z425">
        <v>17482147</v>
      </c>
      <c r="AA425" t="s">
        <v>62</v>
      </c>
      <c r="AB425">
        <v>46182</v>
      </c>
      <c r="AC425">
        <v>658</v>
      </c>
      <c r="AD425">
        <f t="shared" ca="1" si="30"/>
        <v>-25.958333333299379</v>
      </c>
      <c r="AE425">
        <f t="shared" ca="1" si="31"/>
        <v>-10000000000</v>
      </c>
    </row>
    <row r="426" spans="25:31" x14ac:dyDescent="0.3">
      <c r="Y426">
        <v>46128</v>
      </c>
      <c r="Z426">
        <v>17484098</v>
      </c>
      <c r="AA426" t="s">
        <v>168</v>
      </c>
      <c r="AB426">
        <v>46137.041666666599</v>
      </c>
      <c r="AC426">
        <v>1107</v>
      </c>
      <c r="AD426">
        <f t="shared" ca="1" si="30"/>
        <v>-74</v>
      </c>
      <c r="AE426">
        <f t="shared" ca="1" si="31"/>
        <v>-10000000000</v>
      </c>
    </row>
    <row r="427" spans="25:31" x14ac:dyDescent="0.3">
      <c r="Y427">
        <v>46128</v>
      </c>
      <c r="Z427">
        <v>17484041</v>
      </c>
      <c r="AA427" t="s">
        <v>168</v>
      </c>
      <c r="AB427">
        <v>46137.041666666599</v>
      </c>
      <c r="AC427">
        <v>1107</v>
      </c>
      <c r="AD427">
        <f t="shared" ca="1" si="30"/>
        <v>-74</v>
      </c>
      <c r="AE427">
        <f t="shared" ca="1" si="31"/>
        <v>-10000000000</v>
      </c>
    </row>
    <row r="428" spans="25:31" x14ac:dyDescent="0.3">
      <c r="Y428">
        <v>46124</v>
      </c>
      <c r="Z428">
        <v>17486884</v>
      </c>
      <c r="AA428" t="s">
        <v>126</v>
      </c>
      <c r="AB428">
        <v>46131</v>
      </c>
      <c r="AC428">
        <v>0</v>
      </c>
      <c r="AD428">
        <f t="shared" ca="1" si="30"/>
        <v>-78</v>
      </c>
      <c r="AE428">
        <f t="shared" ca="1" si="31"/>
        <v>-10000000000</v>
      </c>
    </row>
    <row r="429" spans="25:31" x14ac:dyDescent="0.3">
      <c r="Y429">
        <v>46117</v>
      </c>
      <c r="Z429">
        <v>17487079</v>
      </c>
      <c r="AA429" t="s">
        <v>213</v>
      </c>
      <c r="AB429">
        <v>46124</v>
      </c>
      <c r="AC429">
        <v>560</v>
      </c>
      <c r="AD429">
        <f t="shared" ca="1" si="30"/>
        <v>-85</v>
      </c>
      <c r="AE429">
        <f t="shared" ca="1" si="31"/>
        <v>-10000000000</v>
      </c>
    </row>
    <row r="430" spans="25:31" x14ac:dyDescent="0.3">
      <c r="Y430">
        <v>46120</v>
      </c>
      <c r="Z430">
        <v>17487145</v>
      </c>
      <c r="AA430" t="s">
        <v>115</v>
      </c>
      <c r="AB430">
        <v>46128</v>
      </c>
      <c r="AC430">
        <v>532</v>
      </c>
      <c r="AD430">
        <f t="shared" ca="1" si="30"/>
        <v>-82</v>
      </c>
      <c r="AE430">
        <f t="shared" ca="1" si="31"/>
        <v>-10000000000</v>
      </c>
    </row>
    <row r="431" spans="25:31" x14ac:dyDescent="0.3">
      <c r="Y431">
        <v>46124</v>
      </c>
      <c r="Z431">
        <v>17489685</v>
      </c>
      <c r="AA431" t="s">
        <v>80</v>
      </c>
      <c r="AB431">
        <v>46131</v>
      </c>
      <c r="AC431">
        <v>2178</v>
      </c>
      <c r="AD431">
        <f t="shared" ca="1" si="30"/>
        <v>-78</v>
      </c>
      <c r="AE431">
        <f t="shared" ca="1" si="31"/>
        <v>-10000000000</v>
      </c>
    </row>
    <row r="432" spans="25:31" x14ac:dyDescent="0.3">
      <c r="Y432">
        <v>46124</v>
      </c>
      <c r="Z432">
        <v>17489687</v>
      </c>
      <c r="AA432" t="s">
        <v>80</v>
      </c>
      <c r="AB432">
        <v>46131</v>
      </c>
      <c r="AC432">
        <v>2937</v>
      </c>
      <c r="AD432">
        <f t="shared" ca="1" si="30"/>
        <v>-78</v>
      </c>
      <c r="AE432">
        <f t="shared" ca="1" si="31"/>
        <v>-10000000000</v>
      </c>
    </row>
    <row r="433" spans="25:31" x14ac:dyDescent="0.3">
      <c r="Y433">
        <v>46302</v>
      </c>
      <c r="Z433">
        <v>17322004</v>
      </c>
      <c r="AA433" t="s">
        <v>67</v>
      </c>
      <c r="AB433">
        <v>46309</v>
      </c>
      <c r="AC433">
        <v>1474.2</v>
      </c>
      <c r="AD433">
        <f t="shared" ca="1" si="30"/>
        <v>100</v>
      </c>
      <c r="AE433">
        <f t="shared" ca="1" si="31"/>
        <v>-10000000000</v>
      </c>
    </row>
    <row r="434" spans="25:31" x14ac:dyDescent="0.3">
      <c r="Y434">
        <v>46134</v>
      </c>
      <c r="Z434">
        <v>17502703</v>
      </c>
      <c r="AA434" t="s">
        <v>68</v>
      </c>
      <c r="AB434">
        <v>46142.041666666599</v>
      </c>
      <c r="AC434">
        <v>570</v>
      </c>
      <c r="AD434">
        <f t="shared" ca="1" si="30"/>
        <v>-68</v>
      </c>
      <c r="AE434">
        <f t="shared" ca="1" si="31"/>
        <v>-10000000000</v>
      </c>
    </row>
    <row r="435" spans="25:31" x14ac:dyDescent="0.3">
      <c r="Y435">
        <v>46194</v>
      </c>
      <c r="Z435">
        <v>17505580</v>
      </c>
      <c r="AA435" t="s">
        <v>68</v>
      </c>
      <c r="AB435">
        <v>46203</v>
      </c>
      <c r="AC435">
        <v>684.8</v>
      </c>
      <c r="AD435">
        <f t="shared" ca="1" si="30"/>
        <v>-8</v>
      </c>
      <c r="AE435">
        <f t="shared" ca="1" si="31"/>
        <v>-10000000000</v>
      </c>
    </row>
    <row r="436" spans="25:31" x14ac:dyDescent="0.3">
      <c r="Y436">
        <v>46229</v>
      </c>
      <c r="Z436">
        <v>17500830</v>
      </c>
      <c r="AA436" t="s">
        <v>168</v>
      </c>
      <c r="AB436">
        <v>46238</v>
      </c>
      <c r="AC436">
        <v>882</v>
      </c>
      <c r="AD436">
        <f t="shared" ca="1" si="30"/>
        <v>27</v>
      </c>
      <c r="AE436">
        <f t="shared" ca="1" si="31"/>
        <v>-26999.995640000001</v>
      </c>
    </row>
    <row r="437" spans="25:31" x14ac:dyDescent="0.3">
      <c r="Y437">
        <v>46231</v>
      </c>
      <c r="Z437">
        <v>17519261</v>
      </c>
      <c r="AA437" t="s">
        <v>67</v>
      </c>
      <c r="AB437">
        <v>46239</v>
      </c>
      <c r="AC437">
        <v>1914</v>
      </c>
      <c r="AD437">
        <f t="shared" ca="1" si="30"/>
        <v>29</v>
      </c>
      <c r="AE437">
        <f t="shared" ca="1" si="31"/>
        <v>-28999.995630000001</v>
      </c>
    </row>
    <row r="438" spans="25:31" x14ac:dyDescent="0.3">
      <c r="Y438">
        <v>46215</v>
      </c>
      <c r="Z438">
        <v>17524233</v>
      </c>
      <c r="AA438" t="s">
        <v>114</v>
      </c>
      <c r="AB438">
        <v>46225</v>
      </c>
      <c r="AC438">
        <v>0</v>
      </c>
      <c r="AD438">
        <f t="shared" ca="1" si="30"/>
        <v>13</v>
      </c>
      <c r="AE438">
        <f t="shared" ca="1" si="31"/>
        <v>-12999.99562</v>
      </c>
    </row>
    <row r="439" spans="25:31" x14ac:dyDescent="0.3">
      <c r="Y439">
        <v>46132</v>
      </c>
      <c r="Z439">
        <v>124</v>
      </c>
      <c r="AA439" t="s">
        <v>217</v>
      </c>
      <c r="AB439">
        <v>46137.041666666599</v>
      </c>
      <c r="AC439">
        <v>301</v>
      </c>
      <c r="AD439">
        <f t="shared" ca="1" si="30"/>
        <v>-70</v>
      </c>
      <c r="AE439">
        <f t="shared" ca="1" si="31"/>
        <v>-10000000000</v>
      </c>
    </row>
    <row r="440" spans="25:31" x14ac:dyDescent="0.3">
      <c r="Y440">
        <v>46306</v>
      </c>
      <c r="Z440">
        <v>17382349</v>
      </c>
      <c r="AA440" t="s">
        <v>62</v>
      </c>
      <c r="AB440">
        <v>46315</v>
      </c>
      <c r="AC440">
        <v>910</v>
      </c>
      <c r="AD440">
        <f t="shared" ca="1" si="30"/>
        <v>104</v>
      </c>
      <c r="AE440">
        <f t="shared" ca="1" si="31"/>
        <v>-10000000000</v>
      </c>
    </row>
    <row r="441" spans="25:31" x14ac:dyDescent="0.3">
      <c r="Y441">
        <v>46134</v>
      </c>
      <c r="Z441">
        <v>17529688</v>
      </c>
      <c r="AA441" t="s">
        <v>218</v>
      </c>
      <c r="AB441">
        <v>46141.041666666599</v>
      </c>
      <c r="AC441">
        <v>0</v>
      </c>
      <c r="AD441">
        <f t="shared" ca="1" si="30"/>
        <v>-68</v>
      </c>
      <c r="AE441">
        <f t="shared" ca="1" si="31"/>
        <v>-10000000000</v>
      </c>
    </row>
    <row r="442" spans="25:31" x14ac:dyDescent="0.3">
      <c r="Y442">
        <v>46159.041666666701</v>
      </c>
      <c r="Z442">
        <v>17533651</v>
      </c>
      <c r="AA442" t="s">
        <v>150</v>
      </c>
      <c r="AB442">
        <v>46166.041666666599</v>
      </c>
      <c r="AC442">
        <v>0</v>
      </c>
      <c r="AD442">
        <f t="shared" ca="1" si="30"/>
        <v>-42.958333333299379</v>
      </c>
      <c r="AE442">
        <f t="shared" ca="1" si="31"/>
        <v>-10000000000</v>
      </c>
    </row>
    <row r="443" spans="25:31" x14ac:dyDescent="0.3">
      <c r="Y443">
        <v>46229</v>
      </c>
      <c r="Z443">
        <v>17534028</v>
      </c>
      <c r="AA443" t="s">
        <v>68</v>
      </c>
      <c r="AB443">
        <v>46238</v>
      </c>
      <c r="AC443">
        <v>939.6</v>
      </c>
      <c r="AD443">
        <f t="shared" ca="1" si="30"/>
        <v>27</v>
      </c>
      <c r="AE443">
        <f t="shared" ca="1" si="31"/>
        <v>-26999.995569999999</v>
      </c>
    </row>
    <row r="444" spans="25:31" x14ac:dyDescent="0.3">
      <c r="Y444">
        <v>46306</v>
      </c>
      <c r="Z444">
        <v>17382350</v>
      </c>
      <c r="AA444" t="s">
        <v>62</v>
      </c>
      <c r="AB444">
        <v>46315</v>
      </c>
      <c r="AC444">
        <v>910</v>
      </c>
      <c r="AD444">
        <f t="shared" ca="1" si="30"/>
        <v>104</v>
      </c>
      <c r="AE444">
        <f t="shared" ca="1" si="31"/>
        <v>-10000000000</v>
      </c>
    </row>
    <row r="445" spans="25:31" x14ac:dyDescent="0.3">
      <c r="Y445">
        <v>46086</v>
      </c>
      <c r="Z445">
        <v>16096316</v>
      </c>
      <c r="AA445" t="s">
        <v>82</v>
      </c>
      <c r="AB445">
        <v>46169.041666666599</v>
      </c>
      <c r="AC445">
        <v>1408.125</v>
      </c>
      <c r="AD445">
        <f t="shared" ca="1" si="30"/>
        <v>-116</v>
      </c>
      <c r="AE445">
        <f t="shared" ca="1" si="31"/>
        <v>-10000000000</v>
      </c>
    </row>
    <row r="446" spans="25:31" x14ac:dyDescent="0.3">
      <c r="Y446">
        <v>46138.041666666599</v>
      </c>
      <c r="Z446">
        <v>17547665</v>
      </c>
      <c r="AA446" t="s">
        <v>68</v>
      </c>
      <c r="AB446">
        <v>46140.041666666599</v>
      </c>
      <c r="AC446">
        <v>670</v>
      </c>
      <c r="AD446">
        <f t="shared" ca="1" si="30"/>
        <v>-63.958333333401242</v>
      </c>
      <c r="AE446">
        <f t="shared" ca="1" si="31"/>
        <v>-10000000000</v>
      </c>
    </row>
    <row r="447" spans="25:31" x14ac:dyDescent="0.3">
      <c r="Y447">
        <v>46163.041666666599</v>
      </c>
      <c r="Z447">
        <v>17196429</v>
      </c>
      <c r="AA447" t="s">
        <v>62</v>
      </c>
      <c r="AB447">
        <v>46169.041666666599</v>
      </c>
      <c r="AC447">
        <v>658</v>
      </c>
      <c r="AD447">
        <f t="shared" ca="1" si="30"/>
        <v>-38.958333333401242</v>
      </c>
      <c r="AE447">
        <f t="shared" ca="1" si="31"/>
        <v>-10000000000</v>
      </c>
    </row>
    <row r="448" spans="25:31" x14ac:dyDescent="0.3">
      <c r="Y448">
        <v>46204</v>
      </c>
      <c r="Z448">
        <v>17556908</v>
      </c>
      <c r="AA448" t="s">
        <v>67</v>
      </c>
      <c r="AB448">
        <v>46217</v>
      </c>
      <c r="AC448">
        <v>896</v>
      </c>
      <c r="AD448">
        <f t="shared" ca="1" si="30"/>
        <v>2</v>
      </c>
      <c r="AE448">
        <f t="shared" ca="1" si="31"/>
        <v>-1999.9955199999999</v>
      </c>
    </row>
    <row r="449" spans="25:31" x14ac:dyDescent="0.3">
      <c r="Y449">
        <v>46162.041666666599</v>
      </c>
      <c r="Z449">
        <v>17133940</v>
      </c>
      <c r="AA449" t="s">
        <v>148</v>
      </c>
      <c r="AB449">
        <v>46170.041666666599</v>
      </c>
      <c r="AC449">
        <v>1094.4000000000001</v>
      </c>
      <c r="AD449">
        <f t="shared" ca="1" si="30"/>
        <v>-39.958333333401242</v>
      </c>
      <c r="AE449">
        <f t="shared" ca="1" si="31"/>
        <v>-10000000000</v>
      </c>
    </row>
    <row r="450" spans="25:31" x14ac:dyDescent="0.3">
      <c r="Y450">
        <v>46230</v>
      </c>
      <c r="Z450">
        <v>17188771</v>
      </c>
      <c r="AA450" t="s">
        <v>132</v>
      </c>
      <c r="AB450">
        <v>46238</v>
      </c>
      <c r="AC450">
        <v>728</v>
      </c>
      <c r="AD450">
        <f t="shared" ca="1" si="30"/>
        <v>28</v>
      </c>
      <c r="AE450">
        <f t="shared" ca="1" si="31"/>
        <v>-27999.995500000001</v>
      </c>
    </row>
    <row r="451" spans="25:31" x14ac:dyDescent="0.3">
      <c r="Y451">
        <v>46271</v>
      </c>
      <c r="Z451">
        <v>17232215</v>
      </c>
      <c r="AA451" t="s">
        <v>68</v>
      </c>
      <c r="AB451">
        <v>46281</v>
      </c>
      <c r="AC451">
        <v>2024</v>
      </c>
      <c r="AD451">
        <f t="shared" ca="1" si="30"/>
        <v>69</v>
      </c>
      <c r="AE451">
        <f t="shared" ca="1" si="31"/>
        <v>-10000000000</v>
      </c>
    </row>
    <row r="452" spans="25:31" x14ac:dyDescent="0.3">
      <c r="Y452">
        <v>46229</v>
      </c>
      <c r="Z452">
        <v>17615137</v>
      </c>
      <c r="AA452" t="s">
        <v>201</v>
      </c>
      <c r="AB452">
        <v>46238</v>
      </c>
      <c r="AC452">
        <v>1920</v>
      </c>
      <c r="AD452">
        <f t="shared" ref="AD452:AD458" ca="1" si="32">IF(Y452="","",Y452-TODAY())</f>
        <v>27</v>
      </c>
      <c r="AE452">
        <f t="shared" ref="AE452:AE458" ca="1" si="33">IF(OR(Y452="",AD452&lt;0,AD452&gt;60),-10000000000,-AD452*1000+ROW()/100000)</f>
        <v>-26999.995480000001</v>
      </c>
    </row>
    <row r="453" spans="25:31" x14ac:dyDescent="0.3">
      <c r="Y453">
        <v>46447</v>
      </c>
      <c r="Z453">
        <v>17626075</v>
      </c>
      <c r="AA453" t="s">
        <v>62</v>
      </c>
      <c r="AB453">
        <v>46455</v>
      </c>
      <c r="AC453">
        <v>1263.5999999999999</v>
      </c>
      <c r="AD453">
        <f t="shared" ca="1" si="32"/>
        <v>245</v>
      </c>
      <c r="AE453">
        <f t="shared" ca="1" si="33"/>
        <v>-10000000000</v>
      </c>
    </row>
    <row r="454" spans="25:31" x14ac:dyDescent="0.3">
      <c r="Y454">
        <v>46275</v>
      </c>
      <c r="Z454">
        <v>17628133</v>
      </c>
      <c r="AA454" t="s">
        <v>222</v>
      </c>
      <c r="AB454">
        <v>46285</v>
      </c>
      <c r="AC454">
        <v>1566</v>
      </c>
      <c r="AD454">
        <f t="shared" ca="1" si="32"/>
        <v>73</v>
      </c>
      <c r="AE454">
        <f t="shared" ca="1" si="33"/>
        <v>-10000000000</v>
      </c>
    </row>
    <row r="455" spans="25:31" x14ac:dyDescent="0.3">
      <c r="Y455">
        <v>46175</v>
      </c>
      <c r="Z455" t="s">
        <v>223</v>
      </c>
      <c r="AA455" t="s">
        <v>224</v>
      </c>
      <c r="AB455">
        <v>46180</v>
      </c>
      <c r="AC455">
        <v>721.03295269167995</v>
      </c>
      <c r="AD455">
        <f t="shared" ca="1" si="32"/>
        <v>-27</v>
      </c>
      <c r="AE455">
        <f t="shared" ca="1" si="33"/>
        <v>-10000000000</v>
      </c>
    </row>
    <row r="456" spans="25:31" x14ac:dyDescent="0.3">
      <c r="Y456">
        <v>46280</v>
      </c>
      <c r="Z456">
        <v>17633202</v>
      </c>
      <c r="AA456" t="s">
        <v>62</v>
      </c>
      <c r="AB456">
        <v>46287</v>
      </c>
      <c r="AC456">
        <v>1264</v>
      </c>
      <c r="AD456">
        <f t="shared" ca="1" si="32"/>
        <v>78</v>
      </c>
      <c r="AE456">
        <f t="shared" ca="1" si="33"/>
        <v>-10000000000</v>
      </c>
    </row>
    <row r="457" spans="25:31" x14ac:dyDescent="0.3">
      <c r="Y457">
        <v>46240</v>
      </c>
      <c r="Z457">
        <v>17634948</v>
      </c>
      <c r="AA457" t="s">
        <v>227</v>
      </c>
      <c r="AB457">
        <v>46250</v>
      </c>
      <c r="AC457">
        <v>658</v>
      </c>
      <c r="AD457">
        <f t="shared" ca="1" si="32"/>
        <v>38</v>
      </c>
      <c r="AE457">
        <f t="shared" ca="1" si="33"/>
        <v>-37999.995430000003</v>
      </c>
    </row>
    <row r="458" spans="25:31" x14ac:dyDescent="0.3">
      <c r="Y458">
        <v>46240</v>
      </c>
      <c r="Z458">
        <v>17635283</v>
      </c>
      <c r="AA458" t="s">
        <v>227</v>
      </c>
      <c r="AB458">
        <v>46250</v>
      </c>
      <c r="AC458">
        <v>945</v>
      </c>
      <c r="AD458">
        <f t="shared" ca="1" si="32"/>
        <v>38</v>
      </c>
      <c r="AE458">
        <f t="shared" ca="1" si="33"/>
        <v>-37999.995419999999</v>
      </c>
    </row>
  </sheetData>
  <mergeCells count="13">
    <mergeCell ref="Q1:W1"/>
    <mergeCell ref="J22:O22"/>
    <mergeCell ref="A1:O1"/>
    <mergeCell ref="A2:O2"/>
    <mergeCell ref="A4:B4"/>
    <mergeCell ref="C4:O4"/>
    <mergeCell ref="D5:O5"/>
    <mergeCell ref="D9:O9"/>
    <mergeCell ref="A40:H40"/>
    <mergeCell ref="A13:E13"/>
    <mergeCell ref="G13:J13"/>
    <mergeCell ref="L13:O13"/>
    <mergeCell ref="A22:H22"/>
  </mergeCells>
  <dataValidations count="4">
    <dataValidation type="list" allowBlank="1" showInputMessage="1" showErrorMessage="1" sqref="B7" xr:uid="{FB79CA8A-BBE7-4601-9F12-D88C2CB4FF65}">
      <formula1>"ALL,Confirmed,CXL,No Show"</formula1>
    </dataValidation>
    <dataValidation type="list" allowBlank="1" showInputMessage="1" showErrorMessage="1" sqref="B8" xr:uid="{32E5D2B2-DF87-4EBA-A5DE-94786AD0D2FE}">
      <formula1>"ALL,JMB,PAX,MYW"</formula1>
    </dataValidation>
    <dataValidation type="list" allowBlank="1" showInputMessage="1" showErrorMessage="1" sqref="B9" xr:uid="{CD338481-13AE-47EF-BF42-D305875233F1}">
      <formula1>"ALL,WE,UK,TUR,IT,EE"</formula1>
    </dataValidation>
    <dataValidation type="list" allowBlank="1" showInputMessage="1" showErrorMessage="1" sqref="B10" xr:uid="{DF570851-C1CA-40D4-B72D-1B21D408B0C1}">
      <formula1>"ALL,HRG,SSH,RMF"</formula1>
    </dataValidation>
  </dataValidations>
  <pageMargins left="0.7" right="0.7" top="0.75" bottom="0.75" header="0.3" footer="0.3"/>
  <drawing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3F3110-FA55-4F9D-BF30-4D42C4F133E3}">
  <sheetPr codeName="Sheet8">
    <tabColor rgb="FF00B050"/>
    <pageSetUpPr fitToPage="1"/>
  </sheetPr>
  <dimension ref="A1:XFC119"/>
  <sheetViews>
    <sheetView topLeftCell="BQ66" zoomScaleNormal="100" workbookViewId="0">
      <selection activeCell="BG1" sqref="BG1:CA92"/>
    </sheetView>
  </sheetViews>
  <sheetFormatPr defaultColWidth="9.109375" defaultRowHeight="14.4" x14ac:dyDescent="0.3"/>
  <cols>
    <col min="1" max="1" width="12" style="3" customWidth="1"/>
    <col min="2" max="2" width="12.33203125" style="3" customWidth="1"/>
    <col min="3" max="5" width="9.109375" style="3" customWidth="1"/>
    <col min="6" max="6" width="7.5546875" style="3" bestFit="1" customWidth="1"/>
    <col min="7" max="7" width="5" style="3" bestFit="1" customWidth="1"/>
    <col min="8" max="38" width="3.6640625" style="3" customWidth="1"/>
    <col min="39" max="39" width="2.109375" style="3" customWidth="1"/>
    <col min="40" max="58" width="9.109375" style="3"/>
    <col min="59" max="59" width="52.33203125" style="3" bestFit="1" customWidth="1"/>
    <col min="60" max="60" width="13.109375" style="3" bestFit="1" customWidth="1"/>
    <col min="61" max="61" width="10.33203125" style="10" bestFit="1" customWidth="1"/>
    <col min="62" max="62" width="13.109375" style="3" bestFit="1" customWidth="1"/>
    <col min="63" max="63" width="10.33203125" style="10" bestFit="1" customWidth="1"/>
    <col min="64" max="64" width="13.109375" style="3" bestFit="1" customWidth="1"/>
    <col min="65" max="65" width="10.33203125" style="10" bestFit="1" customWidth="1"/>
    <col min="66" max="66" width="13.109375" style="3" bestFit="1" customWidth="1"/>
    <col min="67" max="67" width="10.33203125" style="10" bestFit="1" customWidth="1"/>
    <col min="68" max="68" width="13.5546875" style="3" bestFit="1" customWidth="1"/>
    <col min="69" max="69" width="10.33203125" style="10" bestFit="1" customWidth="1"/>
    <col min="70" max="70" width="13.109375" style="3" bestFit="1" customWidth="1"/>
    <col min="71" max="71" width="8" style="3" bestFit="1" customWidth="1"/>
    <col min="72" max="72" width="13.109375" style="3" bestFit="1" customWidth="1"/>
    <col min="73" max="73" width="8" style="3" bestFit="1" customWidth="1"/>
    <col min="74" max="74" width="13.109375" style="3" bestFit="1" customWidth="1"/>
    <col min="75" max="75" width="8" style="3" bestFit="1" customWidth="1"/>
    <col min="76" max="76" width="13.109375" style="3" bestFit="1" customWidth="1"/>
    <col min="77" max="77" width="8" style="3" bestFit="1" customWidth="1"/>
    <col min="78" max="78" width="14.109375" style="3" bestFit="1" customWidth="1"/>
    <col min="79" max="79" width="9" style="3" bestFit="1" customWidth="1"/>
    <col min="80" max="80" width="14.109375" style="3" bestFit="1" customWidth="1"/>
    <col min="81" max="81" width="9" style="3" bestFit="1" customWidth="1"/>
    <col min="82" max="82" width="14.109375" style="3" bestFit="1" customWidth="1"/>
    <col min="83" max="83" width="9" style="3" bestFit="1" customWidth="1"/>
    <col min="84" max="84" width="14.109375" style="3" bestFit="1" customWidth="1"/>
    <col min="85" max="85" width="9" style="3" bestFit="1" customWidth="1"/>
    <col min="86" max="86" width="14.109375" style="3" bestFit="1" customWidth="1"/>
    <col min="87" max="87" width="9" style="3" bestFit="1" customWidth="1"/>
    <col min="88" max="88" width="14.109375" style="3" bestFit="1" customWidth="1"/>
    <col min="89" max="89" width="9" style="3" bestFit="1" customWidth="1"/>
    <col min="90" max="90" width="14.109375" style="3" bestFit="1" customWidth="1"/>
    <col min="91" max="91" width="9" style="3" bestFit="1" customWidth="1"/>
    <col min="92" max="92" width="14.109375" style="3" bestFit="1" customWidth="1"/>
    <col min="93" max="93" width="9" style="3" bestFit="1" customWidth="1"/>
    <col min="94" max="94" width="14.109375" style="3" bestFit="1" customWidth="1"/>
    <col min="95" max="95" width="9" style="3" bestFit="1" customWidth="1"/>
    <col min="96" max="96" width="14.109375" style="3" bestFit="1" customWidth="1"/>
    <col min="97" max="97" width="9" style="3" bestFit="1" customWidth="1"/>
    <col min="98" max="98" width="14.109375" style="3" bestFit="1" customWidth="1"/>
    <col min="99" max="99" width="9" style="3" bestFit="1" customWidth="1"/>
    <col min="100" max="16362" width="9.109375" style="3"/>
    <col min="16384" max="16384" width="9.109375" style="3"/>
  </cols>
  <sheetData>
    <row r="1" spans="1:99" x14ac:dyDescent="0.3">
      <c r="A1" s="74" t="s">
        <v>230</v>
      </c>
      <c r="B1" s="48"/>
      <c r="C1" s="368" t="s">
        <v>62</v>
      </c>
      <c r="D1" s="368"/>
      <c r="E1" s="368"/>
      <c r="F1" s="368"/>
      <c r="G1" s="368"/>
      <c r="H1" s="368"/>
      <c r="I1" s="73">
        <v>99</v>
      </c>
      <c r="J1" s="364" t="s">
        <v>231</v>
      </c>
      <c r="K1" s="364"/>
      <c r="L1" s="364"/>
      <c r="M1" s="364"/>
      <c r="BG1" s="71" t="s">
        <v>8</v>
      </c>
      <c r="BH1" s="71" t="s">
        <v>232</v>
      </c>
      <c r="BI1" s="72" t="s">
        <v>233</v>
      </c>
      <c r="BJ1" s="71" t="s">
        <v>234</v>
      </c>
      <c r="BK1" s="72" t="s">
        <v>235</v>
      </c>
      <c r="BL1" s="71" t="s">
        <v>236</v>
      </c>
      <c r="BM1" s="72" t="s">
        <v>237</v>
      </c>
      <c r="BN1" s="71" t="s">
        <v>238</v>
      </c>
      <c r="BO1" s="72" t="s">
        <v>239</v>
      </c>
      <c r="BP1" s="71" t="s">
        <v>240</v>
      </c>
      <c r="BQ1" s="72" t="s">
        <v>241</v>
      </c>
      <c r="BR1" s="71" t="s">
        <v>242</v>
      </c>
      <c r="BS1" s="71" t="s">
        <v>243</v>
      </c>
      <c r="BT1" s="71" t="s">
        <v>244</v>
      </c>
      <c r="BU1" s="71" t="s">
        <v>245</v>
      </c>
      <c r="BV1" s="71" t="s">
        <v>246</v>
      </c>
      <c r="BW1" s="71" t="s">
        <v>247</v>
      </c>
      <c r="BX1" s="71" t="s">
        <v>248</v>
      </c>
      <c r="BY1" s="71" t="s">
        <v>249</v>
      </c>
      <c r="BZ1" s="71" t="s">
        <v>250</v>
      </c>
      <c r="CA1" s="71" t="s">
        <v>251</v>
      </c>
      <c r="CB1" s="71" t="s">
        <v>252</v>
      </c>
      <c r="CC1" s="71" t="s">
        <v>253</v>
      </c>
      <c r="CD1" s="71" t="s">
        <v>254</v>
      </c>
      <c r="CE1" s="71" t="s">
        <v>255</v>
      </c>
      <c r="CF1" s="71" t="s">
        <v>256</v>
      </c>
      <c r="CG1" s="71" t="s">
        <v>257</v>
      </c>
      <c r="CH1" s="71" t="s">
        <v>258</v>
      </c>
      <c r="CI1" s="71" t="s">
        <v>259</v>
      </c>
      <c r="CJ1" s="71" t="s">
        <v>260</v>
      </c>
      <c r="CK1" s="71" t="s">
        <v>261</v>
      </c>
      <c r="CL1" s="71" t="s">
        <v>262</v>
      </c>
      <c r="CM1" s="71" t="s">
        <v>263</v>
      </c>
      <c r="CN1" s="71" t="s">
        <v>264</v>
      </c>
      <c r="CO1" s="71" t="s">
        <v>265</v>
      </c>
      <c r="CP1" s="71" t="s">
        <v>266</v>
      </c>
      <c r="CQ1" s="71" t="s">
        <v>267</v>
      </c>
      <c r="CR1" s="71" t="s">
        <v>268</v>
      </c>
      <c r="CS1" s="71" t="s">
        <v>269</v>
      </c>
      <c r="CT1" s="71" t="s">
        <v>270</v>
      </c>
      <c r="CU1" s="71" t="s">
        <v>271</v>
      </c>
    </row>
    <row r="2" spans="1:99" x14ac:dyDescent="0.3">
      <c r="A2" s="367" t="s">
        <v>272</v>
      </c>
      <c r="B2" s="367"/>
      <c r="BG2" s="14" t="s">
        <v>121</v>
      </c>
      <c r="BH2" s="11" t="s">
        <v>1402</v>
      </c>
      <c r="BI2" s="12">
        <v>4</v>
      </c>
      <c r="BJ2" s="13" t="s">
        <v>1403</v>
      </c>
      <c r="BK2" s="12">
        <v>2</v>
      </c>
      <c r="BL2" s="11" t="s">
        <v>1405</v>
      </c>
      <c r="BM2" s="12">
        <v>1</v>
      </c>
      <c r="BN2" s="13" t="s">
        <v>1406</v>
      </c>
      <c r="BO2" s="12">
        <v>1</v>
      </c>
      <c r="BP2" s="11" t="s">
        <v>1407</v>
      </c>
      <c r="BQ2" s="12">
        <v>1</v>
      </c>
      <c r="BR2" s="13" t="s">
        <v>1408</v>
      </c>
      <c r="BS2" s="12">
        <v>1</v>
      </c>
      <c r="BT2" s="11"/>
      <c r="BU2" s="12"/>
      <c r="BV2" s="13"/>
      <c r="BW2" s="12"/>
      <c r="BX2" s="11"/>
      <c r="BY2" s="12"/>
      <c r="BZ2" s="11"/>
      <c r="CA2" s="12"/>
      <c r="CB2" s="11"/>
      <c r="CC2" s="12"/>
      <c r="CD2" s="11"/>
      <c r="CE2" s="12"/>
      <c r="CF2" s="11"/>
      <c r="CG2" s="12"/>
      <c r="CH2" s="11"/>
      <c r="CI2" s="12"/>
      <c r="CJ2" s="11"/>
      <c r="CK2" s="12"/>
      <c r="CL2" s="11"/>
      <c r="CM2" s="11"/>
      <c r="CN2" s="11"/>
      <c r="CO2" s="11"/>
      <c r="CP2" s="11"/>
      <c r="CQ2" s="11"/>
      <c r="CR2" s="11"/>
      <c r="CS2" s="11"/>
      <c r="CT2" s="11"/>
      <c r="CU2" s="11"/>
    </row>
    <row r="3" spans="1:99" x14ac:dyDescent="0.3">
      <c r="A3" s="70" t="s">
        <v>276</v>
      </c>
      <c r="B3" s="70" t="s">
        <v>277</v>
      </c>
      <c r="BG3" s="14" t="s">
        <v>1388</v>
      </c>
      <c r="BH3" s="13" t="s">
        <v>1402</v>
      </c>
      <c r="BI3" s="12">
        <v>2</v>
      </c>
      <c r="BJ3" s="11" t="s">
        <v>1409</v>
      </c>
      <c r="BK3" s="12">
        <v>2</v>
      </c>
      <c r="BL3" s="13"/>
      <c r="BM3" s="12"/>
      <c r="BN3" s="11"/>
      <c r="BO3" s="12"/>
      <c r="BP3" s="13"/>
      <c r="BQ3" s="12"/>
      <c r="BR3" s="11"/>
      <c r="BS3" s="12"/>
      <c r="BT3" s="13"/>
      <c r="BU3" s="12"/>
      <c r="BV3" s="11"/>
      <c r="BW3" s="12"/>
      <c r="BX3" s="13"/>
      <c r="BY3" s="12"/>
      <c r="BZ3" s="11"/>
      <c r="CA3" s="12"/>
      <c r="CB3" s="11"/>
      <c r="CC3" s="12"/>
      <c r="CD3" s="11"/>
      <c r="CE3" s="12"/>
      <c r="CF3" s="11"/>
      <c r="CG3" s="12"/>
      <c r="CH3" s="11"/>
      <c r="CI3" s="12"/>
      <c r="CJ3" s="11"/>
      <c r="CK3" s="12"/>
      <c r="CL3" s="11"/>
      <c r="CM3" s="11"/>
      <c r="CN3" s="11"/>
      <c r="CO3" s="11"/>
      <c r="CP3" s="11"/>
      <c r="CQ3" s="11"/>
      <c r="CR3" s="11"/>
      <c r="CS3" s="11"/>
      <c r="CT3" s="11"/>
      <c r="CU3" s="11"/>
    </row>
    <row r="4" spans="1:99" x14ac:dyDescent="0.3">
      <c r="A4" s="69">
        <v>46174</v>
      </c>
      <c r="B4" s="68">
        <v>46203</v>
      </c>
      <c r="BG4" s="14" t="s">
        <v>168</v>
      </c>
      <c r="BH4" s="11" t="s">
        <v>1410</v>
      </c>
      <c r="BI4" s="12">
        <v>2</v>
      </c>
      <c r="BJ4" s="13" t="s">
        <v>1411</v>
      </c>
      <c r="BK4" s="12">
        <v>2</v>
      </c>
      <c r="BL4" s="11" t="s">
        <v>1412</v>
      </c>
      <c r="BM4" s="12">
        <v>2</v>
      </c>
      <c r="BN4" s="13" t="s">
        <v>1413</v>
      </c>
      <c r="BO4" s="12">
        <v>1</v>
      </c>
      <c r="BP4" s="11" t="s">
        <v>1414</v>
      </c>
      <c r="BQ4" s="12">
        <v>1</v>
      </c>
      <c r="BR4" s="13"/>
      <c r="BS4" s="12"/>
      <c r="BT4" s="11"/>
      <c r="BU4" s="12"/>
      <c r="BV4" s="11"/>
      <c r="BW4" s="12"/>
      <c r="BX4" s="11"/>
      <c r="BY4" s="12"/>
      <c r="BZ4" s="11"/>
      <c r="CA4" s="12"/>
      <c r="CB4" s="11"/>
      <c r="CC4" s="12"/>
      <c r="CD4" s="11"/>
      <c r="CE4" s="12"/>
      <c r="CF4" s="11"/>
      <c r="CG4" s="12"/>
      <c r="CH4" s="11"/>
      <c r="CI4" s="12"/>
      <c r="CJ4" s="11"/>
      <c r="CK4" s="12"/>
      <c r="CL4" s="11"/>
      <c r="CM4" s="11"/>
      <c r="CN4" s="11"/>
      <c r="CO4" s="11"/>
      <c r="CP4" s="11"/>
      <c r="CQ4" s="11"/>
      <c r="CR4" s="11"/>
      <c r="CS4" s="11"/>
      <c r="CT4" s="11"/>
      <c r="CU4" s="11"/>
    </row>
    <row r="5" spans="1:99" x14ac:dyDescent="0.3">
      <c r="A5" s="68"/>
      <c r="BG5" s="14" t="s">
        <v>1389</v>
      </c>
      <c r="BH5" s="11" t="s">
        <v>1402</v>
      </c>
      <c r="BI5" s="12">
        <v>2</v>
      </c>
      <c r="BJ5" s="13" t="s">
        <v>1415</v>
      </c>
      <c r="BK5" s="12">
        <v>2</v>
      </c>
      <c r="BL5" s="11" t="s">
        <v>1416</v>
      </c>
      <c r="BM5" s="12">
        <v>2</v>
      </c>
      <c r="BN5" s="13" t="s">
        <v>1417</v>
      </c>
      <c r="BO5" s="12">
        <v>2</v>
      </c>
      <c r="BP5" s="11"/>
      <c r="BQ5" s="12"/>
      <c r="BR5" s="60"/>
      <c r="BS5" s="12"/>
      <c r="BT5" s="60"/>
      <c r="BU5" s="12"/>
      <c r="BV5" s="11"/>
      <c r="BW5" s="12"/>
      <c r="BX5" s="11"/>
      <c r="BY5" s="12"/>
      <c r="BZ5" s="11"/>
      <c r="CA5" s="12"/>
      <c r="CB5" s="11"/>
      <c r="CC5" s="12"/>
      <c r="CD5" s="11"/>
      <c r="CE5" s="12"/>
      <c r="CF5" s="11"/>
      <c r="CG5" s="12"/>
      <c r="CH5" s="11"/>
      <c r="CI5" s="12"/>
      <c r="CJ5" s="11"/>
      <c r="CK5" s="12"/>
      <c r="CL5" s="11"/>
      <c r="CM5" s="11"/>
      <c r="CN5" s="11"/>
      <c r="CO5" s="11"/>
      <c r="CP5" s="11"/>
      <c r="CQ5" s="11"/>
      <c r="CR5" s="11"/>
      <c r="CS5" s="11"/>
      <c r="CT5" s="11"/>
      <c r="CU5" s="11"/>
    </row>
    <row r="6" spans="1:99" ht="14.4" customHeight="1" x14ac:dyDescent="0.3">
      <c r="A6" s="67"/>
      <c r="B6" s="67"/>
      <c r="C6" s="67"/>
      <c r="D6" s="67"/>
      <c r="E6" s="67"/>
      <c r="F6" s="67"/>
      <c r="G6" s="67"/>
      <c r="H6" s="66">
        <f>$A$4</f>
        <v>46174</v>
      </c>
      <c r="I6" s="66">
        <f t="shared" ref="I6:AL6" si="0">H6+1</f>
        <v>46175</v>
      </c>
      <c r="J6" s="66">
        <f t="shared" si="0"/>
        <v>46176</v>
      </c>
      <c r="K6" s="66">
        <f t="shared" si="0"/>
        <v>46177</v>
      </c>
      <c r="L6" s="66">
        <f t="shared" si="0"/>
        <v>46178</v>
      </c>
      <c r="M6" s="66">
        <f t="shared" si="0"/>
        <v>46179</v>
      </c>
      <c r="N6" s="66">
        <f t="shared" si="0"/>
        <v>46180</v>
      </c>
      <c r="O6" s="66">
        <f t="shared" si="0"/>
        <v>46181</v>
      </c>
      <c r="P6" s="66">
        <f t="shared" si="0"/>
        <v>46182</v>
      </c>
      <c r="Q6" s="66">
        <f t="shared" si="0"/>
        <v>46183</v>
      </c>
      <c r="R6" s="66">
        <f t="shared" si="0"/>
        <v>46184</v>
      </c>
      <c r="S6" s="66">
        <f t="shared" si="0"/>
        <v>46185</v>
      </c>
      <c r="T6" s="66">
        <f t="shared" si="0"/>
        <v>46186</v>
      </c>
      <c r="U6" s="66">
        <f t="shared" si="0"/>
        <v>46187</v>
      </c>
      <c r="V6" s="66">
        <f t="shared" si="0"/>
        <v>46188</v>
      </c>
      <c r="W6" s="66">
        <f t="shared" si="0"/>
        <v>46189</v>
      </c>
      <c r="X6" s="66">
        <f t="shared" si="0"/>
        <v>46190</v>
      </c>
      <c r="Y6" s="66">
        <f t="shared" si="0"/>
        <v>46191</v>
      </c>
      <c r="Z6" s="66">
        <f t="shared" si="0"/>
        <v>46192</v>
      </c>
      <c r="AA6" s="66">
        <f t="shared" si="0"/>
        <v>46193</v>
      </c>
      <c r="AB6" s="66">
        <f t="shared" si="0"/>
        <v>46194</v>
      </c>
      <c r="AC6" s="66">
        <f t="shared" si="0"/>
        <v>46195</v>
      </c>
      <c r="AD6" s="66">
        <f t="shared" si="0"/>
        <v>46196</v>
      </c>
      <c r="AE6" s="66">
        <f t="shared" si="0"/>
        <v>46197</v>
      </c>
      <c r="AF6" s="66">
        <f t="shared" si="0"/>
        <v>46198</v>
      </c>
      <c r="AG6" s="66">
        <f t="shared" si="0"/>
        <v>46199</v>
      </c>
      <c r="AH6" s="66">
        <f t="shared" si="0"/>
        <v>46200</v>
      </c>
      <c r="AI6" s="66">
        <f t="shared" si="0"/>
        <v>46201</v>
      </c>
      <c r="AJ6" s="66">
        <f t="shared" si="0"/>
        <v>46202</v>
      </c>
      <c r="AK6" s="66">
        <f t="shared" si="0"/>
        <v>46203</v>
      </c>
      <c r="AL6" s="66">
        <f t="shared" si="0"/>
        <v>46204</v>
      </c>
      <c r="AM6" s="65"/>
      <c r="BG6" s="14" t="s">
        <v>166</v>
      </c>
      <c r="BH6" s="13" t="s">
        <v>1418</v>
      </c>
      <c r="BI6" s="12">
        <v>2</v>
      </c>
      <c r="BJ6" s="11" t="s">
        <v>1419</v>
      </c>
      <c r="BK6" s="12">
        <v>1</v>
      </c>
      <c r="BL6" s="13" t="s">
        <v>1420</v>
      </c>
      <c r="BM6" s="12">
        <v>1</v>
      </c>
      <c r="BN6" s="11" t="s">
        <v>1421</v>
      </c>
      <c r="BO6" s="12">
        <v>1</v>
      </c>
      <c r="BP6" s="13" t="s">
        <v>1422</v>
      </c>
      <c r="BQ6" s="12">
        <v>0</v>
      </c>
      <c r="BR6" s="60"/>
      <c r="BS6" s="12"/>
      <c r="BT6" s="60"/>
      <c r="BU6" s="12"/>
      <c r="BV6" s="11"/>
      <c r="BW6" s="12"/>
      <c r="BX6" s="11"/>
      <c r="BY6" s="12"/>
      <c r="BZ6" s="11"/>
      <c r="CA6" s="12"/>
      <c r="CB6" s="11"/>
      <c r="CC6" s="12"/>
      <c r="CD6" s="11"/>
      <c r="CE6" s="12"/>
      <c r="CF6" s="11"/>
      <c r="CG6" s="12"/>
      <c r="CH6" s="11"/>
      <c r="CI6" s="12"/>
      <c r="CJ6" s="11"/>
      <c r="CK6" s="12"/>
      <c r="CL6" s="11"/>
      <c r="CM6" s="11"/>
      <c r="CN6" s="11"/>
      <c r="CO6" s="11"/>
      <c r="CP6" s="11"/>
      <c r="CQ6" s="11"/>
      <c r="CR6" s="11"/>
      <c r="CS6" s="11"/>
      <c r="CT6" s="11"/>
      <c r="CU6" s="11"/>
    </row>
    <row r="7" spans="1:99" x14ac:dyDescent="0.3">
      <c r="A7" s="53" t="str">
        <f>VLOOKUP($C$1,$BG$2:$BU$119,2,FALSE)</f>
        <v>Premium Room</v>
      </c>
      <c r="B7" s="52"/>
      <c r="C7" s="52"/>
      <c r="D7" s="51"/>
      <c r="E7" s="365" t="s">
        <v>278</v>
      </c>
      <c r="F7" s="366"/>
      <c r="G7" s="49" t="s">
        <v>279</v>
      </c>
      <c r="H7" s="48">
        <v>1</v>
      </c>
      <c r="I7" s="48">
        <v>2</v>
      </c>
      <c r="J7" s="48">
        <v>3</v>
      </c>
      <c r="K7" s="48">
        <v>4</v>
      </c>
      <c r="L7" s="48">
        <v>5</v>
      </c>
      <c r="M7" s="48">
        <v>6</v>
      </c>
      <c r="N7" s="48">
        <v>7</v>
      </c>
      <c r="O7" s="48">
        <v>8</v>
      </c>
      <c r="P7" s="48">
        <v>9</v>
      </c>
      <c r="Q7" s="48">
        <v>10</v>
      </c>
      <c r="R7" s="48">
        <v>11</v>
      </c>
      <c r="S7" s="48">
        <v>12</v>
      </c>
      <c r="T7" s="48">
        <v>13</v>
      </c>
      <c r="U7" s="48">
        <v>14</v>
      </c>
      <c r="V7" s="48">
        <v>15</v>
      </c>
      <c r="W7" s="48">
        <v>16</v>
      </c>
      <c r="X7" s="48">
        <v>17</v>
      </c>
      <c r="Y7" s="48">
        <v>18</v>
      </c>
      <c r="Z7" s="48">
        <v>19</v>
      </c>
      <c r="AA7" s="48">
        <v>20</v>
      </c>
      <c r="AB7" s="48">
        <v>21</v>
      </c>
      <c r="AC7" s="48">
        <v>22</v>
      </c>
      <c r="AD7" s="48">
        <v>23</v>
      </c>
      <c r="AE7" s="48">
        <v>24</v>
      </c>
      <c r="AF7" s="48">
        <v>25</v>
      </c>
      <c r="AG7" s="48">
        <v>26</v>
      </c>
      <c r="AH7" s="48">
        <v>27</v>
      </c>
      <c r="AI7" s="48">
        <v>28</v>
      </c>
      <c r="AJ7" s="48">
        <v>29</v>
      </c>
      <c r="AK7" s="48">
        <v>30</v>
      </c>
      <c r="AL7" s="47">
        <v>31</v>
      </c>
      <c r="BG7" s="14" t="s">
        <v>151</v>
      </c>
      <c r="BH7" s="13" t="s">
        <v>1423</v>
      </c>
      <c r="BI7" s="12"/>
      <c r="BJ7" s="11" t="s">
        <v>1424</v>
      </c>
      <c r="BK7" s="12"/>
      <c r="BL7" s="13" t="s">
        <v>1425</v>
      </c>
      <c r="BM7" s="12"/>
      <c r="BN7" s="11" t="s">
        <v>1426</v>
      </c>
      <c r="BO7" s="12"/>
      <c r="BP7" s="13"/>
      <c r="BQ7" s="12"/>
      <c r="BR7" s="60"/>
      <c r="BS7" s="12"/>
      <c r="BT7" s="60"/>
      <c r="BU7" s="12"/>
      <c r="BV7" s="11"/>
      <c r="BW7" s="12"/>
      <c r="BX7" s="11"/>
      <c r="BY7" s="12"/>
      <c r="BZ7" s="11"/>
      <c r="CA7" s="12"/>
      <c r="CB7" s="11"/>
      <c r="CC7" s="12"/>
      <c r="CD7" s="11"/>
      <c r="CE7" s="12"/>
      <c r="CF7" s="11"/>
      <c r="CG7" s="12"/>
      <c r="CH7" s="11"/>
      <c r="CI7" s="12"/>
      <c r="CJ7" s="11"/>
      <c r="CK7" s="12"/>
      <c r="CL7" s="11"/>
      <c r="CM7" s="11"/>
      <c r="CN7" s="11"/>
      <c r="CO7" s="11"/>
      <c r="CP7" s="11"/>
      <c r="CQ7" s="11"/>
      <c r="CR7" s="11"/>
      <c r="CS7" s="11"/>
      <c r="CT7" s="11"/>
      <c r="CU7" s="11"/>
    </row>
    <row r="8" spans="1:99" x14ac:dyDescent="0.3">
      <c r="A8" s="43"/>
      <c r="D8" s="42"/>
      <c r="E8" s="41" t="s">
        <v>280</v>
      </c>
      <c r="F8" s="25">
        <f>SUM(H8:AL8)</f>
        <v>124</v>
      </c>
      <c r="G8" s="4" t="s">
        <v>281</v>
      </c>
      <c r="H8" s="25">
        <f t="shared" ref="H8:AL8" si="1">VLOOKUP($C$1,$BG$2:$CU$119,3,FALSE)</f>
        <v>4</v>
      </c>
      <c r="I8" s="25">
        <f t="shared" si="1"/>
        <v>4</v>
      </c>
      <c r="J8" s="25">
        <f t="shared" si="1"/>
        <v>4</v>
      </c>
      <c r="K8" s="25">
        <f t="shared" si="1"/>
        <v>4</v>
      </c>
      <c r="L8" s="25">
        <f t="shared" si="1"/>
        <v>4</v>
      </c>
      <c r="M8" s="25">
        <f t="shared" si="1"/>
        <v>4</v>
      </c>
      <c r="N8" s="25">
        <f t="shared" si="1"/>
        <v>4</v>
      </c>
      <c r="O8" s="25">
        <f t="shared" si="1"/>
        <v>4</v>
      </c>
      <c r="P8" s="25">
        <f t="shared" si="1"/>
        <v>4</v>
      </c>
      <c r="Q8" s="25">
        <f t="shared" si="1"/>
        <v>4</v>
      </c>
      <c r="R8" s="25">
        <f t="shared" si="1"/>
        <v>4</v>
      </c>
      <c r="S8" s="25">
        <f t="shared" si="1"/>
        <v>4</v>
      </c>
      <c r="T8" s="25">
        <f t="shared" si="1"/>
        <v>4</v>
      </c>
      <c r="U8" s="25">
        <f t="shared" si="1"/>
        <v>4</v>
      </c>
      <c r="V8" s="25">
        <f t="shared" si="1"/>
        <v>4</v>
      </c>
      <c r="W8" s="25">
        <f t="shared" si="1"/>
        <v>4</v>
      </c>
      <c r="X8" s="25">
        <f t="shared" si="1"/>
        <v>4</v>
      </c>
      <c r="Y8" s="25">
        <f t="shared" si="1"/>
        <v>4</v>
      </c>
      <c r="Z8" s="25">
        <f t="shared" si="1"/>
        <v>4</v>
      </c>
      <c r="AA8" s="25">
        <f t="shared" si="1"/>
        <v>4</v>
      </c>
      <c r="AB8" s="25">
        <f t="shared" si="1"/>
        <v>4</v>
      </c>
      <c r="AC8" s="25">
        <f t="shared" si="1"/>
        <v>4</v>
      </c>
      <c r="AD8" s="25">
        <f t="shared" si="1"/>
        <v>4</v>
      </c>
      <c r="AE8" s="25">
        <f t="shared" si="1"/>
        <v>4</v>
      </c>
      <c r="AF8" s="25">
        <f t="shared" si="1"/>
        <v>4</v>
      </c>
      <c r="AG8" s="25">
        <f t="shared" si="1"/>
        <v>4</v>
      </c>
      <c r="AH8" s="25">
        <f t="shared" si="1"/>
        <v>4</v>
      </c>
      <c r="AI8" s="25">
        <f t="shared" si="1"/>
        <v>4</v>
      </c>
      <c r="AJ8" s="25">
        <f t="shared" si="1"/>
        <v>4</v>
      </c>
      <c r="AK8" s="25">
        <f t="shared" si="1"/>
        <v>4</v>
      </c>
      <c r="AL8" s="44">
        <f t="shared" si="1"/>
        <v>4</v>
      </c>
      <c r="BG8" s="14" t="s">
        <v>1390</v>
      </c>
      <c r="BH8" s="11" t="s">
        <v>1427</v>
      </c>
      <c r="BI8" s="12"/>
      <c r="BJ8" s="13" t="s">
        <v>1428</v>
      </c>
      <c r="BK8" s="12"/>
      <c r="BL8" s="11" t="s">
        <v>1429</v>
      </c>
      <c r="BM8" s="12"/>
      <c r="BN8" s="13" t="s">
        <v>1430</v>
      </c>
      <c r="BO8" s="12"/>
      <c r="BP8" s="11" t="s">
        <v>1431</v>
      </c>
      <c r="BQ8" s="12"/>
      <c r="BR8" s="13" t="s">
        <v>1432</v>
      </c>
      <c r="BS8" s="12"/>
      <c r="BT8" s="60" t="s">
        <v>1433</v>
      </c>
      <c r="BU8" s="12"/>
      <c r="BV8" s="11" t="s">
        <v>1434</v>
      </c>
      <c r="BW8" s="12"/>
      <c r="BX8" s="11" t="s">
        <v>1435</v>
      </c>
      <c r="BY8" s="12"/>
      <c r="BZ8" s="11" t="s">
        <v>1436</v>
      </c>
      <c r="CA8" s="12"/>
      <c r="CB8" s="11"/>
      <c r="CC8" s="12"/>
      <c r="CD8" s="11"/>
      <c r="CE8" s="12"/>
      <c r="CF8" s="11"/>
      <c r="CG8" s="12"/>
      <c r="CH8" s="11"/>
      <c r="CI8" s="12"/>
      <c r="CJ8" s="11"/>
      <c r="CK8" s="12"/>
      <c r="CL8" s="11"/>
      <c r="CM8" s="11"/>
      <c r="CN8" s="11"/>
      <c r="CO8" s="11"/>
      <c r="CP8" s="11"/>
      <c r="CQ8" s="11"/>
      <c r="CR8" s="11"/>
      <c r="CS8" s="11"/>
      <c r="CT8" s="11"/>
      <c r="CU8" s="11"/>
    </row>
    <row r="9" spans="1:99" x14ac:dyDescent="0.3">
      <c r="A9" s="43"/>
      <c r="D9" s="42"/>
      <c r="E9" s="41" t="s">
        <v>282</v>
      </c>
      <c r="F9" s="25">
        <f>SUM(H9:AL9)</f>
        <v>17</v>
      </c>
      <c r="G9" s="4" t="s">
        <v>283</v>
      </c>
      <c r="H9" s="25">
        <f>SUMIFS('BKG Bank'!$O:$O,'BKG Bank'!$J:$J,$A7,'BKG Bank'!$I:$I,$C$1,'BKG Bank'!$K:$K,"&lt;="&amp;H$6,'BKG Bank'!$L:$L,"&gt;"&amp;H$6)</f>
        <v>1</v>
      </c>
      <c r="I9" s="25">
        <f>SUMIFS('BKG Bank'!$O:$O,'BKG Bank'!$J:$J,$A7,'BKG Bank'!$I:$I,$C$1,'BKG Bank'!$K:$K,"&lt;="&amp;I$6,'BKG Bank'!$L:$L,"&gt;"&amp;I$6)</f>
        <v>1</v>
      </c>
      <c r="J9" s="25">
        <f>SUMIFS('BKG Bank'!$O:$O,'BKG Bank'!$J:$J,$A7,'BKG Bank'!$I:$I,$C$1,'BKG Bank'!$K:$K,"&lt;="&amp;J$6,'BKG Bank'!$L:$L,"&gt;"&amp;J$6)</f>
        <v>1</v>
      </c>
      <c r="K9" s="25">
        <f>SUMIFS('BKG Bank'!$O:$O,'BKG Bank'!$J:$J,$A7,'BKG Bank'!$I:$I,$C$1,'BKG Bank'!$K:$K,"&lt;="&amp;K$6,'BKG Bank'!$L:$L,"&gt;"&amp;K$6)</f>
        <v>1</v>
      </c>
      <c r="L9" s="25">
        <f>SUMIFS('BKG Bank'!$O:$O,'BKG Bank'!$J:$J,$A7,'BKG Bank'!$I:$I,$C$1,'BKG Bank'!$K:$K,"&lt;="&amp;L$6,'BKG Bank'!$L:$L,"&gt;"&amp;L$6)</f>
        <v>1</v>
      </c>
      <c r="M9" s="25">
        <f>SUMIFS('BKG Bank'!$O:$O,'BKG Bank'!$J:$J,$A7,'BKG Bank'!$I:$I,$C$1,'BKG Bank'!$K:$K,"&lt;="&amp;M$6,'BKG Bank'!$L:$L,"&gt;"&amp;M$6)</f>
        <v>1</v>
      </c>
      <c r="N9" s="25">
        <f>SUMIFS('BKG Bank'!$O:$O,'BKG Bank'!$J:$J,$A7,'BKG Bank'!$I:$I,$C$1,'BKG Bank'!$K:$K,"&lt;="&amp;N$6,'BKG Bank'!$L:$L,"&gt;"&amp;N$6)</f>
        <v>1</v>
      </c>
      <c r="O9" s="25">
        <f>SUMIFS('BKG Bank'!$O:$O,'BKG Bank'!$J:$J,$A7,'BKG Bank'!$I:$I,$C$1,'BKG Bank'!$K:$K,"&lt;="&amp;O$6,'BKG Bank'!$L:$L,"&gt;"&amp;O$6)</f>
        <v>1</v>
      </c>
      <c r="P9" s="25">
        <f>SUMIFS('BKG Bank'!$O:$O,'BKG Bank'!$J:$J,$A7,'BKG Bank'!$I:$I,$C$1,'BKG Bank'!$K:$K,"&lt;="&amp;P$6,'BKG Bank'!$L:$L,"&gt;"&amp;P$6)</f>
        <v>1</v>
      </c>
      <c r="Q9" s="25">
        <f>SUMIFS('BKG Bank'!$O:$O,'BKG Bank'!$J:$J,$A7,'BKG Bank'!$I:$I,$C$1,'BKG Bank'!$K:$K,"&lt;="&amp;Q$6,'BKG Bank'!$L:$L,"&gt;"&amp;Q$6)</f>
        <v>1</v>
      </c>
      <c r="R9" s="25">
        <f>SUMIFS('BKG Bank'!$O:$O,'BKG Bank'!$J:$J,$A7,'BKG Bank'!$I:$I,$C$1,'BKG Bank'!$K:$K,"&lt;="&amp;R$6,'BKG Bank'!$L:$L,"&gt;"&amp;R$6)</f>
        <v>1</v>
      </c>
      <c r="S9" s="25">
        <f>SUMIFS('BKG Bank'!$O:$O,'BKG Bank'!$J:$J,$A7,'BKG Bank'!$I:$I,$C$1,'BKG Bank'!$K:$K,"&lt;="&amp;S$6,'BKG Bank'!$L:$L,"&gt;"&amp;S$6)</f>
        <v>1</v>
      </c>
      <c r="T9" s="25">
        <f>SUMIFS('BKG Bank'!$O:$O,'BKG Bank'!$J:$J,$A7,'BKG Bank'!$I:$I,$C$1,'BKG Bank'!$K:$K,"&lt;="&amp;T$6,'BKG Bank'!$L:$L,"&gt;"&amp;T$6)</f>
        <v>1</v>
      </c>
      <c r="U9" s="25">
        <f>SUMIFS('BKG Bank'!$O:$O,'BKG Bank'!$J:$J,$A7,'BKG Bank'!$I:$I,$C$1,'BKG Bank'!$K:$K,"&lt;="&amp;U$6,'BKG Bank'!$L:$L,"&gt;"&amp;U$6)</f>
        <v>1</v>
      </c>
      <c r="V9" s="25">
        <f>SUMIFS('BKG Bank'!$O:$O,'BKG Bank'!$J:$J,$A7,'BKG Bank'!$I:$I,$C$1,'BKG Bank'!$K:$K,"&lt;="&amp;V$6,'BKG Bank'!$L:$L,"&gt;"&amp;V$6)</f>
        <v>1</v>
      </c>
      <c r="W9" s="25">
        <f>SUMIFS('BKG Bank'!$O:$O,'BKG Bank'!$J:$J,$A7,'BKG Bank'!$I:$I,$C$1,'BKG Bank'!$K:$K,"&lt;="&amp;W$6,'BKG Bank'!$L:$L,"&gt;"&amp;W$6)</f>
        <v>1</v>
      </c>
      <c r="X9" s="25">
        <f>SUMIFS('BKG Bank'!$O:$O,'BKG Bank'!$J:$J,$A7,'BKG Bank'!$I:$I,$C$1,'BKG Bank'!$K:$K,"&lt;="&amp;X$6,'BKG Bank'!$L:$L,"&gt;"&amp;X$6)</f>
        <v>0</v>
      </c>
      <c r="Y9" s="25">
        <f>SUMIFS('BKG Bank'!$O:$O,'BKG Bank'!$J:$J,$A7,'BKG Bank'!$I:$I,$C$1,'BKG Bank'!$K:$K,"&lt;="&amp;Y$6,'BKG Bank'!$L:$L,"&gt;"&amp;Y$6)</f>
        <v>0</v>
      </c>
      <c r="Z9" s="25">
        <f>SUMIFS('BKG Bank'!$O:$O,'BKG Bank'!$J:$J,$A7,'BKG Bank'!$I:$I,$C$1,'BKG Bank'!$K:$K,"&lt;="&amp;Z$6,'BKG Bank'!$L:$L,"&gt;"&amp;Z$6)</f>
        <v>0</v>
      </c>
      <c r="AA9" s="25">
        <f>SUMIFS('BKG Bank'!$O:$O,'BKG Bank'!$J:$J,$A7,'BKG Bank'!$I:$I,$C$1,'BKG Bank'!$K:$K,"&lt;="&amp;AA$6,'BKG Bank'!$L:$L,"&gt;"&amp;AA$6)</f>
        <v>0</v>
      </c>
      <c r="AB9" s="25">
        <f>SUMIFS('BKG Bank'!$O:$O,'BKG Bank'!$J:$J,$A7,'BKG Bank'!$I:$I,$C$1,'BKG Bank'!$K:$K,"&lt;="&amp;AB$6,'BKG Bank'!$L:$L,"&gt;"&amp;AB$6)</f>
        <v>0</v>
      </c>
      <c r="AC9" s="25">
        <f>SUMIFS('BKG Bank'!$O:$O,'BKG Bank'!$J:$J,$A7,'BKG Bank'!$I:$I,$C$1,'BKG Bank'!$K:$K,"&lt;="&amp;AC$6,'BKG Bank'!$L:$L,"&gt;"&amp;AC$6)</f>
        <v>0</v>
      </c>
      <c r="AD9" s="25">
        <f>SUMIFS('BKG Bank'!$O:$O,'BKG Bank'!$J:$J,$A7,'BKG Bank'!$I:$I,$C$1,'BKG Bank'!$K:$K,"&lt;="&amp;AD$6,'BKG Bank'!$L:$L,"&gt;"&amp;AD$6)</f>
        <v>0</v>
      </c>
      <c r="AE9" s="25">
        <f>SUMIFS('BKG Bank'!$O:$O,'BKG Bank'!$J:$J,$A7,'BKG Bank'!$I:$I,$C$1,'BKG Bank'!$K:$K,"&lt;="&amp;AE$6,'BKG Bank'!$L:$L,"&gt;"&amp;AE$6)</f>
        <v>0</v>
      </c>
      <c r="AF9" s="25">
        <f>SUMIFS('BKG Bank'!$O:$O,'BKG Bank'!$J:$J,$A7,'BKG Bank'!$I:$I,$C$1,'BKG Bank'!$K:$K,"&lt;="&amp;AF$6,'BKG Bank'!$L:$L,"&gt;"&amp;AF$6)</f>
        <v>0</v>
      </c>
      <c r="AG9" s="25">
        <f>SUMIFS('BKG Bank'!$O:$O,'BKG Bank'!$J:$J,$A7,'BKG Bank'!$I:$I,$C$1,'BKG Bank'!$K:$K,"&lt;="&amp;AG$6,'BKG Bank'!$L:$L,"&gt;"&amp;AG$6)</f>
        <v>0</v>
      </c>
      <c r="AH9" s="25">
        <f>SUMIFS('BKG Bank'!$O:$O,'BKG Bank'!$J:$J,$A7,'BKG Bank'!$I:$I,$C$1,'BKG Bank'!$K:$K,"&lt;="&amp;AH$6,'BKG Bank'!$L:$L,"&gt;"&amp;AH$6)</f>
        <v>0</v>
      </c>
      <c r="AI9" s="25">
        <f>SUMIFS('BKG Bank'!$O:$O,'BKG Bank'!$J:$J,$A7,'BKG Bank'!$I:$I,$C$1,'BKG Bank'!$K:$K,"&lt;="&amp;AI$6,'BKG Bank'!$L:$L,"&gt;"&amp;AI$6)</f>
        <v>0</v>
      </c>
      <c r="AJ9" s="25">
        <f>SUMIFS('BKG Bank'!$O:$O,'BKG Bank'!$J:$J,$A7,'BKG Bank'!$I:$I,$C$1,'BKG Bank'!$K:$K,"&lt;="&amp;AJ$6,'BKG Bank'!$L:$L,"&gt;"&amp;AJ$6)</f>
        <v>0</v>
      </c>
      <c r="AK9" s="25">
        <f>SUMIFS('BKG Bank'!$O:$O,'BKG Bank'!$J:$J,$A7,'BKG Bank'!$I:$I,$C$1,'BKG Bank'!$K:$K,"&lt;="&amp;AK$6,'BKG Bank'!$L:$L,"&gt;"&amp;AK$6)</f>
        <v>0</v>
      </c>
      <c r="AL9" s="44">
        <f>SUMIFS('BKG Bank'!$O:$O,'BKG Bank'!$J:$J,$A7,'BKG Bank'!$I:$I,$C$1,'BKG Bank'!$K:$K,"&lt;="&amp;AL$6,'BKG Bank'!$L:$L,"&gt;"&amp;AL$6)</f>
        <v>1</v>
      </c>
      <c r="BG9" s="14" t="s">
        <v>162</v>
      </c>
      <c r="BH9" s="13" t="s">
        <v>1427</v>
      </c>
      <c r="BI9" s="12"/>
      <c r="BJ9" s="11" t="s">
        <v>1428</v>
      </c>
      <c r="BK9" s="12"/>
      <c r="BL9" s="13" t="s">
        <v>1429</v>
      </c>
      <c r="BM9" s="12"/>
      <c r="BN9" s="11" t="s">
        <v>1430</v>
      </c>
      <c r="BO9" s="12"/>
      <c r="BP9" s="13" t="s">
        <v>1431</v>
      </c>
      <c r="BQ9" s="12"/>
      <c r="BR9" s="11" t="s">
        <v>1432</v>
      </c>
      <c r="BS9" s="12"/>
      <c r="BT9" s="13" t="s">
        <v>1437</v>
      </c>
      <c r="BU9" s="12"/>
      <c r="BV9" s="11" t="s">
        <v>1438</v>
      </c>
      <c r="BW9" s="12"/>
      <c r="BX9" s="11" t="s">
        <v>1439</v>
      </c>
      <c r="BY9" s="12"/>
      <c r="BZ9" s="11" t="s">
        <v>1440</v>
      </c>
      <c r="CA9" s="12"/>
      <c r="CB9" s="11"/>
      <c r="CC9" s="12"/>
      <c r="CD9" s="11"/>
      <c r="CE9" s="12"/>
      <c r="CF9" s="11"/>
      <c r="CG9" s="12"/>
      <c r="CH9" s="11"/>
      <c r="CI9" s="12"/>
      <c r="CJ9" s="11"/>
      <c r="CK9" s="12"/>
      <c r="CL9" s="11"/>
      <c r="CM9" s="11"/>
      <c r="CN9" s="11"/>
      <c r="CO9" s="11"/>
      <c r="CP9" s="11"/>
      <c r="CQ9" s="11"/>
      <c r="CR9" s="11"/>
      <c r="CS9" s="11"/>
      <c r="CT9" s="11"/>
      <c r="CU9" s="11"/>
    </row>
    <row r="10" spans="1:99" x14ac:dyDescent="0.3">
      <c r="E10" s="46" t="s">
        <v>285</v>
      </c>
      <c r="G10" s="45" t="s">
        <v>285</v>
      </c>
      <c r="H10" s="25">
        <f>SUMIFS('Stop Sale'!$C:$C,'Stop Sale'!$B:$B,$A7,'Stop Sale'!$A:$A,$C$1,'Stop Sale'!$D:$D,"&lt;="&amp;H$6,'Stop Sale'!$E:$E,"&gt;"&amp;H$6)</f>
        <v>0</v>
      </c>
      <c r="I10" s="25">
        <f>SUMIFS('Stop Sale'!$C:$C,'Stop Sale'!$B:$B,$A7,'Stop Sale'!$A:$A,$C$1,'Stop Sale'!$D:$D,"&lt;="&amp;I$6,'Stop Sale'!$E:$E,"&gt;"&amp;I$6)</f>
        <v>0</v>
      </c>
      <c r="J10" s="25">
        <f>SUMIFS('Stop Sale'!$C:$C,'Stop Sale'!$B:$B,$A7,'Stop Sale'!$A:$A,$C$1,'Stop Sale'!$D:$D,"&lt;="&amp;J$6,'Stop Sale'!$E:$E,"&gt;"&amp;J$6)</f>
        <v>0</v>
      </c>
      <c r="K10" s="25">
        <f>SUMIFS('Stop Sale'!$C:$C,'Stop Sale'!$B:$B,$A7,'Stop Sale'!$A:$A,$C$1,'Stop Sale'!$D:$D,"&lt;="&amp;K$6,'Stop Sale'!$E:$E,"&gt;"&amp;K$6)</f>
        <v>0</v>
      </c>
      <c r="L10" s="25">
        <f>SUMIFS('Stop Sale'!$C:$C,'Stop Sale'!$B:$B,$A7,'Stop Sale'!$A:$A,$C$1,'Stop Sale'!$D:$D,"&lt;="&amp;L$6,'Stop Sale'!$E:$E,"&gt;"&amp;L$6)</f>
        <v>0</v>
      </c>
      <c r="M10" s="25">
        <f>SUMIFS('Stop Sale'!$C:$C,'Stop Sale'!$B:$B,$A7,'Stop Sale'!$A:$A,$C$1,'Stop Sale'!$D:$D,"&lt;="&amp;M$6,'Stop Sale'!$E:$E,"&gt;"&amp;M$6)</f>
        <v>0</v>
      </c>
      <c r="N10" s="25">
        <f>SUMIFS('Stop Sale'!$C:$C,'Stop Sale'!$B:$B,$A7,'Stop Sale'!$A:$A,$C$1,'Stop Sale'!$D:$D,"&lt;="&amp;N$6,'Stop Sale'!$E:$E,"&gt;"&amp;N$6)</f>
        <v>0</v>
      </c>
      <c r="O10" s="25">
        <f>SUMIFS('Stop Sale'!$C:$C,'Stop Sale'!$B:$B,$A7,'Stop Sale'!$A:$A,$C$1,'Stop Sale'!$D:$D,"&lt;="&amp;O$6,'Stop Sale'!$E:$E,"&gt;"&amp;O$6)</f>
        <v>0</v>
      </c>
      <c r="P10" s="25">
        <f>SUMIFS('Stop Sale'!$C:$C,'Stop Sale'!$B:$B,$A7,'Stop Sale'!$A:$A,$C$1,'Stop Sale'!$D:$D,"&lt;="&amp;P$6,'Stop Sale'!$E:$E,"&gt;"&amp;P$6)</f>
        <v>0</v>
      </c>
      <c r="Q10" s="25">
        <f>SUMIFS('Stop Sale'!$C:$C,'Stop Sale'!$B:$B,$A7,'Stop Sale'!$A:$A,$C$1,'Stop Sale'!$D:$D,"&lt;="&amp;Q$6,'Stop Sale'!$E:$E,"&gt;"&amp;Q$6)</f>
        <v>0</v>
      </c>
      <c r="R10" s="25">
        <f>SUMIFS('Stop Sale'!$C:$C,'Stop Sale'!$B:$B,$A7,'Stop Sale'!$A:$A,$C$1,'Stop Sale'!$D:$D,"&lt;="&amp;R$6,'Stop Sale'!$E:$E,"&gt;"&amp;R$6)</f>
        <v>0</v>
      </c>
      <c r="S10" s="25">
        <f>SUMIFS('Stop Sale'!$C:$C,'Stop Sale'!$B:$B,$A7,'Stop Sale'!$A:$A,$C$1,'Stop Sale'!$D:$D,"&lt;="&amp;S$6,'Stop Sale'!$E:$E,"&gt;"&amp;S$6)</f>
        <v>0</v>
      </c>
      <c r="T10" s="25">
        <f>SUMIFS('Stop Sale'!$C:$C,'Stop Sale'!$B:$B,$A7,'Stop Sale'!$A:$A,$C$1,'Stop Sale'!$D:$D,"&lt;="&amp;T$6,'Stop Sale'!$E:$E,"&gt;"&amp;T$6)</f>
        <v>0</v>
      </c>
      <c r="U10" s="25">
        <f>SUMIFS('Stop Sale'!$C:$C,'Stop Sale'!$B:$B,$A7,'Stop Sale'!$A:$A,$C$1,'Stop Sale'!$D:$D,"&lt;="&amp;U$6,'Stop Sale'!$E:$E,"&gt;"&amp;U$6)</f>
        <v>0</v>
      </c>
      <c r="V10" s="25">
        <f>SUMIFS('Stop Sale'!$C:$C,'Stop Sale'!$B:$B,$A7,'Stop Sale'!$A:$A,$C$1,'Stop Sale'!$D:$D,"&lt;="&amp;V$6,'Stop Sale'!$E:$E,"&gt;"&amp;V$6)</f>
        <v>0</v>
      </c>
      <c r="W10" s="25">
        <f>SUMIFS('Stop Sale'!$C:$C,'Stop Sale'!$B:$B,$A7,'Stop Sale'!$A:$A,$C$1,'Stop Sale'!$D:$D,"&lt;="&amp;W$6,'Stop Sale'!$E:$E,"&gt;"&amp;W$6)</f>
        <v>0</v>
      </c>
      <c r="X10" s="25">
        <f>SUMIFS('Stop Sale'!$C:$C,'Stop Sale'!$B:$B,$A7,'Stop Sale'!$A:$A,$C$1,'Stop Sale'!$D:$D,"&lt;="&amp;X$6,'Stop Sale'!$E:$E,"&gt;"&amp;X$6)</f>
        <v>0</v>
      </c>
      <c r="Y10" s="25">
        <f>SUMIFS('Stop Sale'!$C:$C,'Stop Sale'!$B:$B,$A7,'Stop Sale'!$A:$A,$C$1,'Stop Sale'!$D:$D,"&lt;="&amp;Y$6,'Stop Sale'!$E:$E,"&gt;"&amp;Y$6)</f>
        <v>0</v>
      </c>
      <c r="Z10" s="25">
        <f>SUMIFS('Stop Sale'!$C:$C,'Stop Sale'!$B:$B,$A7,'Stop Sale'!$A:$A,$C$1,'Stop Sale'!$D:$D,"&lt;="&amp;Z$6,'Stop Sale'!$E:$E,"&gt;"&amp;Z$6)</f>
        <v>0</v>
      </c>
      <c r="AA10" s="25">
        <f>SUMIFS('Stop Sale'!$C:$C,'Stop Sale'!$B:$B,$A7,'Stop Sale'!$A:$A,$C$1,'Stop Sale'!$D:$D,"&lt;="&amp;AA$6,'Stop Sale'!$E:$E,"&gt;"&amp;AA$6)</f>
        <v>0</v>
      </c>
      <c r="AB10" s="25">
        <f>SUMIFS('Stop Sale'!$C:$C,'Stop Sale'!$B:$B,$A7,'Stop Sale'!$A:$A,$C$1,'Stop Sale'!$D:$D,"&lt;="&amp;AB$6,'Stop Sale'!$E:$E,"&gt;"&amp;AB$6)</f>
        <v>0</v>
      </c>
      <c r="AC10" s="25">
        <f>SUMIFS('Stop Sale'!$C:$C,'Stop Sale'!$B:$B,$A7,'Stop Sale'!$A:$A,$C$1,'Stop Sale'!$D:$D,"&lt;="&amp;AC$6,'Stop Sale'!$E:$E,"&gt;"&amp;AC$6)</f>
        <v>0</v>
      </c>
      <c r="AD10" s="25">
        <f>SUMIFS('Stop Sale'!$C:$C,'Stop Sale'!$B:$B,$A7,'Stop Sale'!$A:$A,$C$1,'Stop Sale'!$D:$D,"&lt;="&amp;AD$6,'Stop Sale'!$E:$E,"&gt;"&amp;AD$6)</f>
        <v>0</v>
      </c>
      <c r="AE10" s="25">
        <f>SUMIFS('Stop Sale'!$C:$C,'Stop Sale'!$B:$B,$A7,'Stop Sale'!$A:$A,$C$1,'Stop Sale'!$D:$D,"&lt;="&amp;AE$6,'Stop Sale'!$E:$E,"&gt;"&amp;AE$6)</f>
        <v>0</v>
      </c>
      <c r="AF10" s="25">
        <f>SUMIFS('Stop Sale'!$C:$C,'Stop Sale'!$B:$B,$A7,'Stop Sale'!$A:$A,$C$1,'Stop Sale'!$D:$D,"&lt;="&amp;AF$6,'Stop Sale'!$E:$E,"&gt;"&amp;AF$6)</f>
        <v>0</v>
      </c>
      <c r="AG10" s="25">
        <f>SUMIFS('Stop Sale'!$C:$C,'Stop Sale'!$B:$B,$A7,'Stop Sale'!$A:$A,$C$1,'Stop Sale'!$D:$D,"&lt;="&amp;AG$6,'Stop Sale'!$E:$E,"&gt;"&amp;AG$6)</f>
        <v>0</v>
      </c>
      <c r="AH10" s="25">
        <f>SUMIFS('Stop Sale'!$C:$C,'Stop Sale'!$B:$B,$A7,'Stop Sale'!$A:$A,$C$1,'Stop Sale'!$D:$D,"&lt;="&amp;AH$6,'Stop Sale'!$E:$E,"&gt;"&amp;AH$6)</f>
        <v>0</v>
      </c>
      <c r="AI10" s="25">
        <f>SUMIFS('Stop Sale'!$C:$C,'Stop Sale'!$B:$B,$A7,'Stop Sale'!$A:$A,$C$1,'Stop Sale'!$D:$D,"&lt;="&amp;AI$6,'Stop Sale'!$E:$E,"&gt;"&amp;AI$6)</f>
        <v>0</v>
      </c>
      <c r="AJ10" s="25">
        <f>SUMIFS('Stop Sale'!$C:$C,'Stop Sale'!$B:$B,$A7,'Stop Sale'!$A:$A,$C$1,'Stop Sale'!$D:$D,"&lt;="&amp;AJ$6,'Stop Sale'!$E:$E,"&gt;"&amp;AJ$6)</f>
        <v>0</v>
      </c>
      <c r="AK10" s="25">
        <f>SUMIFS('Stop Sale'!$C:$C,'Stop Sale'!$B:$B,$A7,'Stop Sale'!$A:$A,$C$1,'Stop Sale'!$D:$D,"&lt;="&amp;AK$6,'Stop Sale'!$E:$E,"&gt;"&amp;AK$6)</f>
        <v>0</v>
      </c>
      <c r="AL10" s="44">
        <f>SUMIFS('Stop Sale'!$C:$C,'Stop Sale'!$B:$B,$A7,'Stop Sale'!$A:$A,$C$1,'Stop Sale'!$D:$D,"&lt;="&amp;AL$6,'Stop Sale'!$E:$E,"&gt;"&amp;AL$6)</f>
        <v>0</v>
      </c>
      <c r="BG10" s="14" t="s">
        <v>172</v>
      </c>
      <c r="BH10" s="13" t="s">
        <v>1402</v>
      </c>
      <c r="BI10" s="12">
        <v>1</v>
      </c>
      <c r="BJ10" s="11" t="s">
        <v>1436</v>
      </c>
      <c r="BK10" s="12">
        <v>1</v>
      </c>
      <c r="BL10" s="13" t="s">
        <v>198</v>
      </c>
      <c r="BM10" s="12">
        <v>1</v>
      </c>
      <c r="BN10" s="11"/>
      <c r="BO10" s="12"/>
      <c r="BP10" s="60"/>
      <c r="BQ10" s="12"/>
      <c r="BR10" s="60"/>
      <c r="BS10" s="12"/>
      <c r="BT10" s="60"/>
      <c r="BU10" s="12"/>
      <c r="BV10" s="11"/>
      <c r="BW10" s="12"/>
      <c r="BX10" s="11"/>
      <c r="BY10" s="12"/>
      <c r="BZ10" s="11"/>
      <c r="CA10" s="12"/>
      <c r="CB10" s="11"/>
      <c r="CC10" s="12"/>
      <c r="CD10" s="11"/>
      <c r="CE10" s="12"/>
      <c r="CF10" s="11"/>
      <c r="CG10" s="12"/>
      <c r="CH10" s="11"/>
      <c r="CI10" s="12"/>
      <c r="CJ10" s="11"/>
      <c r="CK10" s="12"/>
      <c r="CL10" s="11"/>
      <c r="CM10" s="11"/>
      <c r="CN10" s="11"/>
      <c r="CO10" s="11"/>
      <c r="CP10" s="11"/>
      <c r="CQ10" s="11"/>
      <c r="CR10" s="11"/>
      <c r="CS10" s="11"/>
      <c r="CT10" s="11"/>
      <c r="CU10" s="11"/>
    </row>
    <row r="11" spans="1:99" x14ac:dyDescent="0.3">
      <c r="A11" s="64"/>
      <c r="B11" s="63"/>
      <c r="C11" s="63"/>
      <c r="D11" s="62"/>
      <c r="E11" s="58" t="s">
        <v>287</v>
      </c>
      <c r="F11" s="57">
        <f>IFERROR(F9/F8,"")</f>
        <v>0.13709677419354838</v>
      </c>
      <c r="G11" s="56" t="s">
        <v>288</v>
      </c>
      <c r="H11" s="55">
        <f t="shared" ref="H11:AL11" si="2">H8-H9</f>
        <v>3</v>
      </c>
      <c r="I11" s="55">
        <f t="shared" si="2"/>
        <v>3</v>
      </c>
      <c r="J11" s="55">
        <f t="shared" si="2"/>
        <v>3</v>
      </c>
      <c r="K11" s="55">
        <f t="shared" si="2"/>
        <v>3</v>
      </c>
      <c r="L11" s="55">
        <f t="shared" si="2"/>
        <v>3</v>
      </c>
      <c r="M11" s="55">
        <f t="shared" si="2"/>
        <v>3</v>
      </c>
      <c r="N11" s="55">
        <f t="shared" si="2"/>
        <v>3</v>
      </c>
      <c r="O11" s="55">
        <f t="shared" si="2"/>
        <v>3</v>
      </c>
      <c r="P11" s="55">
        <f t="shared" si="2"/>
        <v>3</v>
      </c>
      <c r="Q11" s="55">
        <f t="shared" si="2"/>
        <v>3</v>
      </c>
      <c r="R11" s="55">
        <f t="shared" si="2"/>
        <v>3</v>
      </c>
      <c r="S11" s="55">
        <f t="shared" si="2"/>
        <v>3</v>
      </c>
      <c r="T11" s="55">
        <f t="shared" si="2"/>
        <v>3</v>
      </c>
      <c r="U11" s="55">
        <f t="shared" si="2"/>
        <v>3</v>
      </c>
      <c r="V11" s="55">
        <f t="shared" si="2"/>
        <v>3</v>
      </c>
      <c r="W11" s="55">
        <f t="shared" si="2"/>
        <v>3</v>
      </c>
      <c r="X11" s="55">
        <f t="shared" si="2"/>
        <v>4</v>
      </c>
      <c r="Y11" s="55">
        <f t="shared" si="2"/>
        <v>4</v>
      </c>
      <c r="Z11" s="55">
        <f t="shared" si="2"/>
        <v>4</v>
      </c>
      <c r="AA11" s="55">
        <f t="shared" si="2"/>
        <v>4</v>
      </c>
      <c r="AB11" s="55">
        <f t="shared" si="2"/>
        <v>4</v>
      </c>
      <c r="AC11" s="55">
        <f t="shared" si="2"/>
        <v>4</v>
      </c>
      <c r="AD11" s="55">
        <f t="shared" si="2"/>
        <v>4</v>
      </c>
      <c r="AE11" s="55">
        <f t="shared" si="2"/>
        <v>4</v>
      </c>
      <c r="AF11" s="55">
        <f t="shared" si="2"/>
        <v>4</v>
      </c>
      <c r="AG11" s="55">
        <f t="shared" si="2"/>
        <v>4</v>
      </c>
      <c r="AH11" s="55">
        <f t="shared" si="2"/>
        <v>4</v>
      </c>
      <c r="AI11" s="55">
        <f t="shared" si="2"/>
        <v>4</v>
      </c>
      <c r="AJ11" s="55">
        <f t="shared" si="2"/>
        <v>4</v>
      </c>
      <c r="AK11" s="55">
        <f t="shared" si="2"/>
        <v>4</v>
      </c>
      <c r="AL11" s="54">
        <f t="shared" si="2"/>
        <v>3</v>
      </c>
      <c r="BG11" s="14" t="s">
        <v>1391</v>
      </c>
      <c r="BH11" s="13" t="s">
        <v>1441</v>
      </c>
      <c r="BI11" s="12">
        <v>1</v>
      </c>
      <c r="BJ11" s="11" t="s">
        <v>1442</v>
      </c>
      <c r="BK11" s="12">
        <v>4</v>
      </c>
      <c r="BL11" s="13" t="s">
        <v>1416</v>
      </c>
      <c r="BM11" s="12">
        <v>1</v>
      </c>
      <c r="BN11" s="11" t="s">
        <v>1443</v>
      </c>
      <c r="BO11" s="12">
        <v>4</v>
      </c>
      <c r="BP11" s="60" t="s">
        <v>1444</v>
      </c>
      <c r="BQ11" s="12">
        <v>1</v>
      </c>
      <c r="BR11" s="60" t="s">
        <v>1445</v>
      </c>
      <c r="BS11" s="12">
        <v>1</v>
      </c>
      <c r="BT11" s="60" t="s">
        <v>1446</v>
      </c>
      <c r="BU11" s="12">
        <v>0</v>
      </c>
      <c r="BV11" s="11" t="s">
        <v>1447</v>
      </c>
      <c r="BW11" s="12">
        <v>0</v>
      </c>
      <c r="BX11" s="11" t="s">
        <v>1436</v>
      </c>
      <c r="BY11" s="12">
        <v>1</v>
      </c>
      <c r="BZ11" s="11"/>
      <c r="CA11" s="12"/>
      <c r="CB11" s="11"/>
      <c r="CC11" s="12"/>
      <c r="CD11" s="11"/>
      <c r="CE11" s="12"/>
      <c r="CF11" s="11"/>
      <c r="CG11" s="12"/>
      <c r="CH11" s="11"/>
      <c r="CI11" s="12"/>
      <c r="CJ11" s="11"/>
      <c r="CK11" s="12"/>
      <c r="CL11" s="11"/>
      <c r="CM11" s="11"/>
      <c r="CN11" s="11"/>
      <c r="CO11" s="11"/>
      <c r="CP11" s="11"/>
      <c r="CQ11" s="11"/>
      <c r="CR11" s="11"/>
      <c r="CS11" s="11"/>
      <c r="CT11" s="11"/>
      <c r="CU11" s="11"/>
    </row>
    <row r="12" spans="1:99" x14ac:dyDescent="0.3">
      <c r="A12" s="53" t="str">
        <f>VLOOKUP($C$1,$BG$2:$BU$119,4,FALSE)</f>
        <v>Premium Grand Room</v>
      </c>
      <c r="B12" s="52"/>
      <c r="C12" s="52"/>
      <c r="D12" s="51"/>
      <c r="E12" s="50" t="s">
        <v>278</v>
      </c>
      <c r="F12" s="48"/>
      <c r="G12" s="49" t="s">
        <v>279</v>
      </c>
      <c r="H12" s="48">
        <v>1</v>
      </c>
      <c r="I12" s="48">
        <v>2</v>
      </c>
      <c r="J12" s="48">
        <v>3</v>
      </c>
      <c r="K12" s="48">
        <v>4</v>
      </c>
      <c r="L12" s="48">
        <v>5</v>
      </c>
      <c r="M12" s="48">
        <v>6</v>
      </c>
      <c r="N12" s="48">
        <v>7</v>
      </c>
      <c r="O12" s="48">
        <v>8</v>
      </c>
      <c r="P12" s="48">
        <v>9</v>
      </c>
      <c r="Q12" s="48">
        <v>10</v>
      </c>
      <c r="R12" s="48">
        <v>11</v>
      </c>
      <c r="S12" s="48">
        <v>12</v>
      </c>
      <c r="T12" s="48">
        <v>13</v>
      </c>
      <c r="U12" s="48">
        <v>14</v>
      </c>
      <c r="V12" s="48">
        <v>15</v>
      </c>
      <c r="W12" s="48">
        <v>16</v>
      </c>
      <c r="X12" s="48">
        <v>17</v>
      </c>
      <c r="Y12" s="48">
        <v>18</v>
      </c>
      <c r="Z12" s="48">
        <v>19</v>
      </c>
      <c r="AA12" s="48">
        <v>20</v>
      </c>
      <c r="AB12" s="48">
        <v>21</v>
      </c>
      <c r="AC12" s="48">
        <v>22</v>
      </c>
      <c r="AD12" s="48">
        <v>23</v>
      </c>
      <c r="AE12" s="48">
        <v>24</v>
      </c>
      <c r="AF12" s="48">
        <v>25</v>
      </c>
      <c r="AG12" s="48">
        <v>26</v>
      </c>
      <c r="AH12" s="48">
        <v>27</v>
      </c>
      <c r="AI12" s="48">
        <v>28</v>
      </c>
      <c r="AJ12" s="48">
        <v>29</v>
      </c>
      <c r="AK12" s="48">
        <v>30</v>
      </c>
      <c r="AL12" s="47">
        <v>31</v>
      </c>
      <c r="BG12" s="14" t="s">
        <v>1392</v>
      </c>
      <c r="BH12" s="11"/>
      <c r="BI12" s="12"/>
      <c r="BJ12" s="13"/>
      <c r="BK12" s="12"/>
      <c r="BL12" s="11"/>
      <c r="BM12" s="12"/>
      <c r="BN12" s="13"/>
      <c r="BO12" s="12"/>
      <c r="BP12" s="11"/>
      <c r="BQ12" s="12"/>
      <c r="BR12" s="13"/>
      <c r="BS12" s="12"/>
      <c r="BT12" s="11"/>
      <c r="BU12" s="12"/>
      <c r="BV12" s="13"/>
      <c r="BW12" s="12"/>
      <c r="BX12" s="11"/>
      <c r="BY12" s="12"/>
      <c r="BZ12" s="11"/>
      <c r="CA12" s="12"/>
      <c r="CB12" s="11"/>
      <c r="CC12" s="12"/>
      <c r="CD12" s="11"/>
      <c r="CE12" s="12"/>
      <c r="CF12" s="11"/>
      <c r="CG12" s="12"/>
      <c r="CH12" s="11"/>
      <c r="CI12" s="12"/>
      <c r="CJ12" s="11"/>
      <c r="CK12" s="12"/>
      <c r="CL12" s="11"/>
      <c r="CM12" s="11"/>
      <c r="CN12" s="11"/>
      <c r="CO12" s="11"/>
      <c r="CP12" s="11"/>
      <c r="CQ12" s="11"/>
      <c r="CR12" s="11"/>
      <c r="CS12" s="11"/>
      <c r="CT12" s="11"/>
      <c r="CU12" s="11"/>
    </row>
    <row r="13" spans="1:99" x14ac:dyDescent="0.3">
      <c r="A13" s="43"/>
      <c r="D13" s="42"/>
      <c r="E13" s="41" t="s">
        <v>280</v>
      </c>
      <c r="F13" s="25">
        <f>SUM(H13:AL13)</f>
        <v>31</v>
      </c>
      <c r="G13" s="4" t="s">
        <v>281</v>
      </c>
      <c r="H13" s="25">
        <f t="shared" ref="H13:AL13" si="3">VLOOKUP($C$1,$BG$2:$CU$119,5,FALSE)</f>
        <v>1</v>
      </c>
      <c r="I13" s="25">
        <f t="shared" si="3"/>
        <v>1</v>
      </c>
      <c r="J13" s="25">
        <f t="shared" si="3"/>
        <v>1</v>
      </c>
      <c r="K13" s="25">
        <f t="shared" si="3"/>
        <v>1</v>
      </c>
      <c r="L13" s="25">
        <f t="shared" si="3"/>
        <v>1</v>
      </c>
      <c r="M13" s="25">
        <f t="shared" si="3"/>
        <v>1</v>
      </c>
      <c r="N13" s="25">
        <f t="shared" si="3"/>
        <v>1</v>
      </c>
      <c r="O13" s="25">
        <f t="shared" si="3"/>
        <v>1</v>
      </c>
      <c r="P13" s="25">
        <f t="shared" si="3"/>
        <v>1</v>
      </c>
      <c r="Q13" s="25">
        <f t="shared" si="3"/>
        <v>1</v>
      </c>
      <c r="R13" s="25">
        <f t="shared" si="3"/>
        <v>1</v>
      </c>
      <c r="S13" s="25">
        <f t="shared" si="3"/>
        <v>1</v>
      </c>
      <c r="T13" s="25">
        <f t="shared" si="3"/>
        <v>1</v>
      </c>
      <c r="U13" s="25">
        <f t="shared" si="3"/>
        <v>1</v>
      </c>
      <c r="V13" s="25">
        <f t="shared" si="3"/>
        <v>1</v>
      </c>
      <c r="W13" s="25">
        <f t="shared" si="3"/>
        <v>1</v>
      </c>
      <c r="X13" s="25">
        <f t="shared" si="3"/>
        <v>1</v>
      </c>
      <c r="Y13" s="25">
        <f t="shared" si="3"/>
        <v>1</v>
      </c>
      <c r="Z13" s="25">
        <f t="shared" si="3"/>
        <v>1</v>
      </c>
      <c r="AA13" s="25">
        <f t="shared" si="3"/>
        <v>1</v>
      </c>
      <c r="AB13" s="25">
        <f t="shared" si="3"/>
        <v>1</v>
      </c>
      <c r="AC13" s="25">
        <f t="shared" si="3"/>
        <v>1</v>
      </c>
      <c r="AD13" s="25">
        <f t="shared" si="3"/>
        <v>1</v>
      </c>
      <c r="AE13" s="25">
        <f t="shared" si="3"/>
        <v>1</v>
      </c>
      <c r="AF13" s="25">
        <f t="shared" si="3"/>
        <v>1</v>
      </c>
      <c r="AG13" s="25">
        <f t="shared" si="3"/>
        <v>1</v>
      </c>
      <c r="AH13" s="25">
        <f t="shared" si="3"/>
        <v>1</v>
      </c>
      <c r="AI13" s="25">
        <f t="shared" si="3"/>
        <v>1</v>
      </c>
      <c r="AJ13" s="25">
        <f t="shared" si="3"/>
        <v>1</v>
      </c>
      <c r="AK13" s="25">
        <f t="shared" si="3"/>
        <v>1</v>
      </c>
      <c r="AL13" s="44">
        <f t="shared" si="3"/>
        <v>1</v>
      </c>
      <c r="BG13" s="14" t="s">
        <v>1393</v>
      </c>
      <c r="BH13" s="11"/>
      <c r="BI13" s="12"/>
      <c r="BJ13" s="13"/>
      <c r="BK13" s="12"/>
      <c r="BL13" s="11"/>
      <c r="BM13" s="12"/>
      <c r="BN13" s="13"/>
      <c r="BO13" s="12"/>
      <c r="BP13" s="11"/>
      <c r="BQ13" s="12"/>
      <c r="BR13" s="60"/>
      <c r="BS13" s="12"/>
      <c r="BT13" s="60"/>
      <c r="BU13" s="12"/>
      <c r="BV13" s="11"/>
      <c r="BW13" s="12"/>
      <c r="BX13" s="11"/>
      <c r="BY13" s="12"/>
      <c r="BZ13" s="11"/>
      <c r="CA13" s="12"/>
      <c r="CB13" s="11"/>
      <c r="CC13" s="12"/>
      <c r="CD13" s="11"/>
      <c r="CE13" s="12"/>
      <c r="CF13" s="11"/>
      <c r="CG13" s="12"/>
      <c r="CH13" s="11"/>
      <c r="CI13" s="12"/>
      <c r="CJ13" s="11"/>
      <c r="CK13" s="12"/>
      <c r="CL13" s="11"/>
      <c r="CM13" s="11"/>
      <c r="CN13" s="11"/>
      <c r="CO13" s="11"/>
      <c r="CP13" s="11"/>
      <c r="CQ13" s="11"/>
      <c r="CR13" s="11"/>
      <c r="CS13" s="11"/>
      <c r="CT13" s="11"/>
      <c r="CU13" s="11"/>
    </row>
    <row r="14" spans="1:99" x14ac:dyDescent="0.3">
      <c r="A14" s="43"/>
      <c r="D14" s="42"/>
      <c r="E14" s="41" t="s">
        <v>282</v>
      </c>
      <c r="F14" s="25">
        <f>SUM(H14:AL14)</f>
        <v>0</v>
      </c>
      <c r="G14" s="4" t="s">
        <v>283</v>
      </c>
      <c r="H14" s="25">
        <f>SUMIFS('BKG Bank'!$O:$O,'BKG Bank'!$J:$J,$A12,'BKG Bank'!$I:$I,$C$1,'BKG Bank'!$K:$K,"&lt;="&amp;H$6,'BKG Bank'!$L:$L,"&gt;"&amp;H$6)</f>
        <v>0</v>
      </c>
      <c r="I14" s="25">
        <f>SUMIFS('BKG Bank'!$O:$O,'BKG Bank'!$J:$J,$A12,'BKG Bank'!$I:$I,$C$1,'BKG Bank'!$K:$K,"&lt;="&amp;I$6,'BKG Bank'!$L:$L,"&gt;"&amp;I$6)</f>
        <v>0</v>
      </c>
      <c r="J14" s="25">
        <f>SUMIFS('BKG Bank'!$O:$O,'BKG Bank'!$J:$J,$A12,'BKG Bank'!$I:$I,$C$1,'BKG Bank'!$K:$K,"&lt;="&amp;J$6,'BKG Bank'!$L:$L,"&gt;"&amp;J$6)</f>
        <v>0</v>
      </c>
      <c r="K14" s="25">
        <f>SUMIFS('BKG Bank'!$O:$O,'BKG Bank'!$J:$J,$A12,'BKG Bank'!$I:$I,$C$1,'BKG Bank'!$K:$K,"&lt;="&amp;K$6,'BKG Bank'!$L:$L,"&gt;"&amp;K$6)</f>
        <v>0</v>
      </c>
      <c r="L14" s="25">
        <f>SUMIFS('BKG Bank'!$O:$O,'BKG Bank'!$J:$J,$A12,'BKG Bank'!$I:$I,$C$1,'BKG Bank'!$K:$K,"&lt;="&amp;L$6,'BKG Bank'!$L:$L,"&gt;"&amp;L$6)</f>
        <v>0</v>
      </c>
      <c r="M14" s="25">
        <f>SUMIFS('BKG Bank'!$O:$O,'BKG Bank'!$J:$J,$A12,'BKG Bank'!$I:$I,$C$1,'BKG Bank'!$K:$K,"&lt;="&amp;M$6,'BKG Bank'!$L:$L,"&gt;"&amp;M$6)</f>
        <v>0</v>
      </c>
      <c r="N14" s="25">
        <f>SUMIFS('BKG Bank'!$O:$O,'BKG Bank'!$J:$J,$A12,'BKG Bank'!$I:$I,$C$1,'BKG Bank'!$K:$K,"&lt;="&amp;N$6,'BKG Bank'!$L:$L,"&gt;"&amp;N$6)</f>
        <v>0</v>
      </c>
      <c r="O14" s="25">
        <f>SUMIFS('BKG Bank'!$O:$O,'BKG Bank'!$J:$J,$A12,'BKG Bank'!$I:$I,$C$1,'BKG Bank'!$K:$K,"&lt;="&amp;O$6,'BKG Bank'!$L:$L,"&gt;"&amp;O$6)</f>
        <v>0</v>
      </c>
      <c r="P14" s="25">
        <f>SUMIFS('BKG Bank'!$O:$O,'BKG Bank'!$J:$J,$A12,'BKG Bank'!$I:$I,$C$1,'BKG Bank'!$K:$K,"&lt;="&amp;P$6,'BKG Bank'!$L:$L,"&gt;"&amp;P$6)</f>
        <v>0</v>
      </c>
      <c r="Q14" s="25">
        <f>SUMIFS('BKG Bank'!$O:$O,'BKG Bank'!$J:$J,$A12,'BKG Bank'!$I:$I,$C$1,'BKG Bank'!$K:$K,"&lt;="&amp;Q$6,'BKG Bank'!$L:$L,"&gt;"&amp;Q$6)</f>
        <v>0</v>
      </c>
      <c r="R14" s="25">
        <f>SUMIFS('BKG Bank'!$O:$O,'BKG Bank'!$J:$J,$A12,'BKG Bank'!$I:$I,$C$1,'BKG Bank'!$K:$K,"&lt;="&amp;R$6,'BKG Bank'!$L:$L,"&gt;"&amp;R$6)</f>
        <v>0</v>
      </c>
      <c r="S14" s="25">
        <f>SUMIFS('BKG Bank'!$O:$O,'BKG Bank'!$J:$J,$A12,'BKG Bank'!$I:$I,$C$1,'BKG Bank'!$K:$K,"&lt;="&amp;S$6,'BKG Bank'!$L:$L,"&gt;"&amp;S$6)</f>
        <v>0</v>
      </c>
      <c r="T14" s="25">
        <f>SUMIFS('BKG Bank'!$O:$O,'BKG Bank'!$J:$J,$A12,'BKG Bank'!$I:$I,$C$1,'BKG Bank'!$K:$K,"&lt;="&amp;T$6,'BKG Bank'!$L:$L,"&gt;"&amp;T$6)</f>
        <v>0</v>
      </c>
      <c r="U14" s="25">
        <f>SUMIFS('BKG Bank'!$O:$O,'BKG Bank'!$J:$J,$A12,'BKG Bank'!$I:$I,$C$1,'BKG Bank'!$K:$K,"&lt;="&amp;U$6,'BKG Bank'!$L:$L,"&gt;"&amp;U$6)</f>
        <v>0</v>
      </c>
      <c r="V14" s="25">
        <f>SUMIFS('BKG Bank'!$O:$O,'BKG Bank'!$J:$J,$A12,'BKG Bank'!$I:$I,$C$1,'BKG Bank'!$K:$K,"&lt;="&amp;V$6,'BKG Bank'!$L:$L,"&gt;"&amp;V$6)</f>
        <v>0</v>
      </c>
      <c r="W14" s="25">
        <f>SUMIFS('BKG Bank'!$O:$O,'BKG Bank'!$J:$J,$A12,'BKG Bank'!$I:$I,$C$1,'BKG Bank'!$K:$K,"&lt;="&amp;W$6,'BKG Bank'!$L:$L,"&gt;"&amp;W$6)</f>
        <v>0</v>
      </c>
      <c r="X14" s="25">
        <f>SUMIFS('BKG Bank'!$O:$O,'BKG Bank'!$J:$J,$A12,'BKG Bank'!$I:$I,$C$1,'BKG Bank'!$K:$K,"&lt;="&amp;X$6,'BKG Bank'!$L:$L,"&gt;"&amp;X$6)</f>
        <v>0</v>
      </c>
      <c r="Y14" s="25">
        <f>SUMIFS('BKG Bank'!$O:$O,'BKG Bank'!$J:$J,$A12,'BKG Bank'!$I:$I,$C$1,'BKG Bank'!$K:$K,"&lt;="&amp;Y$6,'BKG Bank'!$L:$L,"&gt;"&amp;Y$6)</f>
        <v>0</v>
      </c>
      <c r="Z14" s="25">
        <f>SUMIFS('BKG Bank'!$O:$O,'BKG Bank'!$J:$J,$A12,'BKG Bank'!$I:$I,$C$1,'BKG Bank'!$K:$K,"&lt;="&amp;Z$6,'BKG Bank'!$L:$L,"&gt;"&amp;Z$6)</f>
        <v>0</v>
      </c>
      <c r="AA14" s="25">
        <f>SUMIFS('BKG Bank'!$O:$O,'BKG Bank'!$J:$J,$A12,'BKG Bank'!$I:$I,$C$1,'BKG Bank'!$K:$K,"&lt;="&amp;AA$6,'BKG Bank'!$L:$L,"&gt;"&amp;AA$6)</f>
        <v>0</v>
      </c>
      <c r="AB14" s="25">
        <f>SUMIFS('BKG Bank'!$O:$O,'BKG Bank'!$J:$J,$A12,'BKG Bank'!$I:$I,$C$1,'BKG Bank'!$K:$K,"&lt;="&amp;AB$6,'BKG Bank'!$L:$L,"&gt;"&amp;AB$6)</f>
        <v>0</v>
      </c>
      <c r="AC14" s="25">
        <f>SUMIFS('BKG Bank'!$O:$O,'BKG Bank'!$J:$J,$A12,'BKG Bank'!$I:$I,$C$1,'BKG Bank'!$K:$K,"&lt;="&amp;AC$6,'BKG Bank'!$L:$L,"&gt;"&amp;AC$6)</f>
        <v>0</v>
      </c>
      <c r="AD14" s="25">
        <f>SUMIFS('BKG Bank'!$O:$O,'BKG Bank'!$J:$J,$A12,'BKG Bank'!$I:$I,$C$1,'BKG Bank'!$K:$K,"&lt;="&amp;AD$6,'BKG Bank'!$L:$L,"&gt;"&amp;AD$6)</f>
        <v>0</v>
      </c>
      <c r="AE14" s="25">
        <f>SUMIFS('BKG Bank'!$O:$O,'BKG Bank'!$J:$J,$A12,'BKG Bank'!$I:$I,$C$1,'BKG Bank'!$K:$K,"&lt;="&amp;AE$6,'BKG Bank'!$L:$L,"&gt;"&amp;AE$6)</f>
        <v>0</v>
      </c>
      <c r="AF14" s="25">
        <f>SUMIFS('BKG Bank'!$O:$O,'BKG Bank'!$J:$J,$A12,'BKG Bank'!$I:$I,$C$1,'BKG Bank'!$K:$K,"&lt;="&amp;AF$6,'BKG Bank'!$L:$L,"&gt;"&amp;AF$6)</f>
        <v>0</v>
      </c>
      <c r="AG14" s="25">
        <f>SUMIFS('BKG Bank'!$O:$O,'BKG Bank'!$J:$J,$A12,'BKG Bank'!$I:$I,$C$1,'BKG Bank'!$K:$K,"&lt;="&amp;AG$6,'BKG Bank'!$L:$L,"&gt;"&amp;AG$6)</f>
        <v>0</v>
      </c>
      <c r="AH14" s="25">
        <f>SUMIFS('BKG Bank'!$O:$O,'BKG Bank'!$J:$J,$A12,'BKG Bank'!$I:$I,$C$1,'BKG Bank'!$K:$K,"&lt;="&amp;AH$6,'BKG Bank'!$L:$L,"&gt;"&amp;AH$6)</f>
        <v>0</v>
      </c>
      <c r="AI14" s="25">
        <f>SUMIFS('BKG Bank'!$O:$O,'BKG Bank'!$J:$J,$A12,'BKG Bank'!$I:$I,$C$1,'BKG Bank'!$K:$K,"&lt;="&amp;AI$6,'BKG Bank'!$L:$L,"&gt;"&amp;AI$6)</f>
        <v>0</v>
      </c>
      <c r="AJ14" s="25">
        <f>SUMIFS('BKG Bank'!$O:$O,'BKG Bank'!$J:$J,$A12,'BKG Bank'!$I:$I,$C$1,'BKG Bank'!$K:$K,"&lt;="&amp;AJ$6,'BKG Bank'!$L:$L,"&gt;"&amp;AJ$6)</f>
        <v>0</v>
      </c>
      <c r="AK14" s="25">
        <f>SUMIFS('BKG Bank'!$O:$O,'BKG Bank'!$J:$J,$A12,'BKG Bank'!$I:$I,$C$1,'BKG Bank'!$K:$K,"&lt;="&amp;AK$6,'BKG Bank'!$L:$L,"&gt;"&amp;AK$6)</f>
        <v>0</v>
      </c>
      <c r="AL14" s="44">
        <f>SUMIFS('BKG Bank'!$O:$O,'BKG Bank'!$J:$J,$A12,'BKG Bank'!$I:$I,$C$1,'BKG Bank'!$K:$K,"&lt;="&amp;AL$6,'BKG Bank'!$L:$L,"&gt;"&amp;AL$6)</f>
        <v>0</v>
      </c>
      <c r="BG14" s="14" t="s">
        <v>1394</v>
      </c>
      <c r="BH14" s="11"/>
      <c r="BI14" s="12"/>
      <c r="BJ14" s="13"/>
      <c r="BK14" s="12"/>
      <c r="BL14" s="11"/>
      <c r="BM14" s="12"/>
      <c r="BN14" s="13"/>
      <c r="BO14" s="12"/>
      <c r="BP14" s="11"/>
      <c r="BQ14" s="12"/>
      <c r="BR14" s="13"/>
      <c r="BS14" s="12"/>
      <c r="BT14" s="11"/>
      <c r="BU14" s="12"/>
      <c r="BV14" s="13"/>
      <c r="BW14" s="12"/>
      <c r="BX14" s="11"/>
      <c r="BY14" s="12"/>
      <c r="BZ14" s="13"/>
      <c r="CA14" s="12"/>
      <c r="CB14" s="11"/>
      <c r="CC14" s="12"/>
      <c r="CD14" s="11"/>
      <c r="CE14" s="12"/>
      <c r="CF14" s="11"/>
      <c r="CG14" s="12"/>
      <c r="CH14" s="11"/>
      <c r="CI14" s="12"/>
      <c r="CJ14" s="11"/>
      <c r="CK14" s="12"/>
      <c r="CL14" s="11"/>
      <c r="CM14" s="11"/>
      <c r="CN14" s="11"/>
      <c r="CO14" s="11"/>
      <c r="CP14" s="11"/>
      <c r="CQ14" s="11"/>
      <c r="CR14" s="11"/>
      <c r="CS14" s="11"/>
      <c r="CT14" s="11"/>
      <c r="CU14" s="11"/>
    </row>
    <row r="15" spans="1:99" x14ac:dyDescent="0.3">
      <c r="E15" s="46" t="s">
        <v>285</v>
      </c>
      <c r="G15" s="45" t="s">
        <v>285</v>
      </c>
      <c r="H15" s="25">
        <f>SUMIFS('Stop Sale'!$C:$C,'Stop Sale'!$B:$B,$A12,'Stop Sale'!$A:$A,$C$1,'Stop Sale'!$D:$D,"&lt;="&amp;H$6,'Stop Sale'!$E:$E,"&gt;"&amp;H$6)</f>
        <v>0</v>
      </c>
      <c r="I15" s="25">
        <f>SUMIFS('Stop Sale'!$C:$C,'Stop Sale'!$B:$B,$A12,'Stop Sale'!$A:$A,$C$1,'Stop Sale'!$D:$D,"&lt;="&amp;I$6,'Stop Sale'!$E:$E,"&gt;"&amp;I$6)</f>
        <v>0</v>
      </c>
      <c r="J15" s="25">
        <f>SUMIFS('Stop Sale'!$C:$C,'Stop Sale'!$B:$B,$A12,'Stop Sale'!$A:$A,$C$1,'Stop Sale'!$D:$D,"&lt;="&amp;J$6,'Stop Sale'!$E:$E,"&gt;"&amp;J$6)</f>
        <v>0</v>
      </c>
      <c r="K15" s="25">
        <f>SUMIFS('Stop Sale'!$C:$C,'Stop Sale'!$B:$B,$A12,'Stop Sale'!$A:$A,$C$1,'Stop Sale'!$D:$D,"&lt;="&amp;K$6,'Stop Sale'!$E:$E,"&gt;"&amp;K$6)</f>
        <v>0</v>
      </c>
      <c r="L15" s="25">
        <f>SUMIFS('Stop Sale'!$C:$C,'Stop Sale'!$B:$B,$A12,'Stop Sale'!$A:$A,$C$1,'Stop Sale'!$D:$D,"&lt;="&amp;L$6,'Stop Sale'!$E:$E,"&gt;"&amp;L$6)</f>
        <v>0</v>
      </c>
      <c r="M15" s="25">
        <f>SUMIFS('Stop Sale'!$C:$C,'Stop Sale'!$B:$B,$A12,'Stop Sale'!$A:$A,$C$1,'Stop Sale'!$D:$D,"&lt;="&amp;M$6,'Stop Sale'!$E:$E,"&gt;"&amp;M$6)</f>
        <v>0</v>
      </c>
      <c r="N15" s="25">
        <f>SUMIFS('Stop Sale'!$C:$C,'Stop Sale'!$B:$B,$A12,'Stop Sale'!$A:$A,$C$1,'Stop Sale'!$D:$D,"&lt;="&amp;N$6,'Stop Sale'!$E:$E,"&gt;"&amp;N$6)</f>
        <v>0</v>
      </c>
      <c r="O15" s="25">
        <f>SUMIFS('Stop Sale'!$C:$C,'Stop Sale'!$B:$B,$A12,'Stop Sale'!$A:$A,$C$1,'Stop Sale'!$D:$D,"&lt;="&amp;O$6,'Stop Sale'!$E:$E,"&gt;"&amp;O$6)</f>
        <v>0</v>
      </c>
      <c r="P15" s="25">
        <f>SUMIFS('Stop Sale'!$C:$C,'Stop Sale'!$B:$B,$A12,'Stop Sale'!$A:$A,$C$1,'Stop Sale'!$D:$D,"&lt;="&amp;P$6,'Stop Sale'!$E:$E,"&gt;"&amp;P$6)</f>
        <v>0</v>
      </c>
      <c r="Q15" s="25">
        <f>SUMIFS('Stop Sale'!$C:$C,'Stop Sale'!$B:$B,$A12,'Stop Sale'!$A:$A,$C$1,'Stop Sale'!$D:$D,"&lt;="&amp;Q$6,'Stop Sale'!$E:$E,"&gt;"&amp;Q$6)</f>
        <v>0</v>
      </c>
      <c r="R15" s="25">
        <f>SUMIFS('Stop Sale'!$C:$C,'Stop Sale'!$B:$B,$A12,'Stop Sale'!$A:$A,$C$1,'Stop Sale'!$D:$D,"&lt;="&amp;R$6,'Stop Sale'!$E:$E,"&gt;"&amp;R$6)</f>
        <v>0</v>
      </c>
      <c r="S15" s="25">
        <f>SUMIFS('Stop Sale'!$C:$C,'Stop Sale'!$B:$B,$A12,'Stop Sale'!$A:$A,$C$1,'Stop Sale'!$D:$D,"&lt;="&amp;S$6,'Stop Sale'!$E:$E,"&gt;"&amp;S$6)</f>
        <v>0</v>
      </c>
      <c r="T15" s="25">
        <f>SUMIFS('Stop Sale'!$C:$C,'Stop Sale'!$B:$B,$A12,'Stop Sale'!$A:$A,$C$1,'Stop Sale'!$D:$D,"&lt;="&amp;T$6,'Stop Sale'!$E:$E,"&gt;"&amp;T$6)</f>
        <v>0</v>
      </c>
      <c r="U15" s="25">
        <f>SUMIFS('Stop Sale'!$C:$C,'Stop Sale'!$B:$B,$A12,'Stop Sale'!$A:$A,$C$1,'Stop Sale'!$D:$D,"&lt;="&amp;U$6,'Stop Sale'!$E:$E,"&gt;"&amp;U$6)</f>
        <v>0</v>
      </c>
      <c r="V15" s="25">
        <f>SUMIFS('Stop Sale'!$C:$C,'Stop Sale'!$B:$B,$A12,'Stop Sale'!$A:$A,$C$1,'Stop Sale'!$D:$D,"&lt;="&amp;V$6,'Stop Sale'!$E:$E,"&gt;"&amp;V$6)</f>
        <v>0</v>
      </c>
      <c r="W15" s="25">
        <f>SUMIFS('Stop Sale'!$C:$C,'Stop Sale'!$B:$B,$A12,'Stop Sale'!$A:$A,$C$1,'Stop Sale'!$D:$D,"&lt;="&amp;W$6,'Stop Sale'!$E:$E,"&gt;"&amp;W$6)</f>
        <v>0</v>
      </c>
      <c r="X15" s="25">
        <f>SUMIFS('Stop Sale'!$C:$C,'Stop Sale'!$B:$B,$A12,'Stop Sale'!$A:$A,$C$1,'Stop Sale'!$D:$D,"&lt;="&amp;X$6,'Stop Sale'!$E:$E,"&gt;"&amp;X$6)</f>
        <v>0</v>
      </c>
      <c r="Y15" s="25">
        <f>SUMIFS('Stop Sale'!$C:$C,'Stop Sale'!$B:$B,$A12,'Stop Sale'!$A:$A,$C$1,'Stop Sale'!$D:$D,"&lt;="&amp;Y$6,'Stop Sale'!$E:$E,"&gt;"&amp;Y$6)</f>
        <v>0</v>
      </c>
      <c r="Z15" s="25">
        <f>SUMIFS('Stop Sale'!$C:$C,'Stop Sale'!$B:$B,$A12,'Stop Sale'!$A:$A,$C$1,'Stop Sale'!$D:$D,"&lt;="&amp;Z$6,'Stop Sale'!$E:$E,"&gt;"&amp;Z$6)</f>
        <v>0</v>
      </c>
      <c r="AA15" s="25">
        <f>SUMIFS('Stop Sale'!$C:$C,'Stop Sale'!$B:$B,$A12,'Stop Sale'!$A:$A,$C$1,'Stop Sale'!$D:$D,"&lt;="&amp;AA$6,'Stop Sale'!$E:$E,"&gt;"&amp;AA$6)</f>
        <v>0</v>
      </c>
      <c r="AB15" s="25">
        <f>SUMIFS('Stop Sale'!$C:$C,'Stop Sale'!$B:$B,$A12,'Stop Sale'!$A:$A,$C$1,'Stop Sale'!$D:$D,"&lt;="&amp;AB$6,'Stop Sale'!$E:$E,"&gt;"&amp;AB$6)</f>
        <v>0</v>
      </c>
      <c r="AC15" s="25">
        <f>SUMIFS('Stop Sale'!$C:$C,'Stop Sale'!$B:$B,$A12,'Stop Sale'!$A:$A,$C$1,'Stop Sale'!$D:$D,"&lt;="&amp;AC$6,'Stop Sale'!$E:$E,"&gt;"&amp;AC$6)</f>
        <v>0</v>
      </c>
      <c r="AD15" s="25">
        <f>SUMIFS('Stop Sale'!$C:$C,'Stop Sale'!$B:$B,$A12,'Stop Sale'!$A:$A,$C$1,'Stop Sale'!$D:$D,"&lt;="&amp;AD$6,'Stop Sale'!$E:$E,"&gt;"&amp;AD$6)</f>
        <v>0</v>
      </c>
      <c r="AE15" s="25">
        <f>SUMIFS('Stop Sale'!$C:$C,'Stop Sale'!$B:$B,$A12,'Stop Sale'!$A:$A,$C$1,'Stop Sale'!$D:$D,"&lt;="&amp;AE$6,'Stop Sale'!$E:$E,"&gt;"&amp;AE$6)</f>
        <v>0</v>
      </c>
      <c r="AF15" s="25">
        <f>SUMIFS('Stop Sale'!$C:$C,'Stop Sale'!$B:$B,$A12,'Stop Sale'!$A:$A,$C$1,'Stop Sale'!$D:$D,"&lt;="&amp;AF$6,'Stop Sale'!$E:$E,"&gt;"&amp;AF$6)</f>
        <v>0</v>
      </c>
      <c r="AG15" s="25">
        <f>SUMIFS('Stop Sale'!$C:$C,'Stop Sale'!$B:$B,$A12,'Stop Sale'!$A:$A,$C$1,'Stop Sale'!$D:$D,"&lt;="&amp;AG$6,'Stop Sale'!$E:$E,"&gt;"&amp;AG$6)</f>
        <v>0</v>
      </c>
      <c r="AH15" s="25">
        <f>SUMIFS('Stop Sale'!$C:$C,'Stop Sale'!$B:$B,$A12,'Stop Sale'!$A:$A,$C$1,'Stop Sale'!$D:$D,"&lt;="&amp;AH$6,'Stop Sale'!$E:$E,"&gt;"&amp;AH$6)</f>
        <v>0</v>
      </c>
      <c r="AI15" s="25">
        <f>SUMIFS('Stop Sale'!$C:$C,'Stop Sale'!$B:$B,$A12,'Stop Sale'!$A:$A,$C$1,'Stop Sale'!$D:$D,"&lt;="&amp;AI$6,'Stop Sale'!$E:$E,"&gt;"&amp;AI$6)</f>
        <v>0</v>
      </c>
      <c r="AJ15" s="25">
        <f>SUMIFS('Stop Sale'!$C:$C,'Stop Sale'!$B:$B,$A12,'Stop Sale'!$A:$A,$C$1,'Stop Sale'!$D:$D,"&lt;="&amp;AJ$6,'Stop Sale'!$E:$E,"&gt;"&amp;AJ$6)</f>
        <v>0</v>
      </c>
      <c r="AK15" s="25">
        <f>SUMIFS('Stop Sale'!$C:$C,'Stop Sale'!$B:$B,$A12,'Stop Sale'!$A:$A,$C$1,'Stop Sale'!$D:$D,"&lt;="&amp;AK$6,'Stop Sale'!$E:$E,"&gt;"&amp;AK$6)</f>
        <v>0</v>
      </c>
      <c r="AL15" s="44">
        <f>SUMIFS('Stop Sale'!$C:$C,'Stop Sale'!$B:$B,$A12,'Stop Sale'!$A:$A,$C$1,'Stop Sale'!$D:$D,"&lt;="&amp;AL$6,'Stop Sale'!$E:$E,"&gt;"&amp;AL$6)</f>
        <v>0</v>
      </c>
      <c r="BG15" s="14" t="s">
        <v>126</v>
      </c>
      <c r="BH15" s="11" t="s">
        <v>1448</v>
      </c>
      <c r="BI15" s="12">
        <v>3</v>
      </c>
      <c r="BJ15" s="13" t="s">
        <v>1423</v>
      </c>
      <c r="BK15" s="12">
        <v>1</v>
      </c>
      <c r="BL15" s="11" t="s">
        <v>1449</v>
      </c>
      <c r="BM15" s="12">
        <v>1</v>
      </c>
      <c r="BN15" s="60" t="s">
        <v>1450</v>
      </c>
      <c r="BO15" s="12">
        <v>0</v>
      </c>
      <c r="BP15" s="60" t="s">
        <v>1451</v>
      </c>
      <c r="BQ15" s="12">
        <v>0</v>
      </c>
      <c r="BR15" s="60" t="s">
        <v>1452</v>
      </c>
      <c r="BS15" s="12">
        <v>0</v>
      </c>
      <c r="BT15" s="60" t="s">
        <v>1453</v>
      </c>
      <c r="BU15" s="12">
        <v>0</v>
      </c>
      <c r="BV15" s="11" t="s">
        <v>1454</v>
      </c>
      <c r="BW15" s="12">
        <v>0</v>
      </c>
      <c r="BX15" s="11" t="s">
        <v>1455</v>
      </c>
      <c r="BY15" s="12">
        <v>0</v>
      </c>
      <c r="BZ15" s="11"/>
      <c r="CA15" s="12"/>
      <c r="CB15" s="11"/>
      <c r="CC15" s="12"/>
      <c r="CD15" s="11"/>
      <c r="CE15" s="12"/>
      <c r="CF15" s="11"/>
      <c r="CG15" s="12"/>
      <c r="CH15" s="11"/>
      <c r="CI15" s="12"/>
      <c r="CJ15" s="11"/>
      <c r="CK15" s="12"/>
      <c r="CL15" s="11"/>
      <c r="CM15" s="11"/>
      <c r="CN15" s="11"/>
      <c r="CO15" s="11"/>
      <c r="CP15" s="11"/>
      <c r="CQ15" s="11"/>
      <c r="CR15" s="11"/>
      <c r="CS15" s="11"/>
      <c r="CT15" s="11"/>
      <c r="CU15" s="11"/>
    </row>
    <row r="16" spans="1:99" x14ac:dyDescent="0.3">
      <c r="A16" s="64"/>
      <c r="B16" s="63"/>
      <c r="C16" s="63"/>
      <c r="D16" s="62"/>
      <c r="E16" s="58" t="s">
        <v>287</v>
      </c>
      <c r="F16" s="57">
        <f>IFERROR(F14/F13,"")</f>
        <v>0</v>
      </c>
      <c r="G16" s="56" t="s">
        <v>288</v>
      </c>
      <c r="H16" s="55">
        <f t="shared" ref="H16:AL16" si="4">H13-H14</f>
        <v>1</v>
      </c>
      <c r="I16" s="55">
        <f t="shared" si="4"/>
        <v>1</v>
      </c>
      <c r="J16" s="55">
        <f t="shared" si="4"/>
        <v>1</v>
      </c>
      <c r="K16" s="55">
        <f t="shared" si="4"/>
        <v>1</v>
      </c>
      <c r="L16" s="55">
        <f t="shared" si="4"/>
        <v>1</v>
      </c>
      <c r="M16" s="55">
        <f t="shared" si="4"/>
        <v>1</v>
      </c>
      <c r="N16" s="55">
        <f t="shared" si="4"/>
        <v>1</v>
      </c>
      <c r="O16" s="55">
        <f t="shared" si="4"/>
        <v>1</v>
      </c>
      <c r="P16" s="55">
        <f t="shared" si="4"/>
        <v>1</v>
      </c>
      <c r="Q16" s="55">
        <f t="shared" si="4"/>
        <v>1</v>
      </c>
      <c r="R16" s="55">
        <f t="shared" si="4"/>
        <v>1</v>
      </c>
      <c r="S16" s="55">
        <f t="shared" si="4"/>
        <v>1</v>
      </c>
      <c r="T16" s="55">
        <f t="shared" si="4"/>
        <v>1</v>
      </c>
      <c r="U16" s="55">
        <f t="shared" si="4"/>
        <v>1</v>
      </c>
      <c r="V16" s="55">
        <f t="shared" si="4"/>
        <v>1</v>
      </c>
      <c r="W16" s="55">
        <f t="shared" si="4"/>
        <v>1</v>
      </c>
      <c r="X16" s="55">
        <f t="shared" si="4"/>
        <v>1</v>
      </c>
      <c r="Y16" s="55">
        <f t="shared" si="4"/>
        <v>1</v>
      </c>
      <c r="Z16" s="55">
        <f t="shared" si="4"/>
        <v>1</v>
      </c>
      <c r="AA16" s="55">
        <f t="shared" si="4"/>
        <v>1</v>
      </c>
      <c r="AB16" s="55">
        <f t="shared" si="4"/>
        <v>1</v>
      </c>
      <c r="AC16" s="55">
        <f t="shared" si="4"/>
        <v>1</v>
      </c>
      <c r="AD16" s="55">
        <f t="shared" si="4"/>
        <v>1</v>
      </c>
      <c r="AE16" s="55">
        <f t="shared" si="4"/>
        <v>1</v>
      </c>
      <c r="AF16" s="55">
        <f t="shared" si="4"/>
        <v>1</v>
      </c>
      <c r="AG16" s="55">
        <f t="shared" si="4"/>
        <v>1</v>
      </c>
      <c r="AH16" s="55">
        <f t="shared" si="4"/>
        <v>1</v>
      </c>
      <c r="AI16" s="55">
        <f t="shared" si="4"/>
        <v>1</v>
      </c>
      <c r="AJ16" s="55">
        <f t="shared" si="4"/>
        <v>1</v>
      </c>
      <c r="AK16" s="55">
        <f t="shared" si="4"/>
        <v>1</v>
      </c>
      <c r="AL16" s="54">
        <f t="shared" si="4"/>
        <v>1</v>
      </c>
      <c r="BG16" s="14" t="s">
        <v>110</v>
      </c>
      <c r="BH16" s="13" t="s">
        <v>1448</v>
      </c>
      <c r="BI16" s="12">
        <v>3</v>
      </c>
      <c r="BJ16" s="11" t="s">
        <v>1415</v>
      </c>
      <c r="BK16" s="12">
        <v>1</v>
      </c>
      <c r="BL16" s="13" t="s">
        <v>1456</v>
      </c>
      <c r="BM16" s="12">
        <v>1</v>
      </c>
      <c r="BN16" s="11" t="s">
        <v>1457</v>
      </c>
      <c r="BO16" s="12">
        <v>0</v>
      </c>
      <c r="BP16" s="60"/>
      <c r="BQ16" s="12"/>
      <c r="BR16" s="60"/>
      <c r="BS16" s="12"/>
      <c r="BT16" s="60"/>
      <c r="BU16" s="12"/>
      <c r="BV16" s="11"/>
      <c r="BW16" s="12"/>
      <c r="BX16" s="11"/>
      <c r="BY16" s="12"/>
      <c r="BZ16" s="11"/>
      <c r="CA16" s="12"/>
      <c r="CB16" s="11"/>
      <c r="CC16" s="12"/>
      <c r="CD16" s="11"/>
      <c r="CE16" s="12"/>
      <c r="CF16" s="11"/>
      <c r="CG16" s="12"/>
      <c r="CH16" s="11"/>
      <c r="CI16" s="12"/>
      <c r="CJ16" s="11"/>
      <c r="CK16" s="12"/>
      <c r="CL16" s="11"/>
      <c r="CM16" s="11"/>
      <c r="CN16" s="11"/>
      <c r="CO16" s="11"/>
      <c r="CP16" s="11"/>
      <c r="CQ16" s="11"/>
      <c r="CR16" s="11"/>
      <c r="CS16" s="11"/>
      <c r="CT16" s="11"/>
      <c r="CU16" s="11"/>
    </row>
    <row r="17" spans="1:99" x14ac:dyDescent="0.3">
      <c r="A17" s="53">
        <f>VLOOKUP($C$1,$BG$2:$BU$119,6,FALSE)</f>
        <v>0</v>
      </c>
      <c r="B17" s="52"/>
      <c r="C17" s="52"/>
      <c r="D17" s="51"/>
      <c r="E17" s="50" t="s">
        <v>278</v>
      </c>
      <c r="F17" s="48"/>
      <c r="G17" s="49" t="s">
        <v>279</v>
      </c>
      <c r="H17" s="48">
        <v>1</v>
      </c>
      <c r="I17" s="48">
        <v>2</v>
      </c>
      <c r="J17" s="48">
        <v>3</v>
      </c>
      <c r="K17" s="48">
        <v>4</v>
      </c>
      <c r="L17" s="48">
        <v>5</v>
      </c>
      <c r="M17" s="48">
        <v>6</v>
      </c>
      <c r="N17" s="48">
        <v>7</v>
      </c>
      <c r="O17" s="48">
        <v>8</v>
      </c>
      <c r="P17" s="48">
        <v>9</v>
      </c>
      <c r="Q17" s="48">
        <v>10</v>
      </c>
      <c r="R17" s="48">
        <v>11</v>
      </c>
      <c r="S17" s="48">
        <v>12</v>
      </c>
      <c r="T17" s="48">
        <v>13</v>
      </c>
      <c r="U17" s="48">
        <v>14</v>
      </c>
      <c r="V17" s="48">
        <v>15</v>
      </c>
      <c r="W17" s="48">
        <v>16</v>
      </c>
      <c r="X17" s="48">
        <v>17</v>
      </c>
      <c r="Y17" s="48">
        <v>18</v>
      </c>
      <c r="Z17" s="48">
        <v>19</v>
      </c>
      <c r="AA17" s="48">
        <v>20</v>
      </c>
      <c r="AB17" s="48">
        <v>21</v>
      </c>
      <c r="AC17" s="48">
        <v>22</v>
      </c>
      <c r="AD17" s="48">
        <v>23</v>
      </c>
      <c r="AE17" s="48">
        <v>24</v>
      </c>
      <c r="AF17" s="48">
        <v>25</v>
      </c>
      <c r="AG17" s="48">
        <v>26</v>
      </c>
      <c r="AH17" s="48">
        <v>27</v>
      </c>
      <c r="AI17" s="48">
        <v>28</v>
      </c>
      <c r="AJ17" s="48">
        <v>29</v>
      </c>
      <c r="AK17" s="48">
        <v>30</v>
      </c>
      <c r="AL17" s="47">
        <v>31</v>
      </c>
      <c r="BG17" s="14" t="s">
        <v>134</v>
      </c>
      <c r="BH17" s="13" t="s">
        <v>155</v>
      </c>
      <c r="BI17" s="12">
        <v>6</v>
      </c>
      <c r="BJ17" s="11" t="s">
        <v>1458</v>
      </c>
      <c r="BK17" s="12">
        <v>2</v>
      </c>
      <c r="BL17" s="13" t="s">
        <v>1459</v>
      </c>
      <c r="BM17" s="12">
        <v>2</v>
      </c>
      <c r="BN17" s="60"/>
      <c r="BO17" s="12"/>
      <c r="BP17" s="60"/>
      <c r="BQ17" s="12"/>
      <c r="BR17" s="60"/>
      <c r="BS17" s="12"/>
      <c r="BT17" s="60"/>
      <c r="BU17" s="12"/>
      <c r="BV17" s="11"/>
      <c r="BW17" s="12"/>
      <c r="BX17" s="11"/>
      <c r="BY17" s="12"/>
      <c r="BZ17" s="11"/>
      <c r="CA17" s="12"/>
      <c r="CB17" s="11"/>
      <c r="CC17" s="12"/>
      <c r="CD17" s="11"/>
      <c r="CE17" s="12"/>
      <c r="CF17" s="11"/>
      <c r="CG17" s="12"/>
      <c r="CH17" s="11"/>
      <c r="CI17" s="12"/>
      <c r="CJ17" s="11"/>
      <c r="CK17" s="12"/>
      <c r="CL17" s="11"/>
      <c r="CM17" s="11"/>
      <c r="CN17" s="11"/>
      <c r="CO17" s="11"/>
      <c r="CP17" s="11"/>
      <c r="CQ17" s="11"/>
      <c r="CR17" s="11"/>
      <c r="CS17" s="11"/>
      <c r="CT17" s="11"/>
      <c r="CU17" s="11"/>
    </row>
    <row r="18" spans="1:99" x14ac:dyDescent="0.3">
      <c r="A18" s="43"/>
      <c r="D18" s="42"/>
      <c r="E18" s="41" t="s">
        <v>280</v>
      </c>
      <c r="F18" s="25">
        <f>SUM(H18:AL18)</f>
        <v>0</v>
      </c>
      <c r="G18" s="4" t="s">
        <v>281</v>
      </c>
      <c r="H18" s="25">
        <f t="shared" ref="H18:AL18" si="5">VLOOKUP($C$1,$BG$2:$CU$119,7,FALSE)</f>
        <v>0</v>
      </c>
      <c r="I18" s="25">
        <f t="shared" si="5"/>
        <v>0</v>
      </c>
      <c r="J18" s="25">
        <f t="shared" si="5"/>
        <v>0</v>
      </c>
      <c r="K18" s="25">
        <f t="shared" si="5"/>
        <v>0</v>
      </c>
      <c r="L18" s="25">
        <f t="shared" si="5"/>
        <v>0</v>
      </c>
      <c r="M18" s="25">
        <f t="shared" si="5"/>
        <v>0</v>
      </c>
      <c r="N18" s="25">
        <f t="shared" si="5"/>
        <v>0</v>
      </c>
      <c r="O18" s="25">
        <f t="shared" si="5"/>
        <v>0</v>
      </c>
      <c r="P18" s="25">
        <f t="shared" si="5"/>
        <v>0</v>
      </c>
      <c r="Q18" s="25">
        <f t="shared" si="5"/>
        <v>0</v>
      </c>
      <c r="R18" s="25">
        <f t="shared" si="5"/>
        <v>0</v>
      </c>
      <c r="S18" s="25">
        <f t="shared" si="5"/>
        <v>0</v>
      </c>
      <c r="T18" s="25">
        <f t="shared" si="5"/>
        <v>0</v>
      </c>
      <c r="U18" s="25">
        <f t="shared" si="5"/>
        <v>0</v>
      </c>
      <c r="V18" s="25">
        <f t="shared" si="5"/>
        <v>0</v>
      </c>
      <c r="W18" s="25">
        <f t="shared" si="5"/>
        <v>0</v>
      </c>
      <c r="X18" s="25">
        <f t="shared" si="5"/>
        <v>0</v>
      </c>
      <c r="Y18" s="25">
        <f t="shared" si="5"/>
        <v>0</v>
      </c>
      <c r="Z18" s="25">
        <f t="shared" si="5"/>
        <v>0</v>
      </c>
      <c r="AA18" s="25">
        <f t="shared" si="5"/>
        <v>0</v>
      </c>
      <c r="AB18" s="25">
        <f t="shared" si="5"/>
        <v>0</v>
      </c>
      <c r="AC18" s="25">
        <f t="shared" si="5"/>
        <v>0</v>
      </c>
      <c r="AD18" s="25">
        <f t="shared" si="5"/>
        <v>0</v>
      </c>
      <c r="AE18" s="25">
        <f t="shared" si="5"/>
        <v>0</v>
      </c>
      <c r="AF18" s="25">
        <f t="shared" si="5"/>
        <v>0</v>
      </c>
      <c r="AG18" s="25">
        <f t="shared" si="5"/>
        <v>0</v>
      </c>
      <c r="AH18" s="25">
        <f t="shared" si="5"/>
        <v>0</v>
      </c>
      <c r="AI18" s="25">
        <f t="shared" si="5"/>
        <v>0</v>
      </c>
      <c r="AJ18" s="25">
        <f t="shared" si="5"/>
        <v>0</v>
      </c>
      <c r="AK18" s="25">
        <f t="shared" si="5"/>
        <v>0</v>
      </c>
      <c r="AL18" s="44">
        <f t="shared" si="5"/>
        <v>0</v>
      </c>
      <c r="BG18" s="14" t="s">
        <v>210</v>
      </c>
      <c r="BH18" s="11" t="s">
        <v>1460</v>
      </c>
      <c r="BI18" s="12">
        <v>5</v>
      </c>
      <c r="BJ18" s="13" t="s">
        <v>1461</v>
      </c>
      <c r="BK18" s="12">
        <v>1</v>
      </c>
      <c r="BL18" s="11" t="s">
        <v>1436</v>
      </c>
      <c r="BM18" s="12">
        <v>0</v>
      </c>
      <c r="BN18" s="13"/>
      <c r="BO18" s="12"/>
      <c r="BP18" s="60"/>
      <c r="BQ18" s="12"/>
      <c r="BR18" s="60"/>
      <c r="BS18" s="12"/>
      <c r="BT18" s="60"/>
      <c r="BU18" s="12"/>
      <c r="BV18" s="11"/>
      <c r="BW18" s="12"/>
      <c r="BX18" s="11"/>
      <c r="BY18" s="12"/>
      <c r="BZ18" s="11"/>
      <c r="CA18" s="12"/>
      <c r="CB18" s="11"/>
      <c r="CC18" s="12"/>
      <c r="CD18" s="11"/>
      <c r="CE18" s="12"/>
      <c r="CF18" s="11"/>
      <c r="CG18" s="12"/>
      <c r="CH18" s="11"/>
      <c r="CI18" s="12"/>
      <c r="CJ18" s="11"/>
      <c r="CK18" s="12"/>
      <c r="CL18" s="11"/>
      <c r="CM18" s="11"/>
      <c r="CN18" s="11"/>
      <c r="CO18" s="11"/>
      <c r="CP18" s="11"/>
      <c r="CQ18" s="11"/>
      <c r="CR18" s="11"/>
      <c r="CS18" s="11"/>
      <c r="CT18" s="11"/>
      <c r="CU18" s="11"/>
    </row>
    <row r="19" spans="1:99" x14ac:dyDescent="0.3">
      <c r="A19" s="43"/>
      <c r="D19" s="42"/>
      <c r="E19" s="41" t="s">
        <v>282</v>
      </c>
      <c r="F19" s="25">
        <f>SUM(H19:AL19)</f>
        <v>0</v>
      </c>
      <c r="G19" s="4" t="s">
        <v>283</v>
      </c>
      <c r="H19" s="25">
        <f>SUMIFS('BKG Bank'!$O:$O,'BKG Bank'!$J:$J,$A17,'BKG Bank'!$I:$I,$C$1,'BKG Bank'!$K:$K,"&lt;="&amp;H$6,'BKG Bank'!$L:$L,"&gt;"&amp;H$6)</f>
        <v>0</v>
      </c>
      <c r="I19" s="25">
        <f>SUMIFS('BKG Bank'!$O:$O,'BKG Bank'!$J:$J,$A17,'BKG Bank'!$I:$I,$C$1,'BKG Bank'!$K:$K,"&lt;="&amp;I$6,'BKG Bank'!$L:$L,"&gt;"&amp;I$6)</f>
        <v>0</v>
      </c>
      <c r="J19" s="25">
        <f>SUMIFS('BKG Bank'!$O:$O,'BKG Bank'!$J:$J,$A17,'BKG Bank'!$I:$I,$C$1,'BKG Bank'!$K:$K,"&lt;="&amp;J$6,'BKG Bank'!$L:$L,"&gt;"&amp;J$6)</f>
        <v>0</v>
      </c>
      <c r="K19" s="25">
        <f>SUMIFS('BKG Bank'!$O:$O,'BKG Bank'!$J:$J,$A17,'BKG Bank'!$I:$I,$C$1,'BKG Bank'!$K:$K,"&lt;="&amp;K$6,'BKG Bank'!$L:$L,"&gt;"&amp;K$6)</f>
        <v>0</v>
      </c>
      <c r="L19" s="25">
        <f>SUMIFS('BKG Bank'!$O:$O,'BKG Bank'!$J:$J,$A17,'BKG Bank'!$I:$I,$C$1,'BKG Bank'!$K:$K,"&lt;="&amp;L$6,'BKG Bank'!$L:$L,"&gt;"&amp;L$6)</f>
        <v>0</v>
      </c>
      <c r="M19" s="25">
        <f>SUMIFS('BKG Bank'!$O:$O,'BKG Bank'!$J:$J,$A17,'BKG Bank'!$I:$I,$C$1,'BKG Bank'!$K:$K,"&lt;="&amp;M$6,'BKG Bank'!$L:$L,"&gt;"&amp;M$6)</f>
        <v>0</v>
      </c>
      <c r="N19" s="25">
        <f>SUMIFS('BKG Bank'!$O:$O,'BKG Bank'!$J:$J,$A17,'BKG Bank'!$I:$I,$C$1,'BKG Bank'!$K:$K,"&lt;="&amp;N$6,'BKG Bank'!$L:$L,"&gt;"&amp;N$6)</f>
        <v>0</v>
      </c>
      <c r="O19" s="25">
        <f>SUMIFS('BKG Bank'!$O:$O,'BKG Bank'!$J:$J,$A17,'BKG Bank'!$I:$I,$C$1,'BKG Bank'!$K:$K,"&lt;="&amp;O$6,'BKG Bank'!$L:$L,"&gt;"&amp;O$6)</f>
        <v>0</v>
      </c>
      <c r="P19" s="25">
        <f>SUMIFS('BKG Bank'!$O:$O,'BKG Bank'!$J:$J,$A17,'BKG Bank'!$I:$I,$C$1,'BKG Bank'!$K:$K,"&lt;="&amp;P$6,'BKG Bank'!$L:$L,"&gt;"&amp;P$6)</f>
        <v>0</v>
      </c>
      <c r="Q19" s="25">
        <f>SUMIFS('BKG Bank'!$O:$O,'BKG Bank'!$J:$J,$A17,'BKG Bank'!$I:$I,$C$1,'BKG Bank'!$K:$K,"&lt;="&amp;Q$6,'BKG Bank'!$L:$L,"&gt;"&amp;Q$6)</f>
        <v>0</v>
      </c>
      <c r="R19" s="25">
        <f>SUMIFS('BKG Bank'!$O:$O,'BKG Bank'!$J:$J,$A17,'BKG Bank'!$I:$I,$C$1,'BKG Bank'!$K:$K,"&lt;="&amp;R$6,'BKG Bank'!$L:$L,"&gt;"&amp;R$6)</f>
        <v>0</v>
      </c>
      <c r="S19" s="25">
        <f>SUMIFS('BKG Bank'!$O:$O,'BKG Bank'!$J:$J,$A17,'BKG Bank'!$I:$I,$C$1,'BKG Bank'!$K:$K,"&lt;="&amp;S$6,'BKG Bank'!$L:$L,"&gt;"&amp;S$6)</f>
        <v>0</v>
      </c>
      <c r="T19" s="25">
        <f>SUMIFS('BKG Bank'!$O:$O,'BKG Bank'!$J:$J,$A17,'BKG Bank'!$I:$I,$C$1,'BKG Bank'!$K:$K,"&lt;="&amp;T$6,'BKG Bank'!$L:$L,"&gt;"&amp;T$6)</f>
        <v>0</v>
      </c>
      <c r="U19" s="25">
        <f>SUMIFS('BKG Bank'!$O:$O,'BKG Bank'!$J:$J,$A17,'BKG Bank'!$I:$I,$C$1,'BKG Bank'!$K:$K,"&lt;="&amp;U$6,'BKG Bank'!$L:$L,"&gt;"&amp;U$6)</f>
        <v>0</v>
      </c>
      <c r="V19" s="25">
        <f>SUMIFS('BKG Bank'!$O:$O,'BKG Bank'!$J:$J,$A17,'BKG Bank'!$I:$I,$C$1,'BKG Bank'!$K:$K,"&lt;="&amp;V$6,'BKG Bank'!$L:$L,"&gt;"&amp;V$6)</f>
        <v>0</v>
      </c>
      <c r="W19" s="25">
        <f>SUMIFS('BKG Bank'!$O:$O,'BKG Bank'!$J:$J,$A17,'BKG Bank'!$I:$I,$C$1,'BKG Bank'!$K:$K,"&lt;="&amp;W$6,'BKG Bank'!$L:$L,"&gt;"&amp;W$6)</f>
        <v>0</v>
      </c>
      <c r="X19" s="25">
        <f>SUMIFS('BKG Bank'!$O:$O,'BKG Bank'!$J:$J,$A17,'BKG Bank'!$I:$I,$C$1,'BKG Bank'!$K:$K,"&lt;="&amp;X$6,'BKG Bank'!$L:$L,"&gt;"&amp;X$6)</f>
        <v>0</v>
      </c>
      <c r="Y19" s="25">
        <f>SUMIFS('BKG Bank'!$O:$O,'BKG Bank'!$J:$J,$A17,'BKG Bank'!$I:$I,$C$1,'BKG Bank'!$K:$K,"&lt;="&amp;Y$6,'BKG Bank'!$L:$L,"&gt;"&amp;Y$6)</f>
        <v>0</v>
      </c>
      <c r="Z19" s="25">
        <f>SUMIFS('BKG Bank'!$O:$O,'BKG Bank'!$J:$J,$A17,'BKG Bank'!$I:$I,$C$1,'BKG Bank'!$K:$K,"&lt;="&amp;Z$6,'BKG Bank'!$L:$L,"&gt;"&amp;Z$6)</f>
        <v>0</v>
      </c>
      <c r="AA19" s="25">
        <f>SUMIFS('BKG Bank'!$O:$O,'BKG Bank'!$J:$J,$A17,'BKG Bank'!$I:$I,$C$1,'BKG Bank'!$K:$K,"&lt;="&amp;AA$6,'BKG Bank'!$L:$L,"&gt;"&amp;AA$6)</f>
        <v>0</v>
      </c>
      <c r="AB19" s="25">
        <f>SUMIFS('BKG Bank'!$O:$O,'BKG Bank'!$J:$J,$A17,'BKG Bank'!$I:$I,$C$1,'BKG Bank'!$K:$K,"&lt;="&amp;AB$6,'BKG Bank'!$L:$L,"&gt;"&amp;AB$6)</f>
        <v>0</v>
      </c>
      <c r="AC19" s="25">
        <f>SUMIFS('BKG Bank'!$O:$O,'BKG Bank'!$J:$J,$A17,'BKG Bank'!$I:$I,$C$1,'BKG Bank'!$K:$K,"&lt;="&amp;AC$6,'BKG Bank'!$L:$L,"&gt;"&amp;AC$6)</f>
        <v>0</v>
      </c>
      <c r="AD19" s="25">
        <f>SUMIFS('BKG Bank'!$O:$O,'BKG Bank'!$J:$J,$A17,'BKG Bank'!$I:$I,$C$1,'BKG Bank'!$K:$K,"&lt;="&amp;AD$6,'BKG Bank'!$L:$L,"&gt;"&amp;AD$6)</f>
        <v>0</v>
      </c>
      <c r="AE19" s="25">
        <f>SUMIFS('BKG Bank'!$O:$O,'BKG Bank'!$J:$J,$A17,'BKG Bank'!$I:$I,$C$1,'BKG Bank'!$K:$K,"&lt;="&amp;AE$6,'BKG Bank'!$L:$L,"&gt;"&amp;AE$6)</f>
        <v>0</v>
      </c>
      <c r="AF19" s="25">
        <f>SUMIFS('BKG Bank'!$O:$O,'BKG Bank'!$J:$J,$A17,'BKG Bank'!$I:$I,$C$1,'BKG Bank'!$K:$K,"&lt;="&amp;AF$6,'BKG Bank'!$L:$L,"&gt;"&amp;AF$6)</f>
        <v>0</v>
      </c>
      <c r="AG19" s="25">
        <f>SUMIFS('BKG Bank'!$O:$O,'BKG Bank'!$J:$J,$A17,'BKG Bank'!$I:$I,$C$1,'BKG Bank'!$K:$K,"&lt;="&amp;AG$6,'BKG Bank'!$L:$L,"&gt;"&amp;AG$6)</f>
        <v>0</v>
      </c>
      <c r="AH19" s="25">
        <f>SUMIFS('BKG Bank'!$O:$O,'BKG Bank'!$J:$J,$A17,'BKG Bank'!$I:$I,$C$1,'BKG Bank'!$K:$K,"&lt;="&amp;AH$6,'BKG Bank'!$L:$L,"&gt;"&amp;AH$6)</f>
        <v>0</v>
      </c>
      <c r="AI19" s="25">
        <f>SUMIFS('BKG Bank'!$O:$O,'BKG Bank'!$J:$J,$A17,'BKG Bank'!$I:$I,$C$1,'BKG Bank'!$K:$K,"&lt;="&amp;AI$6,'BKG Bank'!$L:$L,"&gt;"&amp;AI$6)</f>
        <v>0</v>
      </c>
      <c r="AJ19" s="25">
        <f>SUMIFS('BKG Bank'!$O:$O,'BKG Bank'!$J:$J,$A17,'BKG Bank'!$I:$I,$C$1,'BKG Bank'!$K:$K,"&lt;="&amp;AJ$6,'BKG Bank'!$L:$L,"&gt;"&amp;AJ$6)</f>
        <v>0</v>
      </c>
      <c r="AK19" s="25">
        <f>SUMIFS('BKG Bank'!$O:$O,'BKG Bank'!$J:$J,$A17,'BKG Bank'!$I:$I,$C$1,'BKG Bank'!$K:$K,"&lt;="&amp;AK$6,'BKG Bank'!$L:$L,"&gt;"&amp;AK$6)</f>
        <v>0</v>
      </c>
      <c r="AL19" s="44">
        <f>SUMIFS('BKG Bank'!$O:$O,'BKG Bank'!$J:$J,$A17,'BKG Bank'!$I:$I,$C$1,'BKG Bank'!$K:$K,"&lt;="&amp;AL$6,'BKG Bank'!$L:$L,"&gt;"&amp;AL$6)</f>
        <v>0</v>
      </c>
      <c r="BG19" s="14" t="s">
        <v>89</v>
      </c>
      <c r="BH19" s="11" t="s">
        <v>1402</v>
      </c>
      <c r="BI19" s="12">
        <v>10</v>
      </c>
      <c r="BJ19" s="13" t="s">
        <v>1462</v>
      </c>
      <c r="BK19" s="12">
        <v>2</v>
      </c>
      <c r="BL19" s="11" t="s">
        <v>1463</v>
      </c>
      <c r="BM19" s="12">
        <v>2</v>
      </c>
      <c r="BN19" s="13" t="s">
        <v>1436</v>
      </c>
      <c r="BO19" s="12">
        <v>1</v>
      </c>
      <c r="BP19" s="11"/>
      <c r="BQ19" s="12"/>
      <c r="BR19" s="13"/>
      <c r="BS19" s="12"/>
      <c r="BT19" s="60"/>
      <c r="BU19" s="12"/>
      <c r="BV19" s="11"/>
      <c r="BW19" s="12"/>
      <c r="BX19" s="11"/>
      <c r="BY19" s="12"/>
      <c r="BZ19" s="11"/>
      <c r="CA19" s="12"/>
      <c r="CB19" s="11"/>
      <c r="CC19" s="12"/>
      <c r="CD19" s="11"/>
      <c r="CE19" s="12"/>
      <c r="CF19" s="11"/>
      <c r="CG19" s="12"/>
      <c r="CH19" s="11"/>
      <c r="CI19" s="12"/>
      <c r="CJ19" s="11"/>
      <c r="CK19" s="12"/>
      <c r="CL19" s="11"/>
      <c r="CM19" s="11"/>
      <c r="CN19" s="11"/>
      <c r="CO19" s="11"/>
      <c r="CP19" s="11"/>
      <c r="CQ19" s="11"/>
      <c r="CR19" s="11"/>
      <c r="CS19" s="11"/>
      <c r="CT19" s="11"/>
      <c r="CU19" s="11"/>
    </row>
    <row r="20" spans="1:99" x14ac:dyDescent="0.3">
      <c r="E20" s="46" t="s">
        <v>285</v>
      </c>
      <c r="G20" s="45" t="s">
        <v>285</v>
      </c>
      <c r="H20" s="25">
        <f>SUMIFS('Stop Sale'!$C:$C,'Stop Sale'!$B:$B,$A17,'Stop Sale'!$A:$A,$C$1,'Stop Sale'!$D:$D,"&lt;="&amp;H$6,'Stop Sale'!$E:$E,"&gt;"&amp;H$6)</f>
        <v>0</v>
      </c>
      <c r="I20" s="25">
        <f>SUMIFS('Stop Sale'!$C:$C,'Stop Sale'!$B:$B,$A17,'Stop Sale'!$A:$A,$C$1,'Stop Sale'!$D:$D,"&lt;="&amp;I$6,'Stop Sale'!$E:$E,"&gt;"&amp;I$6)</f>
        <v>0</v>
      </c>
      <c r="J20" s="25">
        <f>SUMIFS('Stop Sale'!$C:$C,'Stop Sale'!$B:$B,$A17,'Stop Sale'!$A:$A,$C$1,'Stop Sale'!$D:$D,"&lt;="&amp;J$6,'Stop Sale'!$E:$E,"&gt;"&amp;J$6)</f>
        <v>0</v>
      </c>
      <c r="K20" s="25">
        <f>SUMIFS('Stop Sale'!$C:$C,'Stop Sale'!$B:$B,$A17,'Stop Sale'!$A:$A,$C$1,'Stop Sale'!$D:$D,"&lt;="&amp;K$6,'Stop Sale'!$E:$E,"&gt;"&amp;K$6)</f>
        <v>0</v>
      </c>
      <c r="L20" s="25">
        <f>SUMIFS('Stop Sale'!$C:$C,'Stop Sale'!$B:$B,$A17,'Stop Sale'!$A:$A,$C$1,'Stop Sale'!$D:$D,"&lt;="&amp;L$6,'Stop Sale'!$E:$E,"&gt;"&amp;L$6)</f>
        <v>0</v>
      </c>
      <c r="M20" s="25">
        <f>SUMIFS('Stop Sale'!$C:$C,'Stop Sale'!$B:$B,$A17,'Stop Sale'!$A:$A,$C$1,'Stop Sale'!$D:$D,"&lt;="&amp;M$6,'Stop Sale'!$E:$E,"&gt;"&amp;M$6)</f>
        <v>0</v>
      </c>
      <c r="N20" s="25">
        <f>SUMIFS('Stop Sale'!$C:$C,'Stop Sale'!$B:$B,$A17,'Stop Sale'!$A:$A,$C$1,'Stop Sale'!$D:$D,"&lt;="&amp;N$6,'Stop Sale'!$E:$E,"&gt;"&amp;N$6)</f>
        <v>0</v>
      </c>
      <c r="O20" s="25">
        <f>SUMIFS('Stop Sale'!$C:$C,'Stop Sale'!$B:$B,$A17,'Stop Sale'!$A:$A,$C$1,'Stop Sale'!$D:$D,"&lt;="&amp;O$6,'Stop Sale'!$E:$E,"&gt;"&amp;O$6)</f>
        <v>0</v>
      </c>
      <c r="P20" s="25">
        <f>SUMIFS('Stop Sale'!$C:$C,'Stop Sale'!$B:$B,$A17,'Stop Sale'!$A:$A,$C$1,'Stop Sale'!$D:$D,"&lt;="&amp;P$6,'Stop Sale'!$E:$E,"&gt;"&amp;P$6)</f>
        <v>0</v>
      </c>
      <c r="Q20" s="25">
        <f>SUMIFS('Stop Sale'!$C:$C,'Stop Sale'!$B:$B,$A17,'Stop Sale'!$A:$A,$C$1,'Stop Sale'!$D:$D,"&lt;="&amp;Q$6,'Stop Sale'!$E:$E,"&gt;"&amp;Q$6)</f>
        <v>0</v>
      </c>
      <c r="R20" s="25">
        <f>SUMIFS('Stop Sale'!$C:$C,'Stop Sale'!$B:$B,$A17,'Stop Sale'!$A:$A,$C$1,'Stop Sale'!$D:$D,"&lt;="&amp;R$6,'Stop Sale'!$E:$E,"&gt;"&amp;R$6)</f>
        <v>0</v>
      </c>
      <c r="S20" s="25">
        <f>SUMIFS('Stop Sale'!$C:$C,'Stop Sale'!$B:$B,$A17,'Stop Sale'!$A:$A,$C$1,'Stop Sale'!$D:$D,"&lt;="&amp;S$6,'Stop Sale'!$E:$E,"&gt;"&amp;S$6)</f>
        <v>0</v>
      </c>
      <c r="T20" s="25">
        <f>SUMIFS('Stop Sale'!$C:$C,'Stop Sale'!$B:$B,$A17,'Stop Sale'!$A:$A,$C$1,'Stop Sale'!$D:$D,"&lt;="&amp;T$6,'Stop Sale'!$E:$E,"&gt;"&amp;T$6)</f>
        <v>0</v>
      </c>
      <c r="U20" s="25">
        <f>SUMIFS('Stop Sale'!$C:$C,'Stop Sale'!$B:$B,$A17,'Stop Sale'!$A:$A,$C$1,'Stop Sale'!$D:$D,"&lt;="&amp;U$6,'Stop Sale'!$E:$E,"&gt;"&amp;U$6)</f>
        <v>0</v>
      </c>
      <c r="V20" s="25">
        <f>SUMIFS('Stop Sale'!$C:$C,'Stop Sale'!$B:$B,$A17,'Stop Sale'!$A:$A,$C$1,'Stop Sale'!$D:$D,"&lt;="&amp;V$6,'Stop Sale'!$E:$E,"&gt;"&amp;V$6)</f>
        <v>0</v>
      </c>
      <c r="W20" s="25">
        <f>SUMIFS('Stop Sale'!$C:$C,'Stop Sale'!$B:$B,$A17,'Stop Sale'!$A:$A,$C$1,'Stop Sale'!$D:$D,"&lt;="&amp;W$6,'Stop Sale'!$E:$E,"&gt;"&amp;W$6)</f>
        <v>0</v>
      </c>
      <c r="X20" s="25">
        <f>SUMIFS('Stop Sale'!$C:$C,'Stop Sale'!$B:$B,$A17,'Stop Sale'!$A:$A,$C$1,'Stop Sale'!$D:$D,"&lt;="&amp;X$6,'Stop Sale'!$E:$E,"&gt;"&amp;X$6)</f>
        <v>0</v>
      </c>
      <c r="Y20" s="25">
        <f>SUMIFS('Stop Sale'!$C:$C,'Stop Sale'!$B:$B,$A17,'Stop Sale'!$A:$A,$C$1,'Stop Sale'!$D:$D,"&lt;="&amp;Y$6,'Stop Sale'!$E:$E,"&gt;"&amp;Y$6)</f>
        <v>0</v>
      </c>
      <c r="Z20" s="25">
        <f>SUMIFS('Stop Sale'!$C:$C,'Stop Sale'!$B:$B,$A17,'Stop Sale'!$A:$A,$C$1,'Stop Sale'!$D:$D,"&lt;="&amp;Z$6,'Stop Sale'!$E:$E,"&gt;"&amp;Z$6)</f>
        <v>0</v>
      </c>
      <c r="AA20" s="25">
        <f>SUMIFS('Stop Sale'!$C:$C,'Stop Sale'!$B:$B,$A17,'Stop Sale'!$A:$A,$C$1,'Stop Sale'!$D:$D,"&lt;="&amp;AA$6,'Stop Sale'!$E:$E,"&gt;"&amp;AA$6)</f>
        <v>0</v>
      </c>
      <c r="AB20" s="25">
        <f>SUMIFS('Stop Sale'!$C:$C,'Stop Sale'!$B:$B,$A17,'Stop Sale'!$A:$A,$C$1,'Stop Sale'!$D:$D,"&lt;="&amp;AB$6,'Stop Sale'!$E:$E,"&gt;"&amp;AB$6)</f>
        <v>0</v>
      </c>
      <c r="AC20" s="25">
        <f>SUMIFS('Stop Sale'!$C:$C,'Stop Sale'!$B:$B,$A17,'Stop Sale'!$A:$A,$C$1,'Stop Sale'!$D:$D,"&lt;="&amp;AC$6,'Stop Sale'!$E:$E,"&gt;"&amp;AC$6)</f>
        <v>0</v>
      </c>
      <c r="AD20" s="25">
        <f>SUMIFS('Stop Sale'!$C:$C,'Stop Sale'!$B:$B,$A17,'Stop Sale'!$A:$A,$C$1,'Stop Sale'!$D:$D,"&lt;="&amp;AD$6,'Stop Sale'!$E:$E,"&gt;"&amp;AD$6)</f>
        <v>0</v>
      </c>
      <c r="AE20" s="25">
        <f>SUMIFS('Stop Sale'!$C:$C,'Stop Sale'!$B:$B,$A17,'Stop Sale'!$A:$A,$C$1,'Stop Sale'!$D:$D,"&lt;="&amp;AE$6,'Stop Sale'!$E:$E,"&gt;"&amp;AE$6)</f>
        <v>0</v>
      </c>
      <c r="AF20" s="25">
        <f>SUMIFS('Stop Sale'!$C:$C,'Stop Sale'!$B:$B,$A17,'Stop Sale'!$A:$A,$C$1,'Stop Sale'!$D:$D,"&lt;="&amp;AF$6,'Stop Sale'!$E:$E,"&gt;"&amp;AF$6)</f>
        <v>0</v>
      </c>
      <c r="AG20" s="25">
        <f>SUMIFS('Stop Sale'!$C:$C,'Stop Sale'!$B:$B,$A17,'Stop Sale'!$A:$A,$C$1,'Stop Sale'!$D:$D,"&lt;="&amp;AG$6,'Stop Sale'!$E:$E,"&gt;"&amp;AG$6)</f>
        <v>0</v>
      </c>
      <c r="AH20" s="25">
        <f>SUMIFS('Stop Sale'!$C:$C,'Stop Sale'!$B:$B,$A17,'Stop Sale'!$A:$A,$C$1,'Stop Sale'!$D:$D,"&lt;="&amp;AH$6,'Stop Sale'!$E:$E,"&gt;"&amp;AH$6)</f>
        <v>0</v>
      </c>
      <c r="AI20" s="25">
        <f>SUMIFS('Stop Sale'!$C:$C,'Stop Sale'!$B:$B,$A17,'Stop Sale'!$A:$A,$C$1,'Stop Sale'!$D:$D,"&lt;="&amp;AI$6,'Stop Sale'!$E:$E,"&gt;"&amp;AI$6)</f>
        <v>0</v>
      </c>
      <c r="AJ20" s="25">
        <f>SUMIFS('Stop Sale'!$C:$C,'Stop Sale'!$B:$B,$A17,'Stop Sale'!$A:$A,$C$1,'Stop Sale'!$D:$D,"&lt;="&amp;AJ$6,'Stop Sale'!$E:$E,"&gt;"&amp;AJ$6)</f>
        <v>0</v>
      </c>
      <c r="AK20" s="25">
        <f>SUMIFS('Stop Sale'!$C:$C,'Stop Sale'!$B:$B,$A17,'Stop Sale'!$A:$A,$C$1,'Stop Sale'!$D:$D,"&lt;="&amp;AK$6,'Stop Sale'!$E:$E,"&gt;"&amp;AK$6)</f>
        <v>0</v>
      </c>
      <c r="AL20" s="44">
        <f>SUMIFS('Stop Sale'!$C:$C,'Stop Sale'!$B:$B,$A17,'Stop Sale'!$A:$A,$C$1,'Stop Sale'!$D:$D,"&lt;="&amp;AL$6,'Stop Sale'!$E:$E,"&gt;"&amp;AL$6)</f>
        <v>0</v>
      </c>
      <c r="BG20" s="14" t="s">
        <v>135</v>
      </c>
      <c r="BH20" s="11" t="s">
        <v>1402</v>
      </c>
      <c r="BI20" s="12">
        <v>11</v>
      </c>
      <c r="BJ20" s="60" t="s">
        <v>1462</v>
      </c>
      <c r="BK20" s="12">
        <v>3</v>
      </c>
      <c r="BL20" s="60" t="s">
        <v>1463</v>
      </c>
      <c r="BM20" s="12">
        <v>3</v>
      </c>
      <c r="BN20" s="60" t="s">
        <v>1436</v>
      </c>
      <c r="BO20" s="12">
        <v>2</v>
      </c>
      <c r="BP20" s="60" t="s">
        <v>1446</v>
      </c>
      <c r="BQ20" s="12">
        <v>1</v>
      </c>
      <c r="BR20" s="60"/>
      <c r="BS20" s="12"/>
      <c r="BT20" s="60"/>
      <c r="BU20" s="12"/>
      <c r="BV20" s="11"/>
      <c r="BW20" s="12"/>
      <c r="BX20" s="11"/>
      <c r="BY20" s="12"/>
      <c r="BZ20" s="11"/>
      <c r="CA20" s="12"/>
      <c r="CB20" s="11"/>
      <c r="CC20" s="12"/>
      <c r="CD20" s="11"/>
      <c r="CE20" s="12"/>
      <c r="CF20" s="11"/>
      <c r="CG20" s="12"/>
      <c r="CH20" s="11"/>
      <c r="CI20" s="12"/>
      <c r="CJ20" s="11"/>
      <c r="CK20" s="12"/>
      <c r="CL20" s="11"/>
      <c r="CM20" s="11"/>
      <c r="CN20" s="11"/>
      <c r="CO20" s="11"/>
      <c r="CP20" s="11"/>
      <c r="CQ20" s="11"/>
      <c r="CR20" s="11"/>
      <c r="CS20" s="11"/>
      <c r="CT20" s="11"/>
      <c r="CU20" s="11"/>
    </row>
    <row r="21" spans="1:99" x14ac:dyDescent="0.3">
      <c r="A21" s="64"/>
      <c r="B21" s="63"/>
      <c r="C21" s="63"/>
      <c r="D21" s="62"/>
      <c r="E21" s="58" t="s">
        <v>287</v>
      </c>
      <c r="F21" s="57" t="str">
        <f>IFERROR(F19/F18,"")</f>
        <v/>
      </c>
      <c r="G21" s="56" t="s">
        <v>288</v>
      </c>
      <c r="H21" s="55">
        <f t="shared" ref="H21:AL21" si="6">H18-H19</f>
        <v>0</v>
      </c>
      <c r="I21" s="55">
        <f t="shared" si="6"/>
        <v>0</v>
      </c>
      <c r="J21" s="55">
        <f t="shared" si="6"/>
        <v>0</v>
      </c>
      <c r="K21" s="55">
        <f t="shared" si="6"/>
        <v>0</v>
      </c>
      <c r="L21" s="55">
        <f t="shared" si="6"/>
        <v>0</v>
      </c>
      <c r="M21" s="55">
        <f t="shared" si="6"/>
        <v>0</v>
      </c>
      <c r="N21" s="55">
        <f t="shared" si="6"/>
        <v>0</v>
      </c>
      <c r="O21" s="55">
        <f t="shared" si="6"/>
        <v>0</v>
      </c>
      <c r="P21" s="55">
        <f t="shared" si="6"/>
        <v>0</v>
      </c>
      <c r="Q21" s="55">
        <f t="shared" si="6"/>
        <v>0</v>
      </c>
      <c r="R21" s="55">
        <f t="shared" si="6"/>
        <v>0</v>
      </c>
      <c r="S21" s="55">
        <f t="shared" si="6"/>
        <v>0</v>
      </c>
      <c r="T21" s="55">
        <f t="shared" si="6"/>
        <v>0</v>
      </c>
      <c r="U21" s="55">
        <f t="shared" si="6"/>
        <v>0</v>
      </c>
      <c r="V21" s="55">
        <f t="shared" si="6"/>
        <v>0</v>
      </c>
      <c r="W21" s="55">
        <f t="shared" si="6"/>
        <v>0</v>
      </c>
      <c r="X21" s="55">
        <f t="shared" si="6"/>
        <v>0</v>
      </c>
      <c r="Y21" s="55">
        <f t="shared" si="6"/>
        <v>0</v>
      </c>
      <c r="Z21" s="55">
        <f t="shared" si="6"/>
        <v>0</v>
      </c>
      <c r="AA21" s="55">
        <f t="shared" si="6"/>
        <v>0</v>
      </c>
      <c r="AB21" s="55">
        <f t="shared" si="6"/>
        <v>0</v>
      </c>
      <c r="AC21" s="55">
        <f t="shared" si="6"/>
        <v>0</v>
      </c>
      <c r="AD21" s="55">
        <f t="shared" si="6"/>
        <v>0</v>
      </c>
      <c r="AE21" s="55">
        <f t="shared" si="6"/>
        <v>0</v>
      </c>
      <c r="AF21" s="55">
        <f t="shared" si="6"/>
        <v>0</v>
      </c>
      <c r="AG21" s="55">
        <f t="shared" si="6"/>
        <v>0</v>
      </c>
      <c r="AH21" s="55">
        <f t="shared" si="6"/>
        <v>0</v>
      </c>
      <c r="AI21" s="55">
        <f t="shared" si="6"/>
        <v>0</v>
      </c>
      <c r="AJ21" s="55">
        <f t="shared" si="6"/>
        <v>0</v>
      </c>
      <c r="AK21" s="55">
        <f t="shared" si="6"/>
        <v>0</v>
      </c>
      <c r="AL21" s="54">
        <f t="shared" si="6"/>
        <v>0</v>
      </c>
      <c r="BG21" s="14" t="s">
        <v>153</v>
      </c>
      <c r="BH21" s="11"/>
      <c r="BI21" s="12"/>
      <c r="BJ21" s="13"/>
      <c r="BK21" s="12"/>
      <c r="BL21" s="11"/>
      <c r="BM21" s="12"/>
      <c r="BN21" s="13"/>
      <c r="BO21" s="12"/>
      <c r="BP21" s="11"/>
      <c r="BQ21" s="12"/>
      <c r="BR21" s="13"/>
      <c r="BS21" s="12"/>
      <c r="BT21" s="60"/>
      <c r="BU21" s="12"/>
      <c r="BV21" s="11"/>
      <c r="BW21" s="12"/>
      <c r="BX21" s="11"/>
      <c r="BY21" s="12"/>
      <c r="BZ21" s="11"/>
      <c r="CA21" s="12"/>
      <c r="CB21" s="11"/>
      <c r="CC21" s="12"/>
      <c r="CD21" s="11"/>
      <c r="CE21" s="12"/>
      <c r="CF21" s="11"/>
      <c r="CG21" s="12"/>
      <c r="CH21" s="11"/>
      <c r="CI21" s="12"/>
      <c r="CJ21" s="11"/>
      <c r="CK21" s="12"/>
      <c r="CL21" s="11"/>
      <c r="CM21" s="11"/>
      <c r="CN21" s="11"/>
      <c r="CO21" s="11"/>
      <c r="CP21" s="11"/>
      <c r="CQ21" s="11"/>
      <c r="CR21" s="11"/>
      <c r="CS21" s="11"/>
      <c r="CT21" s="11"/>
      <c r="CU21" s="11"/>
    </row>
    <row r="22" spans="1:99" x14ac:dyDescent="0.3">
      <c r="A22" s="53">
        <f>VLOOKUP($C$1,$BG$2:$BU$119,8,FALSE)</f>
        <v>0</v>
      </c>
      <c r="B22" s="52"/>
      <c r="C22" s="52"/>
      <c r="D22" s="51"/>
      <c r="E22" s="50" t="s">
        <v>278</v>
      </c>
      <c r="F22" s="48"/>
      <c r="G22" s="49" t="s">
        <v>279</v>
      </c>
      <c r="H22" s="48">
        <v>1</v>
      </c>
      <c r="I22" s="48">
        <v>2</v>
      </c>
      <c r="J22" s="48">
        <v>3</v>
      </c>
      <c r="K22" s="48">
        <v>4</v>
      </c>
      <c r="L22" s="48">
        <v>5</v>
      </c>
      <c r="M22" s="48">
        <v>6</v>
      </c>
      <c r="N22" s="48">
        <v>7</v>
      </c>
      <c r="O22" s="48">
        <v>8</v>
      </c>
      <c r="P22" s="48">
        <v>9</v>
      </c>
      <c r="Q22" s="48">
        <v>10</v>
      </c>
      <c r="R22" s="48">
        <v>11</v>
      </c>
      <c r="S22" s="48">
        <v>12</v>
      </c>
      <c r="T22" s="48">
        <v>13</v>
      </c>
      <c r="U22" s="48">
        <v>14</v>
      </c>
      <c r="V22" s="48">
        <v>15</v>
      </c>
      <c r="W22" s="48">
        <v>16</v>
      </c>
      <c r="X22" s="48">
        <v>17</v>
      </c>
      <c r="Y22" s="48">
        <v>18</v>
      </c>
      <c r="Z22" s="48">
        <v>19</v>
      </c>
      <c r="AA22" s="48">
        <v>20</v>
      </c>
      <c r="AB22" s="48">
        <v>21</v>
      </c>
      <c r="AC22" s="48">
        <v>22</v>
      </c>
      <c r="AD22" s="48">
        <v>23</v>
      </c>
      <c r="AE22" s="48">
        <v>24</v>
      </c>
      <c r="AF22" s="48">
        <v>25</v>
      </c>
      <c r="AG22" s="48">
        <v>26</v>
      </c>
      <c r="AH22" s="48">
        <v>27</v>
      </c>
      <c r="AI22" s="48">
        <v>28</v>
      </c>
      <c r="AJ22" s="48">
        <v>29</v>
      </c>
      <c r="AK22" s="48">
        <v>30</v>
      </c>
      <c r="AL22" s="47">
        <v>31</v>
      </c>
      <c r="BG22" s="14" t="s">
        <v>182</v>
      </c>
      <c r="BH22" s="13" t="s">
        <v>1468</v>
      </c>
      <c r="BI22" s="12">
        <v>1</v>
      </c>
      <c r="BJ22" s="61" t="s">
        <v>1469</v>
      </c>
      <c r="BK22" s="12">
        <v>1</v>
      </c>
      <c r="BL22" s="61" t="s">
        <v>1466</v>
      </c>
      <c r="BM22" s="12">
        <v>1</v>
      </c>
      <c r="BN22" s="61"/>
      <c r="BO22" s="12"/>
      <c r="BP22" s="61"/>
      <c r="BQ22" s="12"/>
      <c r="BR22" s="60"/>
      <c r="BS22" s="12"/>
      <c r="BT22" s="60"/>
      <c r="BU22" s="12"/>
      <c r="BV22" s="11"/>
      <c r="BW22" s="12"/>
      <c r="BX22" s="11"/>
      <c r="BY22" s="12"/>
      <c r="BZ22" s="11"/>
      <c r="CA22" s="12"/>
      <c r="CB22" s="11"/>
      <c r="CC22" s="12"/>
      <c r="CD22" s="11"/>
      <c r="CE22" s="12"/>
      <c r="CF22" s="11"/>
      <c r="CG22" s="12"/>
      <c r="CH22" s="11"/>
      <c r="CI22" s="12"/>
      <c r="CJ22" s="11"/>
      <c r="CK22" s="12"/>
      <c r="CL22" s="11"/>
      <c r="CM22" s="11"/>
      <c r="CN22" s="11"/>
      <c r="CO22" s="11"/>
      <c r="CP22" s="11"/>
      <c r="CQ22" s="11"/>
      <c r="CR22" s="11"/>
      <c r="CS22" s="11"/>
      <c r="CT22" s="11"/>
      <c r="CU22" s="11"/>
    </row>
    <row r="23" spans="1:99" x14ac:dyDescent="0.3">
      <c r="A23" s="43"/>
      <c r="D23" s="42"/>
      <c r="E23" s="41" t="s">
        <v>280</v>
      </c>
      <c r="F23" s="25">
        <f>SUM(H23:AL23)</f>
        <v>0</v>
      </c>
      <c r="G23" s="4" t="s">
        <v>281</v>
      </c>
      <c r="H23" s="25">
        <f t="shared" ref="H23:AL23" si="7">VLOOKUP($C$1,$BG$2:$CU$119,9,FALSE)</f>
        <v>0</v>
      </c>
      <c r="I23" s="25">
        <f t="shared" si="7"/>
        <v>0</v>
      </c>
      <c r="J23" s="25">
        <f t="shared" si="7"/>
        <v>0</v>
      </c>
      <c r="K23" s="25">
        <f t="shared" si="7"/>
        <v>0</v>
      </c>
      <c r="L23" s="25">
        <f t="shared" si="7"/>
        <v>0</v>
      </c>
      <c r="M23" s="25">
        <f t="shared" si="7"/>
        <v>0</v>
      </c>
      <c r="N23" s="25">
        <f t="shared" si="7"/>
        <v>0</v>
      </c>
      <c r="O23" s="25">
        <f t="shared" si="7"/>
        <v>0</v>
      </c>
      <c r="P23" s="25">
        <f t="shared" si="7"/>
        <v>0</v>
      </c>
      <c r="Q23" s="25">
        <f t="shared" si="7"/>
        <v>0</v>
      </c>
      <c r="R23" s="25">
        <f t="shared" si="7"/>
        <v>0</v>
      </c>
      <c r="S23" s="25">
        <f t="shared" si="7"/>
        <v>0</v>
      </c>
      <c r="T23" s="25">
        <f t="shared" si="7"/>
        <v>0</v>
      </c>
      <c r="U23" s="25">
        <f t="shared" si="7"/>
        <v>0</v>
      </c>
      <c r="V23" s="25">
        <f t="shared" si="7"/>
        <v>0</v>
      </c>
      <c r="W23" s="25">
        <f t="shared" si="7"/>
        <v>0</v>
      </c>
      <c r="X23" s="25">
        <f t="shared" si="7"/>
        <v>0</v>
      </c>
      <c r="Y23" s="25">
        <f t="shared" si="7"/>
        <v>0</v>
      </c>
      <c r="Z23" s="25">
        <f t="shared" si="7"/>
        <v>0</v>
      </c>
      <c r="AA23" s="25">
        <f t="shared" si="7"/>
        <v>0</v>
      </c>
      <c r="AB23" s="25">
        <f t="shared" si="7"/>
        <v>0</v>
      </c>
      <c r="AC23" s="25">
        <f t="shared" si="7"/>
        <v>0</v>
      </c>
      <c r="AD23" s="25">
        <f t="shared" si="7"/>
        <v>0</v>
      </c>
      <c r="AE23" s="25">
        <f t="shared" si="7"/>
        <v>0</v>
      </c>
      <c r="AF23" s="25">
        <f t="shared" si="7"/>
        <v>0</v>
      </c>
      <c r="AG23" s="25">
        <f t="shared" si="7"/>
        <v>0</v>
      </c>
      <c r="AH23" s="25">
        <f t="shared" si="7"/>
        <v>0</v>
      </c>
      <c r="AI23" s="25">
        <f t="shared" si="7"/>
        <v>0</v>
      </c>
      <c r="AJ23" s="25">
        <f t="shared" si="7"/>
        <v>0</v>
      </c>
      <c r="AK23" s="25">
        <f t="shared" si="7"/>
        <v>0</v>
      </c>
      <c r="AL23" s="44">
        <f t="shared" si="7"/>
        <v>0</v>
      </c>
      <c r="BG23" s="14" t="s">
        <v>129</v>
      </c>
      <c r="BH23" s="11"/>
      <c r="BI23" s="12"/>
      <c r="BJ23" s="13"/>
      <c r="BK23" s="12"/>
      <c r="BL23" s="11"/>
      <c r="BM23" s="12"/>
      <c r="BN23" s="13"/>
      <c r="BO23" s="12"/>
      <c r="BP23" s="11"/>
      <c r="BQ23" s="12"/>
      <c r="BR23" s="60"/>
      <c r="BS23" s="12"/>
      <c r="BT23" s="60"/>
      <c r="BU23" s="12"/>
      <c r="BV23" s="11"/>
      <c r="BW23" s="12"/>
      <c r="BX23" s="11"/>
      <c r="BY23" s="12"/>
      <c r="BZ23" s="11"/>
      <c r="CA23" s="12"/>
      <c r="CB23" s="11"/>
      <c r="CC23" s="12"/>
      <c r="CD23" s="11"/>
      <c r="CE23" s="12"/>
      <c r="CF23" s="11"/>
      <c r="CG23" s="12"/>
      <c r="CH23" s="11"/>
      <c r="CI23" s="12"/>
      <c r="CJ23" s="11"/>
      <c r="CK23" s="12"/>
      <c r="CL23" s="11"/>
      <c r="CM23" s="11"/>
      <c r="CN23" s="11"/>
      <c r="CO23" s="11"/>
      <c r="CP23" s="11"/>
      <c r="CQ23" s="11"/>
      <c r="CR23" s="11"/>
      <c r="CS23" s="11"/>
      <c r="CT23" s="11"/>
      <c r="CU23" s="11"/>
    </row>
    <row r="24" spans="1:99" x14ac:dyDescent="0.3">
      <c r="A24" s="43"/>
      <c r="D24" s="42"/>
      <c r="E24" s="41" t="s">
        <v>282</v>
      </c>
      <c r="F24" s="25">
        <f>SUM(H24:AL24)</f>
        <v>0</v>
      </c>
      <c r="G24" s="4" t="s">
        <v>283</v>
      </c>
      <c r="H24" s="25">
        <f>SUMIFS('BKG Bank'!$O:$O,'BKG Bank'!$J:$J,$A22,'BKG Bank'!$I:$I,$C$1,'BKG Bank'!$K:$K,"&lt;="&amp;H$6,'BKG Bank'!$L:$L,"&gt;"&amp;H$6)</f>
        <v>0</v>
      </c>
      <c r="I24" s="25">
        <f>SUMIFS('BKG Bank'!$O:$O,'BKG Bank'!$J:$J,$A22,'BKG Bank'!$I:$I,$C$1,'BKG Bank'!$K:$K,"&lt;="&amp;I$6,'BKG Bank'!$L:$L,"&gt;"&amp;I$6)</f>
        <v>0</v>
      </c>
      <c r="J24" s="25">
        <f>SUMIFS('BKG Bank'!$O:$O,'BKG Bank'!$J:$J,$A22,'BKG Bank'!$I:$I,$C$1,'BKG Bank'!$K:$K,"&lt;="&amp;J$6,'BKG Bank'!$L:$L,"&gt;"&amp;J$6)</f>
        <v>0</v>
      </c>
      <c r="K24" s="25">
        <f>SUMIFS('BKG Bank'!$O:$O,'BKG Bank'!$J:$J,$A22,'BKG Bank'!$I:$I,$C$1,'BKG Bank'!$K:$K,"&lt;="&amp;K$6,'BKG Bank'!$L:$L,"&gt;"&amp;K$6)</f>
        <v>0</v>
      </c>
      <c r="L24" s="25">
        <f>SUMIFS('BKG Bank'!$O:$O,'BKG Bank'!$J:$J,$A22,'BKG Bank'!$I:$I,$C$1,'BKG Bank'!$K:$K,"&lt;="&amp;L$6,'BKG Bank'!$L:$L,"&gt;"&amp;L$6)</f>
        <v>0</v>
      </c>
      <c r="M24" s="25">
        <f>SUMIFS('BKG Bank'!$O:$O,'BKG Bank'!$J:$J,$A22,'BKG Bank'!$I:$I,$C$1,'BKG Bank'!$K:$K,"&lt;="&amp;M$6,'BKG Bank'!$L:$L,"&gt;"&amp;M$6)</f>
        <v>0</v>
      </c>
      <c r="N24" s="25">
        <f>SUMIFS('BKG Bank'!$O:$O,'BKG Bank'!$J:$J,$A22,'BKG Bank'!$I:$I,$C$1,'BKG Bank'!$K:$K,"&lt;="&amp;N$6,'BKG Bank'!$L:$L,"&gt;"&amp;N$6)</f>
        <v>0</v>
      </c>
      <c r="O24" s="25">
        <f>SUMIFS('BKG Bank'!$O:$O,'BKG Bank'!$J:$J,$A22,'BKG Bank'!$I:$I,$C$1,'BKG Bank'!$K:$K,"&lt;="&amp;O$6,'BKG Bank'!$L:$L,"&gt;"&amp;O$6)</f>
        <v>0</v>
      </c>
      <c r="P24" s="25">
        <f>SUMIFS('BKG Bank'!$O:$O,'BKG Bank'!$J:$J,$A22,'BKG Bank'!$I:$I,$C$1,'BKG Bank'!$K:$K,"&lt;="&amp;P$6,'BKG Bank'!$L:$L,"&gt;"&amp;P$6)</f>
        <v>0</v>
      </c>
      <c r="Q24" s="25">
        <f>SUMIFS('BKG Bank'!$O:$O,'BKG Bank'!$J:$J,$A22,'BKG Bank'!$I:$I,$C$1,'BKG Bank'!$K:$K,"&lt;="&amp;Q$6,'BKG Bank'!$L:$L,"&gt;"&amp;Q$6)</f>
        <v>0</v>
      </c>
      <c r="R24" s="25">
        <f>SUMIFS('BKG Bank'!$O:$O,'BKG Bank'!$J:$J,$A22,'BKG Bank'!$I:$I,$C$1,'BKG Bank'!$K:$K,"&lt;="&amp;R$6,'BKG Bank'!$L:$L,"&gt;"&amp;R$6)</f>
        <v>0</v>
      </c>
      <c r="S24" s="25">
        <f>SUMIFS('BKG Bank'!$O:$O,'BKG Bank'!$J:$J,$A22,'BKG Bank'!$I:$I,$C$1,'BKG Bank'!$K:$K,"&lt;="&amp;S$6,'BKG Bank'!$L:$L,"&gt;"&amp;S$6)</f>
        <v>0</v>
      </c>
      <c r="T24" s="25">
        <f>SUMIFS('BKG Bank'!$O:$O,'BKG Bank'!$J:$J,$A22,'BKG Bank'!$I:$I,$C$1,'BKG Bank'!$K:$K,"&lt;="&amp;T$6,'BKG Bank'!$L:$L,"&gt;"&amp;T$6)</f>
        <v>0</v>
      </c>
      <c r="U24" s="25">
        <f>SUMIFS('BKG Bank'!$O:$O,'BKG Bank'!$J:$J,$A22,'BKG Bank'!$I:$I,$C$1,'BKG Bank'!$K:$K,"&lt;="&amp;U$6,'BKG Bank'!$L:$L,"&gt;"&amp;U$6)</f>
        <v>0</v>
      </c>
      <c r="V24" s="25">
        <f>SUMIFS('BKG Bank'!$O:$O,'BKG Bank'!$J:$J,$A22,'BKG Bank'!$I:$I,$C$1,'BKG Bank'!$K:$K,"&lt;="&amp;V$6,'BKG Bank'!$L:$L,"&gt;"&amp;V$6)</f>
        <v>0</v>
      </c>
      <c r="W24" s="25">
        <f>SUMIFS('BKG Bank'!$O:$O,'BKG Bank'!$J:$J,$A22,'BKG Bank'!$I:$I,$C$1,'BKG Bank'!$K:$K,"&lt;="&amp;W$6,'BKG Bank'!$L:$L,"&gt;"&amp;W$6)</f>
        <v>0</v>
      </c>
      <c r="X24" s="25">
        <f>SUMIFS('BKG Bank'!$O:$O,'BKG Bank'!$J:$J,$A22,'BKG Bank'!$I:$I,$C$1,'BKG Bank'!$K:$K,"&lt;="&amp;X$6,'BKG Bank'!$L:$L,"&gt;"&amp;X$6)</f>
        <v>0</v>
      </c>
      <c r="Y24" s="25">
        <f>SUMIFS('BKG Bank'!$O:$O,'BKG Bank'!$J:$J,$A22,'BKG Bank'!$I:$I,$C$1,'BKG Bank'!$K:$K,"&lt;="&amp;Y$6,'BKG Bank'!$L:$L,"&gt;"&amp;Y$6)</f>
        <v>0</v>
      </c>
      <c r="Z24" s="25">
        <f>SUMIFS('BKG Bank'!$O:$O,'BKG Bank'!$J:$J,$A22,'BKG Bank'!$I:$I,$C$1,'BKG Bank'!$K:$K,"&lt;="&amp;Z$6,'BKG Bank'!$L:$L,"&gt;"&amp;Z$6)</f>
        <v>0</v>
      </c>
      <c r="AA24" s="25">
        <f>SUMIFS('BKG Bank'!$O:$O,'BKG Bank'!$J:$J,$A22,'BKG Bank'!$I:$I,$C$1,'BKG Bank'!$K:$K,"&lt;="&amp;AA$6,'BKG Bank'!$L:$L,"&gt;"&amp;AA$6)</f>
        <v>0</v>
      </c>
      <c r="AB24" s="25">
        <f>SUMIFS('BKG Bank'!$O:$O,'BKG Bank'!$J:$J,$A22,'BKG Bank'!$I:$I,$C$1,'BKG Bank'!$K:$K,"&lt;="&amp;AB$6,'BKG Bank'!$L:$L,"&gt;"&amp;AB$6)</f>
        <v>0</v>
      </c>
      <c r="AC24" s="25">
        <f>SUMIFS('BKG Bank'!$O:$O,'BKG Bank'!$J:$J,$A22,'BKG Bank'!$I:$I,$C$1,'BKG Bank'!$K:$K,"&lt;="&amp;AC$6,'BKG Bank'!$L:$L,"&gt;"&amp;AC$6)</f>
        <v>0</v>
      </c>
      <c r="AD24" s="25">
        <f>SUMIFS('BKG Bank'!$O:$O,'BKG Bank'!$J:$J,$A22,'BKG Bank'!$I:$I,$C$1,'BKG Bank'!$K:$K,"&lt;="&amp;AD$6,'BKG Bank'!$L:$L,"&gt;"&amp;AD$6)</f>
        <v>0</v>
      </c>
      <c r="AE24" s="25">
        <f>SUMIFS('BKG Bank'!$O:$O,'BKG Bank'!$J:$J,$A22,'BKG Bank'!$I:$I,$C$1,'BKG Bank'!$K:$K,"&lt;="&amp;AE$6,'BKG Bank'!$L:$L,"&gt;"&amp;AE$6)</f>
        <v>0</v>
      </c>
      <c r="AF24" s="25">
        <f>SUMIFS('BKG Bank'!$O:$O,'BKG Bank'!$J:$J,$A22,'BKG Bank'!$I:$I,$C$1,'BKG Bank'!$K:$K,"&lt;="&amp;AF$6,'BKG Bank'!$L:$L,"&gt;"&amp;AF$6)</f>
        <v>0</v>
      </c>
      <c r="AG24" s="25">
        <f>SUMIFS('BKG Bank'!$O:$O,'BKG Bank'!$J:$J,$A22,'BKG Bank'!$I:$I,$C$1,'BKG Bank'!$K:$K,"&lt;="&amp;AG$6,'BKG Bank'!$L:$L,"&gt;"&amp;AG$6)</f>
        <v>0</v>
      </c>
      <c r="AH24" s="25">
        <f>SUMIFS('BKG Bank'!$O:$O,'BKG Bank'!$J:$J,$A22,'BKG Bank'!$I:$I,$C$1,'BKG Bank'!$K:$K,"&lt;="&amp;AH$6,'BKG Bank'!$L:$L,"&gt;"&amp;AH$6)</f>
        <v>0</v>
      </c>
      <c r="AI24" s="25">
        <f>SUMIFS('BKG Bank'!$O:$O,'BKG Bank'!$J:$J,$A22,'BKG Bank'!$I:$I,$C$1,'BKG Bank'!$K:$K,"&lt;="&amp;AI$6,'BKG Bank'!$L:$L,"&gt;"&amp;AI$6)</f>
        <v>0</v>
      </c>
      <c r="AJ24" s="25">
        <f>SUMIFS('BKG Bank'!$O:$O,'BKG Bank'!$J:$J,$A22,'BKG Bank'!$I:$I,$C$1,'BKG Bank'!$K:$K,"&lt;="&amp;AJ$6,'BKG Bank'!$L:$L,"&gt;"&amp;AJ$6)</f>
        <v>0</v>
      </c>
      <c r="AK24" s="25">
        <f>SUMIFS('BKG Bank'!$O:$O,'BKG Bank'!$J:$J,$A22,'BKG Bank'!$I:$I,$C$1,'BKG Bank'!$K:$K,"&lt;="&amp;AK$6,'BKG Bank'!$L:$L,"&gt;"&amp;AK$6)</f>
        <v>0</v>
      </c>
      <c r="AL24" s="44">
        <f>SUMIFS('BKG Bank'!$O:$O,'BKG Bank'!$J:$J,$A22,'BKG Bank'!$I:$I,$C$1,'BKG Bank'!$K:$K,"&lt;="&amp;AL$6,'BKG Bank'!$L:$L,"&gt;"&amp;AL$6)</f>
        <v>0</v>
      </c>
      <c r="BG24" s="14" t="s">
        <v>131</v>
      </c>
      <c r="BH24" s="13"/>
      <c r="BI24" s="12"/>
      <c r="BJ24" s="11"/>
      <c r="BK24" s="12"/>
      <c r="BL24" s="13"/>
      <c r="BM24" s="12"/>
      <c r="BN24" s="11"/>
      <c r="BO24" s="12"/>
      <c r="BP24" s="61"/>
      <c r="BQ24" s="12"/>
      <c r="BR24" s="60"/>
      <c r="BS24" s="12"/>
      <c r="BT24" s="60"/>
      <c r="BU24" s="12"/>
      <c r="BV24" s="11"/>
      <c r="BW24" s="12"/>
      <c r="BX24" s="11"/>
      <c r="BY24" s="12"/>
      <c r="BZ24" s="11"/>
      <c r="CA24" s="12"/>
      <c r="CB24" s="11"/>
      <c r="CC24" s="12"/>
      <c r="CD24" s="11"/>
      <c r="CE24" s="12"/>
      <c r="CF24" s="11"/>
      <c r="CG24" s="12"/>
      <c r="CH24" s="11"/>
      <c r="CI24" s="12"/>
      <c r="CJ24" s="11"/>
      <c r="CK24" s="12"/>
      <c r="CL24" s="11"/>
      <c r="CM24" s="11"/>
      <c r="CN24" s="11"/>
      <c r="CO24" s="11"/>
      <c r="CP24" s="11"/>
      <c r="CQ24" s="11"/>
      <c r="CR24" s="11"/>
      <c r="CS24" s="11"/>
      <c r="CT24" s="11"/>
      <c r="CU24" s="11"/>
    </row>
    <row r="25" spans="1:99" x14ac:dyDescent="0.3">
      <c r="E25" s="46" t="s">
        <v>285</v>
      </c>
      <c r="G25" s="45" t="s">
        <v>285</v>
      </c>
      <c r="H25" s="25">
        <f>SUMIFS('Stop Sale'!$C:$C,'Stop Sale'!$B:$B,$A22,'Stop Sale'!$A:$A,$C$1,'Stop Sale'!$D:$D,"&lt;="&amp;H$6,'Stop Sale'!$E:$E,"&gt;"&amp;H$6)</f>
        <v>0</v>
      </c>
      <c r="I25" s="25">
        <f>SUMIFS('Stop Sale'!$C:$C,'Stop Sale'!$B:$B,$A22,'Stop Sale'!$A:$A,$C$1,'Stop Sale'!$D:$D,"&lt;="&amp;I$6,'Stop Sale'!$E:$E,"&gt;"&amp;I$6)</f>
        <v>0</v>
      </c>
      <c r="J25" s="25">
        <f>SUMIFS('Stop Sale'!$C:$C,'Stop Sale'!$B:$B,$A22,'Stop Sale'!$A:$A,$C$1,'Stop Sale'!$D:$D,"&lt;="&amp;J$6,'Stop Sale'!$E:$E,"&gt;"&amp;J$6)</f>
        <v>0</v>
      </c>
      <c r="K25" s="25">
        <f>SUMIFS('Stop Sale'!$C:$C,'Stop Sale'!$B:$B,$A22,'Stop Sale'!$A:$A,$C$1,'Stop Sale'!$D:$D,"&lt;="&amp;K$6,'Stop Sale'!$E:$E,"&gt;"&amp;K$6)</f>
        <v>0</v>
      </c>
      <c r="L25" s="25">
        <f>SUMIFS('Stop Sale'!$C:$C,'Stop Sale'!$B:$B,$A22,'Stop Sale'!$A:$A,$C$1,'Stop Sale'!$D:$D,"&lt;="&amp;L$6,'Stop Sale'!$E:$E,"&gt;"&amp;L$6)</f>
        <v>0</v>
      </c>
      <c r="M25" s="25">
        <f>SUMIFS('Stop Sale'!$C:$C,'Stop Sale'!$B:$B,$A22,'Stop Sale'!$A:$A,$C$1,'Stop Sale'!$D:$D,"&lt;="&amp;M$6,'Stop Sale'!$E:$E,"&gt;"&amp;M$6)</f>
        <v>0</v>
      </c>
      <c r="N25" s="25">
        <f>SUMIFS('Stop Sale'!$C:$C,'Stop Sale'!$B:$B,$A22,'Stop Sale'!$A:$A,$C$1,'Stop Sale'!$D:$D,"&lt;="&amp;N$6,'Stop Sale'!$E:$E,"&gt;"&amp;N$6)</f>
        <v>0</v>
      </c>
      <c r="O25" s="25">
        <f>SUMIFS('Stop Sale'!$C:$C,'Stop Sale'!$B:$B,$A22,'Stop Sale'!$A:$A,$C$1,'Stop Sale'!$D:$D,"&lt;="&amp;O$6,'Stop Sale'!$E:$E,"&gt;"&amp;O$6)</f>
        <v>0</v>
      </c>
      <c r="P25" s="25">
        <f>SUMIFS('Stop Sale'!$C:$C,'Stop Sale'!$B:$B,$A22,'Stop Sale'!$A:$A,$C$1,'Stop Sale'!$D:$D,"&lt;="&amp;P$6,'Stop Sale'!$E:$E,"&gt;"&amp;P$6)</f>
        <v>0</v>
      </c>
      <c r="Q25" s="25">
        <f>SUMIFS('Stop Sale'!$C:$C,'Stop Sale'!$B:$B,$A22,'Stop Sale'!$A:$A,$C$1,'Stop Sale'!$D:$D,"&lt;="&amp;Q$6,'Stop Sale'!$E:$E,"&gt;"&amp;Q$6)</f>
        <v>0</v>
      </c>
      <c r="R25" s="25">
        <f>SUMIFS('Stop Sale'!$C:$C,'Stop Sale'!$B:$B,$A22,'Stop Sale'!$A:$A,$C$1,'Stop Sale'!$D:$D,"&lt;="&amp;R$6,'Stop Sale'!$E:$E,"&gt;"&amp;R$6)</f>
        <v>0</v>
      </c>
      <c r="S25" s="25">
        <f>SUMIFS('Stop Sale'!$C:$C,'Stop Sale'!$B:$B,$A22,'Stop Sale'!$A:$A,$C$1,'Stop Sale'!$D:$D,"&lt;="&amp;S$6,'Stop Sale'!$E:$E,"&gt;"&amp;S$6)</f>
        <v>0</v>
      </c>
      <c r="T25" s="25">
        <f>SUMIFS('Stop Sale'!$C:$C,'Stop Sale'!$B:$B,$A22,'Stop Sale'!$A:$A,$C$1,'Stop Sale'!$D:$D,"&lt;="&amp;T$6,'Stop Sale'!$E:$E,"&gt;"&amp;T$6)</f>
        <v>0</v>
      </c>
      <c r="U25" s="25">
        <f>SUMIFS('Stop Sale'!$C:$C,'Stop Sale'!$B:$B,$A22,'Stop Sale'!$A:$A,$C$1,'Stop Sale'!$D:$D,"&lt;="&amp;U$6,'Stop Sale'!$E:$E,"&gt;"&amp;U$6)</f>
        <v>0</v>
      </c>
      <c r="V25" s="25">
        <f>SUMIFS('Stop Sale'!$C:$C,'Stop Sale'!$B:$B,$A22,'Stop Sale'!$A:$A,$C$1,'Stop Sale'!$D:$D,"&lt;="&amp;V$6,'Stop Sale'!$E:$E,"&gt;"&amp;V$6)</f>
        <v>0</v>
      </c>
      <c r="W25" s="25">
        <f>SUMIFS('Stop Sale'!$C:$C,'Stop Sale'!$B:$B,$A22,'Stop Sale'!$A:$A,$C$1,'Stop Sale'!$D:$D,"&lt;="&amp;W$6,'Stop Sale'!$E:$E,"&gt;"&amp;W$6)</f>
        <v>0</v>
      </c>
      <c r="X25" s="25">
        <f>SUMIFS('Stop Sale'!$C:$C,'Stop Sale'!$B:$B,$A22,'Stop Sale'!$A:$A,$C$1,'Stop Sale'!$D:$D,"&lt;="&amp;X$6,'Stop Sale'!$E:$E,"&gt;"&amp;X$6)</f>
        <v>0</v>
      </c>
      <c r="Y25" s="25">
        <f>SUMIFS('Stop Sale'!$C:$C,'Stop Sale'!$B:$B,$A22,'Stop Sale'!$A:$A,$C$1,'Stop Sale'!$D:$D,"&lt;="&amp;Y$6,'Stop Sale'!$E:$E,"&gt;"&amp;Y$6)</f>
        <v>0</v>
      </c>
      <c r="Z25" s="25">
        <f>SUMIFS('Stop Sale'!$C:$C,'Stop Sale'!$B:$B,$A22,'Stop Sale'!$A:$A,$C$1,'Stop Sale'!$D:$D,"&lt;="&amp;Z$6,'Stop Sale'!$E:$E,"&gt;"&amp;Z$6)</f>
        <v>0</v>
      </c>
      <c r="AA25" s="25">
        <f>SUMIFS('Stop Sale'!$C:$C,'Stop Sale'!$B:$B,$A22,'Stop Sale'!$A:$A,$C$1,'Stop Sale'!$D:$D,"&lt;="&amp;AA$6,'Stop Sale'!$E:$E,"&gt;"&amp;AA$6)</f>
        <v>0</v>
      </c>
      <c r="AB25" s="25">
        <f>SUMIFS('Stop Sale'!$C:$C,'Stop Sale'!$B:$B,$A22,'Stop Sale'!$A:$A,$C$1,'Stop Sale'!$D:$D,"&lt;="&amp;AB$6,'Stop Sale'!$E:$E,"&gt;"&amp;AB$6)</f>
        <v>0</v>
      </c>
      <c r="AC25" s="25">
        <f>SUMIFS('Stop Sale'!$C:$C,'Stop Sale'!$B:$B,$A22,'Stop Sale'!$A:$A,$C$1,'Stop Sale'!$D:$D,"&lt;="&amp;AC$6,'Stop Sale'!$E:$E,"&gt;"&amp;AC$6)</f>
        <v>0</v>
      </c>
      <c r="AD25" s="25">
        <f>SUMIFS('Stop Sale'!$C:$C,'Stop Sale'!$B:$B,$A22,'Stop Sale'!$A:$A,$C$1,'Stop Sale'!$D:$D,"&lt;="&amp;AD$6,'Stop Sale'!$E:$E,"&gt;"&amp;AD$6)</f>
        <v>0</v>
      </c>
      <c r="AE25" s="25">
        <f>SUMIFS('Stop Sale'!$C:$C,'Stop Sale'!$B:$B,$A22,'Stop Sale'!$A:$A,$C$1,'Stop Sale'!$D:$D,"&lt;="&amp;AE$6,'Stop Sale'!$E:$E,"&gt;"&amp;AE$6)</f>
        <v>0</v>
      </c>
      <c r="AF25" s="25">
        <f>SUMIFS('Stop Sale'!$C:$C,'Stop Sale'!$B:$B,$A22,'Stop Sale'!$A:$A,$C$1,'Stop Sale'!$D:$D,"&lt;="&amp;AF$6,'Stop Sale'!$E:$E,"&gt;"&amp;AF$6)</f>
        <v>0</v>
      </c>
      <c r="AG25" s="25">
        <f>SUMIFS('Stop Sale'!$C:$C,'Stop Sale'!$B:$B,$A22,'Stop Sale'!$A:$A,$C$1,'Stop Sale'!$D:$D,"&lt;="&amp;AG$6,'Stop Sale'!$E:$E,"&gt;"&amp;AG$6)</f>
        <v>0</v>
      </c>
      <c r="AH25" s="25">
        <f>SUMIFS('Stop Sale'!$C:$C,'Stop Sale'!$B:$B,$A22,'Stop Sale'!$A:$A,$C$1,'Stop Sale'!$D:$D,"&lt;="&amp;AH$6,'Stop Sale'!$E:$E,"&gt;"&amp;AH$6)</f>
        <v>0</v>
      </c>
      <c r="AI25" s="25">
        <f>SUMIFS('Stop Sale'!$C:$C,'Stop Sale'!$B:$B,$A22,'Stop Sale'!$A:$A,$C$1,'Stop Sale'!$D:$D,"&lt;="&amp;AI$6,'Stop Sale'!$E:$E,"&gt;"&amp;AI$6)</f>
        <v>0</v>
      </c>
      <c r="AJ25" s="25">
        <f>SUMIFS('Stop Sale'!$C:$C,'Stop Sale'!$B:$B,$A22,'Stop Sale'!$A:$A,$C$1,'Stop Sale'!$D:$D,"&lt;="&amp;AJ$6,'Stop Sale'!$E:$E,"&gt;"&amp;AJ$6)</f>
        <v>0</v>
      </c>
      <c r="AK25" s="25">
        <f>SUMIFS('Stop Sale'!$C:$C,'Stop Sale'!$B:$B,$A22,'Stop Sale'!$A:$A,$C$1,'Stop Sale'!$D:$D,"&lt;="&amp;AK$6,'Stop Sale'!$E:$E,"&gt;"&amp;AK$6)</f>
        <v>0</v>
      </c>
      <c r="AL25" s="44">
        <f>SUMIFS('Stop Sale'!$C:$C,'Stop Sale'!$B:$B,$A22,'Stop Sale'!$A:$A,$C$1,'Stop Sale'!$D:$D,"&lt;="&amp;AL$6,'Stop Sale'!$E:$E,"&gt;"&amp;AL$6)</f>
        <v>0</v>
      </c>
      <c r="BG25" s="14" t="s">
        <v>140</v>
      </c>
      <c r="BH25" s="11" t="s">
        <v>1470</v>
      </c>
      <c r="BI25" s="12">
        <v>1</v>
      </c>
      <c r="BJ25" s="13" t="s">
        <v>1471</v>
      </c>
      <c r="BK25" s="12">
        <v>1</v>
      </c>
      <c r="BL25" s="11" t="s">
        <v>1472</v>
      </c>
      <c r="BM25" s="12">
        <v>2</v>
      </c>
      <c r="BN25" s="60" t="s">
        <v>1473</v>
      </c>
      <c r="BO25" s="12">
        <v>2</v>
      </c>
      <c r="BP25" s="60" t="s">
        <v>1474</v>
      </c>
      <c r="BQ25" s="12">
        <v>3</v>
      </c>
      <c r="BR25" s="60" t="s">
        <v>1475</v>
      </c>
      <c r="BS25" s="12">
        <v>3</v>
      </c>
      <c r="BT25" s="60" t="s">
        <v>1476</v>
      </c>
      <c r="BU25" s="12">
        <v>1</v>
      </c>
      <c r="BV25" s="11"/>
      <c r="BW25" s="12"/>
      <c r="BX25" s="11"/>
      <c r="BY25" s="12"/>
      <c r="BZ25" s="11"/>
      <c r="CA25" s="12"/>
      <c r="CB25" s="11"/>
      <c r="CC25" s="12"/>
      <c r="CD25" s="11"/>
      <c r="CE25" s="12"/>
      <c r="CF25" s="11"/>
      <c r="CG25" s="12"/>
      <c r="CH25" s="11"/>
      <c r="CI25" s="12"/>
      <c r="CJ25" s="11"/>
      <c r="CK25" s="12"/>
      <c r="CL25" s="11"/>
      <c r="CM25" s="11"/>
      <c r="CN25" s="11"/>
      <c r="CO25" s="11"/>
      <c r="CP25" s="11"/>
      <c r="CQ25" s="11"/>
      <c r="CR25" s="11"/>
      <c r="CS25" s="11"/>
      <c r="CT25" s="11"/>
      <c r="CU25" s="11"/>
    </row>
    <row r="26" spans="1:99" x14ac:dyDescent="0.3">
      <c r="A26" s="64"/>
      <c r="B26" s="63"/>
      <c r="C26" s="63"/>
      <c r="D26" s="62"/>
      <c r="E26" s="58" t="s">
        <v>287</v>
      </c>
      <c r="F26" s="57" t="str">
        <f>IFERROR(F24/F23,"")</f>
        <v/>
      </c>
      <c r="G26" s="56" t="s">
        <v>288</v>
      </c>
      <c r="H26" s="55">
        <f t="shared" ref="H26:AL26" si="8">H23-H24</f>
        <v>0</v>
      </c>
      <c r="I26" s="55">
        <f t="shared" si="8"/>
        <v>0</v>
      </c>
      <c r="J26" s="55">
        <f t="shared" si="8"/>
        <v>0</v>
      </c>
      <c r="K26" s="55">
        <f t="shared" si="8"/>
        <v>0</v>
      </c>
      <c r="L26" s="55">
        <f t="shared" si="8"/>
        <v>0</v>
      </c>
      <c r="M26" s="55">
        <f t="shared" si="8"/>
        <v>0</v>
      </c>
      <c r="N26" s="55">
        <f t="shared" si="8"/>
        <v>0</v>
      </c>
      <c r="O26" s="55">
        <f t="shared" si="8"/>
        <v>0</v>
      </c>
      <c r="P26" s="55">
        <f t="shared" si="8"/>
        <v>0</v>
      </c>
      <c r="Q26" s="55">
        <f t="shared" si="8"/>
        <v>0</v>
      </c>
      <c r="R26" s="55">
        <f t="shared" si="8"/>
        <v>0</v>
      </c>
      <c r="S26" s="55">
        <f t="shared" si="8"/>
        <v>0</v>
      </c>
      <c r="T26" s="55">
        <f t="shared" si="8"/>
        <v>0</v>
      </c>
      <c r="U26" s="55">
        <f t="shared" si="8"/>
        <v>0</v>
      </c>
      <c r="V26" s="55">
        <f t="shared" si="8"/>
        <v>0</v>
      </c>
      <c r="W26" s="55">
        <f t="shared" si="8"/>
        <v>0</v>
      </c>
      <c r="X26" s="55">
        <f t="shared" si="8"/>
        <v>0</v>
      </c>
      <c r="Y26" s="55">
        <f t="shared" si="8"/>
        <v>0</v>
      </c>
      <c r="Z26" s="55">
        <f t="shared" si="8"/>
        <v>0</v>
      </c>
      <c r="AA26" s="55">
        <f t="shared" si="8"/>
        <v>0</v>
      </c>
      <c r="AB26" s="55">
        <f t="shared" si="8"/>
        <v>0</v>
      </c>
      <c r="AC26" s="55">
        <f t="shared" si="8"/>
        <v>0</v>
      </c>
      <c r="AD26" s="55">
        <f t="shared" si="8"/>
        <v>0</v>
      </c>
      <c r="AE26" s="55">
        <f t="shared" si="8"/>
        <v>0</v>
      </c>
      <c r="AF26" s="55">
        <f t="shared" si="8"/>
        <v>0</v>
      </c>
      <c r="AG26" s="55">
        <f t="shared" si="8"/>
        <v>0</v>
      </c>
      <c r="AH26" s="55">
        <f t="shared" si="8"/>
        <v>0</v>
      </c>
      <c r="AI26" s="55">
        <f t="shared" si="8"/>
        <v>0</v>
      </c>
      <c r="AJ26" s="55">
        <f t="shared" si="8"/>
        <v>0</v>
      </c>
      <c r="AK26" s="55">
        <f t="shared" si="8"/>
        <v>0</v>
      </c>
      <c r="AL26" s="54">
        <f t="shared" si="8"/>
        <v>0</v>
      </c>
      <c r="BG26" s="14" t="s">
        <v>104</v>
      </c>
      <c r="BH26" s="13" t="s">
        <v>1477</v>
      </c>
      <c r="BI26" s="12">
        <v>2</v>
      </c>
      <c r="BJ26" s="11" t="s">
        <v>1478</v>
      </c>
      <c r="BK26" s="12">
        <v>4</v>
      </c>
      <c r="BL26" s="13" t="s">
        <v>1412</v>
      </c>
      <c r="BM26" s="12">
        <v>1</v>
      </c>
      <c r="BN26" s="60" t="s">
        <v>1479</v>
      </c>
      <c r="BO26" s="12">
        <v>1</v>
      </c>
      <c r="BP26" s="60" t="s">
        <v>1480</v>
      </c>
      <c r="BQ26" s="12">
        <v>1</v>
      </c>
      <c r="BR26" s="60" t="s">
        <v>198</v>
      </c>
      <c r="BS26" s="12">
        <v>1</v>
      </c>
      <c r="BT26" s="60"/>
      <c r="BU26" s="12"/>
      <c r="BV26" s="11"/>
      <c r="BW26" s="12"/>
      <c r="BX26" s="11"/>
      <c r="BY26" s="12"/>
      <c r="BZ26" s="11"/>
      <c r="CA26" s="12"/>
      <c r="CB26" s="11"/>
      <c r="CC26" s="12"/>
      <c r="CD26" s="11"/>
      <c r="CE26" s="12"/>
      <c r="CF26" s="11"/>
      <c r="CG26" s="12"/>
      <c r="CH26" s="11"/>
      <c r="CI26" s="12"/>
      <c r="CJ26" s="11"/>
      <c r="CK26" s="12"/>
      <c r="CL26" s="11"/>
      <c r="CM26" s="11"/>
      <c r="CN26" s="11"/>
      <c r="CO26" s="11"/>
      <c r="CP26" s="11"/>
      <c r="CQ26" s="11"/>
      <c r="CR26" s="11"/>
      <c r="CS26" s="11"/>
      <c r="CT26" s="11"/>
      <c r="CU26" s="11"/>
    </row>
    <row r="27" spans="1:99" x14ac:dyDescent="0.3">
      <c r="A27" s="53">
        <f>VLOOKUP($C$1,$BG$2:$BU$119,10,FALSE)</f>
        <v>0</v>
      </c>
      <c r="B27" s="52"/>
      <c r="C27" s="52"/>
      <c r="D27" s="51"/>
      <c r="E27" s="50" t="s">
        <v>278</v>
      </c>
      <c r="F27" s="48"/>
      <c r="G27" s="49" t="s">
        <v>279</v>
      </c>
      <c r="H27" s="48">
        <v>1</v>
      </c>
      <c r="I27" s="48">
        <v>2</v>
      </c>
      <c r="J27" s="48">
        <v>3</v>
      </c>
      <c r="K27" s="48">
        <v>4</v>
      </c>
      <c r="L27" s="48">
        <v>5</v>
      </c>
      <c r="M27" s="48">
        <v>6</v>
      </c>
      <c r="N27" s="48">
        <v>7</v>
      </c>
      <c r="O27" s="48">
        <v>8</v>
      </c>
      <c r="P27" s="48">
        <v>9</v>
      </c>
      <c r="Q27" s="48">
        <v>10</v>
      </c>
      <c r="R27" s="48">
        <v>11</v>
      </c>
      <c r="S27" s="48">
        <v>12</v>
      </c>
      <c r="T27" s="48">
        <v>13</v>
      </c>
      <c r="U27" s="48">
        <v>14</v>
      </c>
      <c r="V27" s="48">
        <v>15</v>
      </c>
      <c r="W27" s="48">
        <v>16</v>
      </c>
      <c r="X27" s="48">
        <v>17</v>
      </c>
      <c r="Y27" s="48">
        <v>18</v>
      </c>
      <c r="Z27" s="48">
        <v>19</v>
      </c>
      <c r="AA27" s="48">
        <v>20</v>
      </c>
      <c r="AB27" s="48">
        <v>21</v>
      </c>
      <c r="AC27" s="48">
        <v>22</v>
      </c>
      <c r="AD27" s="48">
        <v>23</v>
      </c>
      <c r="AE27" s="48">
        <v>24</v>
      </c>
      <c r="AF27" s="48">
        <v>25</v>
      </c>
      <c r="AG27" s="48">
        <v>26</v>
      </c>
      <c r="AH27" s="48">
        <v>27</v>
      </c>
      <c r="AI27" s="48">
        <v>28</v>
      </c>
      <c r="AJ27" s="48">
        <v>29</v>
      </c>
      <c r="AK27" s="48">
        <v>30</v>
      </c>
      <c r="AL27" s="47">
        <v>31</v>
      </c>
      <c r="BG27" s="14" t="s">
        <v>177</v>
      </c>
      <c r="BH27" s="13" t="s">
        <v>1464</v>
      </c>
      <c r="BI27" s="12">
        <v>1</v>
      </c>
      <c r="BJ27" s="11" t="s">
        <v>1465</v>
      </c>
      <c r="BK27" s="12">
        <v>1</v>
      </c>
      <c r="BL27" s="13" t="s">
        <v>1466</v>
      </c>
      <c r="BM27" s="12">
        <v>1</v>
      </c>
      <c r="BN27" s="11" t="s">
        <v>1467</v>
      </c>
      <c r="BO27" s="12">
        <v>1</v>
      </c>
      <c r="BP27" s="61"/>
      <c r="BQ27" s="12"/>
      <c r="BR27" s="60"/>
      <c r="BS27" s="12"/>
      <c r="BT27" s="60"/>
      <c r="BU27" s="12"/>
      <c r="BV27" s="11"/>
      <c r="BW27" s="12"/>
      <c r="BX27" s="11"/>
      <c r="BY27" s="12"/>
      <c r="BZ27" s="11"/>
      <c r="CA27" s="12"/>
      <c r="CB27" s="11"/>
      <c r="CC27" s="12"/>
      <c r="CD27" s="11"/>
      <c r="CE27" s="12"/>
      <c r="CF27" s="11"/>
      <c r="CG27" s="12"/>
      <c r="CH27" s="11"/>
      <c r="CI27" s="12"/>
      <c r="CJ27" s="11"/>
      <c r="CK27" s="12"/>
      <c r="CL27" s="11"/>
      <c r="CM27" s="11"/>
      <c r="CN27" s="11"/>
      <c r="CO27" s="11"/>
      <c r="CP27" s="11"/>
      <c r="CQ27" s="11"/>
      <c r="CR27" s="11"/>
      <c r="CS27" s="11"/>
      <c r="CT27" s="11"/>
      <c r="CU27" s="11"/>
    </row>
    <row r="28" spans="1:99" x14ac:dyDescent="0.3">
      <c r="A28" s="43"/>
      <c r="D28" s="42"/>
      <c r="E28" s="41" t="s">
        <v>280</v>
      </c>
      <c r="F28" s="25">
        <f>SUM(H28:AL28)</f>
        <v>0</v>
      </c>
      <c r="G28" s="4" t="s">
        <v>281</v>
      </c>
      <c r="H28" s="25">
        <f t="shared" ref="H28:AL28" si="9">VLOOKUP($C$1,$BG$2:$CU$119,11,FALSE)</f>
        <v>0</v>
      </c>
      <c r="I28" s="25">
        <f t="shared" si="9"/>
        <v>0</v>
      </c>
      <c r="J28" s="25">
        <f t="shared" si="9"/>
        <v>0</v>
      </c>
      <c r="K28" s="25">
        <f t="shared" si="9"/>
        <v>0</v>
      </c>
      <c r="L28" s="25">
        <f t="shared" si="9"/>
        <v>0</v>
      </c>
      <c r="M28" s="25">
        <f t="shared" si="9"/>
        <v>0</v>
      </c>
      <c r="N28" s="25">
        <f t="shared" si="9"/>
        <v>0</v>
      </c>
      <c r="O28" s="25">
        <f t="shared" si="9"/>
        <v>0</v>
      </c>
      <c r="P28" s="25">
        <f t="shared" si="9"/>
        <v>0</v>
      </c>
      <c r="Q28" s="25">
        <f t="shared" si="9"/>
        <v>0</v>
      </c>
      <c r="R28" s="25">
        <f t="shared" si="9"/>
        <v>0</v>
      </c>
      <c r="S28" s="25">
        <f t="shared" si="9"/>
        <v>0</v>
      </c>
      <c r="T28" s="25">
        <f t="shared" si="9"/>
        <v>0</v>
      </c>
      <c r="U28" s="25">
        <f t="shared" si="9"/>
        <v>0</v>
      </c>
      <c r="V28" s="25">
        <f t="shared" si="9"/>
        <v>0</v>
      </c>
      <c r="W28" s="25">
        <f t="shared" si="9"/>
        <v>0</v>
      </c>
      <c r="X28" s="25">
        <f t="shared" si="9"/>
        <v>0</v>
      </c>
      <c r="Y28" s="25">
        <f t="shared" si="9"/>
        <v>0</v>
      </c>
      <c r="Z28" s="25">
        <f t="shared" si="9"/>
        <v>0</v>
      </c>
      <c r="AA28" s="25">
        <f t="shared" si="9"/>
        <v>0</v>
      </c>
      <c r="AB28" s="25">
        <f t="shared" si="9"/>
        <v>0</v>
      </c>
      <c r="AC28" s="25">
        <f t="shared" si="9"/>
        <v>0</v>
      </c>
      <c r="AD28" s="25">
        <f t="shared" si="9"/>
        <v>0</v>
      </c>
      <c r="AE28" s="25">
        <f t="shared" si="9"/>
        <v>0</v>
      </c>
      <c r="AF28" s="25">
        <f t="shared" si="9"/>
        <v>0</v>
      </c>
      <c r="AG28" s="25">
        <f t="shared" si="9"/>
        <v>0</v>
      </c>
      <c r="AH28" s="25">
        <f t="shared" si="9"/>
        <v>0</v>
      </c>
      <c r="AI28" s="25">
        <f t="shared" si="9"/>
        <v>0</v>
      </c>
      <c r="AJ28" s="25">
        <f t="shared" si="9"/>
        <v>0</v>
      </c>
      <c r="AK28" s="25">
        <f t="shared" si="9"/>
        <v>0</v>
      </c>
      <c r="AL28" s="44">
        <f t="shared" si="9"/>
        <v>0</v>
      </c>
      <c r="BG28" s="14" t="s">
        <v>143</v>
      </c>
      <c r="BH28" s="13"/>
      <c r="BI28" s="12"/>
      <c r="BJ28" s="11"/>
      <c r="BK28" s="12"/>
      <c r="BL28" s="13"/>
      <c r="BM28" s="12"/>
      <c r="BN28" s="11"/>
      <c r="BO28" s="12"/>
      <c r="BP28" s="13"/>
      <c r="BQ28" s="12"/>
      <c r="BR28" s="60"/>
      <c r="BS28" s="12"/>
      <c r="BT28" s="60"/>
      <c r="BU28" s="12"/>
      <c r="BV28" s="11"/>
      <c r="BW28" s="12"/>
      <c r="BX28" s="11"/>
      <c r="BY28" s="12"/>
      <c r="BZ28" s="11"/>
      <c r="CA28" s="12"/>
      <c r="CB28" s="11"/>
      <c r="CC28" s="12"/>
      <c r="CD28" s="11"/>
      <c r="CE28" s="12"/>
      <c r="CF28" s="11"/>
      <c r="CG28" s="12"/>
      <c r="CH28" s="11"/>
      <c r="CI28" s="12"/>
      <c r="CJ28" s="11"/>
      <c r="CK28" s="12"/>
      <c r="CL28" s="11"/>
      <c r="CM28" s="11"/>
      <c r="CN28" s="11"/>
      <c r="CO28" s="11"/>
      <c r="CP28" s="11"/>
      <c r="CQ28" s="11"/>
      <c r="CR28" s="11"/>
      <c r="CS28" s="11"/>
      <c r="CT28" s="11"/>
      <c r="CU28" s="11"/>
    </row>
    <row r="29" spans="1:99" x14ac:dyDescent="0.3">
      <c r="A29" s="43"/>
      <c r="D29" s="42"/>
      <c r="E29" s="41" t="s">
        <v>282</v>
      </c>
      <c r="F29" s="25">
        <f>SUM(H29:AL29)</f>
        <v>0</v>
      </c>
      <c r="G29" s="4" t="s">
        <v>283</v>
      </c>
      <c r="H29" s="25">
        <f>SUMIFS('BKG Bank'!$O:$O,'BKG Bank'!$J:$J,$A27,'BKG Bank'!$I:$I,$C$1,'BKG Bank'!$K:$K,"&lt;="&amp;H$6,'BKG Bank'!$L:$L,"&gt;"&amp;H$6)</f>
        <v>0</v>
      </c>
      <c r="I29" s="25">
        <f>SUMIFS('BKG Bank'!$O:$O,'BKG Bank'!$J:$J,$A27,'BKG Bank'!$I:$I,$C$1,'BKG Bank'!$K:$K,"&lt;="&amp;I$6,'BKG Bank'!$L:$L,"&gt;"&amp;I$6)</f>
        <v>0</v>
      </c>
      <c r="J29" s="25">
        <f>SUMIFS('BKG Bank'!$O:$O,'BKG Bank'!$J:$J,$A27,'BKG Bank'!$I:$I,$C$1,'BKG Bank'!$K:$K,"&lt;="&amp;J$6,'BKG Bank'!$L:$L,"&gt;"&amp;J$6)</f>
        <v>0</v>
      </c>
      <c r="K29" s="25">
        <f>SUMIFS('BKG Bank'!$O:$O,'BKG Bank'!$J:$J,$A27,'BKG Bank'!$I:$I,$C$1,'BKG Bank'!$K:$K,"&lt;="&amp;K$6,'BKG Bank'!$L:$L,"&gt;"&amp;K$6)</f>
        <v>0</v>
      </c>
      <c r="L29" s="25">
        <f>SUMIFS('BKG Bank'!$O:$O,'BKG Bank'!$J:$J,$A27,'BKG Bank'!$I:$I,$C$1,'BKG Bank'!$K:$K,"&lt;="&amp;L$6,'BKG Bank'!$L:$L,"&gt;"&amp;L$6)</f>
        <v>0</v>
      </c>
      <c r="M29" s="25">
        <f>SUMIFS('BKG Bank'!$O:$O,'BKG Bank'!$J:$J,$A27,'BKG Bank'!$I:$I,$C$1,'BKG Bank'!$K:$K,"&lt;="&amp;M$6,'BKG Bank'!$L:$L,"&gt;"&amp;M$6)</f>
        <v>0</v>
      </c>
      <c r="N29" s="25">
        <f>SUMIFS('BKG Bank'!$O:$O,'BKG Bank'!$J:$J,$A27,'BKG Bank'!$I:$I,$C$1,'BKG Bank'!$K:$K,"&lt;="&amp;N$6,'BKG Bank'!$L:$L,"&gt;"&amp;N$6)</f>
        <v>0</v>
      </c>
      <c r="O29" s="25">
        <f>SUMIFS('BKG Bank'!$O:$O,'BKG Bank'!$J:$J,$A27,'BKG Bank'!$I:$I,$C$1,'BKG Bank'!$K:$K,"&lt;="&amp;O$6,'BKG Bank'!$L:$L,"&gt;"&amp;O$6)</f>
        <v>0</v>
      </c>
      <c r="P29" s="25">
        <f>SUMIFS('BKG Bank'!$O:$O,'BKG Bank'!$J:$J,$A27,'BKG Bank'!$I:$I,$C$1,'BKG Bank'!$K:$K,"&lt;="&amp;P$6,'BKG Bank'!$L:$L,"&gt;"&amp;P$6)</f>
        <v>0</v>
      </c>
      <c r="Q29" s="25">
        <f>SUMIFS('BKG Bank'!$O:$O,'BKG Bank'!$J:$J,$A27,'BKG Bank'!$I:$I,$C$1,'BKG Bank'!$K:$K,"&lt;="&amp;Q$6,'BKG Bank'!$L:$L,"&gt;"&amp;Q$6)</f>
        <v>0</v>
      </c>
      <c r="R29" s="25">
        <f>SUMIFS('BKG Bank'!$O:$O,'BKG Bank'!$J:$J,$A27,'BKG Bank'!$I:$I,$C$1,'BKG Bank'!$K:$K,"&lt;="&amp;R$6,'BKG Bank'!$L:$L,"&gt;"&amp;R$6)</f>
        <v>0</v>
      </c>
      <c r="S29" s="25">
        <f>SUMIFS('BKG Bank'!$O:$O,'BKG Bank'!$J:$J,$A27,'BKG Bank'!$I:$I,$C$1,'BKG Bank'!$K:$K,"&lt;="&amp;S$6,'BKG Bank'!$L:$L,"&gt;"&amp;S$6)</f>
        <v>0</v>
      </c>
      <c r="T29" s="25">
        <f>SUMIFS('BKG Bank'!$O:$O,'BKG Bank'!$J:$J,$A27,'BKG Bank'!$I:$I,$C$1,'BKG Bank'!$K:$K,"&lt;="&amp;T$6,'BKG Bank'!$L:$L,"&gt;"&amp;T$6)</f>
        <v>0</v>
      </c>
      <c r="U29" s="25">
        <f>SUMIFS('BKG Bank'!$O:$O,'BKG Bank'!$J:$J,$A27,'BKG Bank'!$I:$I,$C$1,'BKG Bank'!$K:$K,"&lt;="&amp;U$6,'BKG Bank'!$L:$L,"&gt;"&amp;U$6)</f>
        <v>0</v>
      </c>
      <c r="V29" s="25">
        <f>SUMIFS('BKG Bank'!$O:$O,'BKG Bank'!$J:$J,$A27,'BKG Bank'!$I:$I,$C$1,'BKG Bank'!$K:$K,"&lt;="&amp;V$6,'BKG Bank'!$L:$L,"&gt;"&amp;V$6)</f>
        <v>0</v>
      </c>
      <c r="W29" s="25">
        <f>SUMIFS('BKG Bank'!$O:$O,'BKG Bank'!$J:$J,$A27,'BKG Bank'!$I:$I,$C$1,'BKG Bank'!$K:$K,"&lt;="&amp;W$6,'BKG Bank'!$L:$L,"&gt;"&amp;W$6)</f>
        <v>0</v>
      </c>
      <c r="X29" s="25">
        <f>SUMIFS('BKG Bank'!$O:$O,'BKG Bank'!$J:$J,$A27,'BKG Bank'!$I:$I,$C$1,'BKG Bank'!$K:$K,"&lt;="&amp;X$6,'BKG Bank'!$L:$L,"&gt;"&amp;X$6)</f>
        <v>0</v>
      </c>
      <c r="Y29" s="25">
        <f>SUMIFS('BKG Bank'!$O:$O,'BKG Bank'!$J:$J,$A27,'BKG Bank'!$I:$I,$C$1,'BKG Bank'!$K:$K,"&lt;="&amp;Y$6,'BKG Bank'!$L:$L,"&gt;"&amp;Y$6)</f>
        <v>0</v>
      </c>
      <c r="Z29" s="25">
        <f>SUMIFS('BKG Bank'!$O:$O,'BKG Bank'!$J:$J,$A27,'BKG Bank'!$I:$I,$C$1,'BKG Bank'!$K:$K,"&lt;="&amp;Z$6,'BKG Bank'!$L:$L,"&gt;"&amp;Z$6)</f>
        <v>0</v>
      </c>
      <c r="AA29" s="25">
        <f>SUMIFS('BKG Bank'!$O:$O,'BKG Bank'!$J:$J,$A27,'BKG Bank'!$I:$I,$C$1,'BKG Bank'!$K:$K,"&lt;="&amp;AA$6,'BKG Bank'!$L:$L,"&gt;"&amp;AA$6)</f>
        <v>0</v>
      </c>
      <c r="AB29" s="25">
        <f>SUMIFS('BKG Bank'!$O:$O,'BKG Bank'!$J:$J,$A27,'BKG Bank'!$I:$I,$C$1,'BKG Bank'!$K:$K,"&lt;="&amp;AB$6,'BKG Bank'!$L:$L,"&gt;"&amp;AB$6)</f>
        <v>0</v>
      </c>
      <c r="AC29" s="25">
        <f>SUMIFS('BKG Bank'!$O:$O,'BKG Bank'!$J:$J,$A27,'BKG Bank'!$I:$I,$C$1,'BKG Bank'!$K:$K,"&lt;="&amp;AC$6,'BKG Bank'!$L:$L,"&gt;"&amp;AC$6)</f>
        <v>0</v>
      </c>
      <c r="AD29" s="25">
        <f>SUMIFS('BKG Bank'!$O:$O,'BKG Bank'!$J:$J,$A27,'BKG Bank'!$I:$I,$C$1,'BKG Bank'!$K:$K,"&lt;="&amp;AD$6,'BKG Bank'!$L:$L,"&gt;"&amp;AD$6)</f>
        <v>0</v>
      </c>
      <c r="AE29" s="25">
        <f>SUMIFS('BKG Bank'!$O:$O,'BKG Bank'!$J:$J,$A27,'BKG Bank'!$I:$I,$C$1,'BKG Bank'!$K:$K,"&lt;="&amp;AE$6,'BKG Bank'!$L:$L,"&gt;"&amp;AE$6)</f>
        <v>0</v>
      </c>
      <c r="AF29" s="25">
        <f>SUMIFS('BKG Bank'!$O:$O,'BKG Bank'!$J:$J,$A27,'BKG Bank'!$I:$I,$C$1,'BKG Bank'!$K:$K,"&lt;="&amp;AF$6,'BKG Bank'!$L:$L,"&gt;"&amp;AF$6)</f>
        <v>0</v>
      </c>
      <c r="AG29" s="25">
        <f>SUMIFS('BKG Bank'!$O:$O,'BKG Bank'!$J:$J,$A27,'BKG Bank'!$I:$I,$C$1,'BKG Bank'!$K:$K,"&lt;="&amp;AG$6,'BKG Bank'!$L:$L,"&gt;"&amp;AG$6)</f>
        <v>0</v>
      </c>
      <c r="AH29" s="25">
        <f>SUMIFS('BKG Bank'!$O:$O,'BKG Bank'!$J:$J,$A27,'BKG Bank'!$I:$I,$C$1,'BKG Bank'!$K:$K,"&lt;="&amp;AH$6,'BKG Bank'!$L:$L,"&gt;"&amp;AH$6)</f>
        <v>0</v>
      </c>
      <c r="AI29" s="25">
        <f>SUMIFS('BKG Bank'!$O:$O,'BKG Bank'!$J:$J,$A27,'BKG Bank'!$I:$I,$C$1,'BKG Bank'!$K:$K,"&lt;="&amp;AI$6,'BKG Bank'!$L:$L,"&gt;"&amp;AI$6)</f>
        <v>0</v>
      </c>
      <c r="AJ29" s="25">
        <f>SUMIFS('BKG Bank'!$O:$O,'BKG Bank'!$J:$J,$A27,'BKG Bank'!$I:$I,$C$1,'BKG Bank'!$K:$K,"&lt;="&amp;AJ$6,'BKG Bank'!$L:$L,"&gt;"&amp;AJ$6)</f>
        <v>0</v>
      </c>
      <c r="AK29" s="25">
        <f>SUMIFS('BKG Bank'!$O:$O,'BKG Bank'!$J:$J,$A27,'BKG Bank'!$I:$I,$C$1,'BKG Bank'!$K:$K,"&lt;="&amp;AK$6,'BKG Bank'!$L:$L,"&gt;"&amp;AK$6)</f>
        <v>0</v>
      </c>
      <c r="AL29" s="44">
        <f>SUMIFS('BKG Bank'!$O:$O,'BKG Bank'!$J:$J,$A27,'BKG Bank'!$I:$I,$C$1,'BKG Bank'!$K:$K,"&lt;="&amp;AL$6,'BKG Bank'!$L:$L,"&gt;"&amp;AL$6)</f>
        <v>0</v>
      </c>
      <c r="BG29" s="14" t="s">
        <v>124</v>
      </c>
      <c r="BH29" s="13" t="s">
        <v>1470</v>
      </c>
      <c r="BI29" s="12">
        <v>5</v>
      </c>
      <c r="BJ29" s="11" t="s">
        <v>1481</v>
      </c>
      <c r="BK29" s="12">
        <v>5</v>
      </c>
      <c r="BL29" s="13" t="s">
        <v>1482</v>
      </c>
      <c r="BM29" s="12">
        <v>10</v>
      </c>
      <c r="BN29" s="11" t="s">
        <v>1483</v>
      </c>
      <c r="BO29" s="12">
        <v>10</v>
      </c>
      <c r="BP29" s="13" t="s">
        <v>1484</v>
      </c>
      <c r="BQ29" s="12">
        <v>2</v>
      </c>
      <c r="BR29" s="60"/>
      <c r="BS29" s="12"/>
      <c r="BT29" s="60"/>
      <c r="BU29" s="12"/>
      <c r="BV29" s="11"/>
      <c r="BW29" s="12"/>
      <c r="BX29" s="11"/>
      <c r="BY29" s="12"/>
      <c r="BZ29" s="11"/>
      <c r="CA29" s="12"/>
      <c r="CB29" s="11"/>
      <c r="CC29" s="12"/>
      <c r="CD29" s="11"/>
      <c r="CE29" s="12"/>
      <c r="CF29" s="11"/>
      <c r="CG29" s="12"/>
      <c r="CH29" s="11"/>
      <c r="CI29" s="12"/>
      <c r="CJ29" s="11"/>
      <c r="CK29" s="12"/>
      <c r="CL29" s="11"/>
      <c r="CM29" s="11"/>
      <c r="CN29" s="11"/>
      <c r="CO29" s="11"/>
      <c r="CP29" s="11"/>
      <c r="CQ29" s="11"/>
      <c r="CR29" s="11"/>
      <c r="CS29" s="11"/>
      <c r="CT29" s="11"/>
      <c r="CU29" s="11"/>
    </row>
    <row r="30" spans="1:99" x14ac:dyDescent="0.3">
      <c r="E30" s="46" t="s">
        <v>285</v>
      </c>
      <c r="G30" s="45" t="s">
        <v>285</v>
      </c>
      <c r="H30" s="25">
        <f>SUMIFS('Stop Sale'!$C:$C,'Stop Sale'!$B:$B,$A27,'Stop Sale'!$A:$A,$C$1,'Stop Sale'!$D:$D,"&lt;="&amp;H$6,'Stop Sale'!$E:$E,"&gt;"&amp;H$6)</f>
        <v>0</v>
      </c>
      <c r="I30" s="25">
        <f>SUMIFS('Stop Sale'!$C:$C,'Stop Sale'!$B:$B,$A27,'Stop Sale'!$A:$A,$C$1,'Stop Sale'!$D:$D,"&lt;="&amp;I$6,'Stop Sale'!$E:$E,"&gt;"&amp;I$6)</f>
        <v>0</v>
      </c>
      <c r="J30" s="25">
        <f>SUMIFS('Stop Sale'!$C:$C,'Stop Sale'!$B:$B,$A27,'Stop Sale'!$A:$A,$C$1,'Stop Sale'!$D:$D,"&lt;="&amp;J$6,'Stop Sale'!$E:$E,"&gt;"&amp;J$6)</f>
        <v>0</v>
      </c>
      <c r="K30" s="25">
        <f>SUMIFS('Stop Sale'!$C:$C,'Stop Sale'!$B:$B,$A27,'Stop Sale'!$A:$A,$C$1,'Stop Sale'!$D:$D,"&lt;="&amp;K$6,'Stop Sale'!$E:$E,"&gt;"&amp;K$6)</f>
        <v>0</v>
      </c>
      <c r="L30" s="25">
        <f>SUMIFS('Stop Sale'!$C:$C,'Stop Sale'!$B:$B,$A27,'Stop Sale'!$A:$A,$C$1,'Stop Sale'!$D:$D,"&lt;="&amp;L$6,'Stop Sale'!$E:$E,"&gt;"&amp;L$6)</f>
        <v>0</v>
      </c>
      <c r="M30" s="25">
        <f>SUMIFS('Stop Sale'!$C:$C,'Stop Sale'!$B:$B,$A27,'Stop Sale'!$A:$A,$C$1,'Stop Sale'!$D:$D,"&lt;="&amp;M$6,'Stop Sale'!$E:$E,"&gt;"&amp;M$6)</f>
        <v>0</v>
      </c>
      <c r="N30" s="25">
        <f>SUMIFS('Stop Sale'!$C:$C,'Stop Sale'!$B:$B,$A27,'Stop Sale'!$A:$A,$C$1,'Stop Sale'!$D:$D,"&lt;="&amp;N$6,'Stop Sale'!$E:$E,"&gt;"&amp;N$6)</f>
        <v>0</v>
      </c>
      <c r="O30" s="25">
        <f>SUMIFS('Stop Sale'!$C:$C,'Stop Sale'!$B:$B,$A27,'Stop Sale'!$A:$A,$C$1,'Stop Sale'!$D:$D,"&lt;="&amp;O$6,'Stop Sale'!$E:$E,"&gt;"&amp;O$6)</f>
        <v>0</v>
      </c>
      <c r="P30" s="25">
        <f>SUMIFS('Stop Sale'!$C:$C,'Stop Sale'!$B:$B,$A27,'Stop Sale'!$A:$A,$C$1,'Stop Sale'!$D:$D,"&lt;="&amp;P$6,'Stop Sale'!$E:$E,"&gt;"&amp;P$6)</f>
        <v>0</v>
      </c>
      <c r="Q30" s="25">
        <f>SUMIFS('Stop Sale'!$C:$C,'Stop Sale'!$B:$B,$A27,'Stop Sale'!$A:$A,$C$1,'Stop Sale'!$D:$D,"&lt;="&amp;Q$6,'Stop Sale'!$E:$E,"&gt;"&amp;Q$6)</f>
        <v>0</v>
      </c>
      <c r="R30" s="25">
        <f>SUMIFS('Stop Sale'!$C:$C,'Stop Sale'!$B:$B,$A27,'Stop Sale'!$A:$A,$C$1,'Stop Sale'!$D:$D,"&lt;="&amp;R$6,'Stop Sale'!$E:$E,"&gt;"&amp;R$6)</f>
        <v>0</v>
      </c>
      <c r="S30" s="25">
        <f>SUMIFS('Stop Sale'!$C:$C,'Stop Sale'!$B:$B,$A27,'Stop Sale'!$A:$A,$C$1,'Stop Sale'!$D:$D,"&lt;="&amp;S$6,'Stop Sale'!$E:$E,"&gt;"&amp;S$6)</f>
        <v>0</v>
      </c>
      <c r="T30" s="25">
        <f>SUMIFS('Stop Sale'!$C:$C,'Stop Sale'!$B:$B,$A27,'Stop Sale'!$A:$A,$C$1,'Stop Sale'!$D:$D,"&lt;="&amp;T$6,'Stop Sale'!$E:$E,"&gt;"&amp;T$6)</f>
        <v>0</v>
      </c>
      <c r="U30" s="25">
        <f>SUMIFS('Stop Sale'!$C:$C,'Stop Sale'!$B:$B,$A27,'Stop Sale'!$A:$A,$C$1,'Stop Sale'!$D:$D,"&lt;="&amp;U$6,'Stop Sale'!$E:$E,"&gt;"&amp;U$6)</f>
        <v>0</v>
      </c>
      <c r="V30" s="25">
        <f>SUMIFS('Stop Sale'!$C:$C,'Stop Sale'!$B:$B,$A27,'Stop Sale'!$A:$A,$C$1,'Stop Sale'!$D:$D,"&lt;="&amp;V$6,'Stop Sale'!$E:$E,"&gt;"&amp;V$6)</f>
        <v>0</v>
      </c>
      <c r="W30" s="25">
        <f>SUMIFS('Stop Sale'!$C:$C,'Stop Sale'!$B:$B,$A27,'Stop Sale'!$A:$A,$C$1,'Stop Sale'!$D:$D,"&lt;="&amp;W$6,'Stop Sale'!$E:$E,"&gt;"&amp;W$6)</f>
        <v>0</v>
      </c>
      <c r="X30" s="25">
        <f>SUMIFS('Stop Sale'!$C:$C,'Stop Sale'!$B:$B,$A27,'Stop Sale'!$A:$A,$C$1,'Stop Sale'!$D:$D,"&lt;="&amp;X$6,'Stop Sale'!$E:$E,"&gt;"&amp;X$6)</f>
        <v>0</v>
      </c>
      <c r="Y30" s="25">
        <f>SUMIFS('Stop Sale'!$C:$C,'Stop Sale'!$B:$B,$A27,'Stop Sale'!$A:$A,$C$1,'Stop Sale'!$D:$D,"&lt;="&amp;Y$6,'Stop Sale'!$E:$E,"&gt;"&amp;Y$6)</f>
        <v>0</v>
      </c>
      <c r="Z30" s="25">
        <f>SUMIFS('Stop Sale'!$C:$C,'Stop Sale'!$B:$B,$A27,'Stop Sale'!$A:$A,$C$1,'Stop Sale'!$D:$D,"&lt;="&amp;Z$6,'Stop Sale'!$E:$E,"&gt;"&amp;Z$6)</f>
        <v>0</v>
      </c>
      <c r="AA30" s="25">
        <f>SUMIFS('Stop Sale'!$C:$C,'Stop Sale'!$B:$B,$A27,'Stop Sale'!$A:$A,$C$1,'Stop Sale'!$D:$D,"&lt;="&amp;AA$6,'Stop Sale'!$E:$E,"&gt;"&amp;AA$6)</f>
        <v>0</v>
      </c>
      <c r="AB30" s="25">
        <f>SUMIFS('Stop Sale'!$C:$C,'Stop Sale'!$B:$B,$A27,'Stop Sale'!$A:$A,$C$1,'Stop Sale'!$D:$D,"&lt;="&amp;AB$6,'Stop Sale'!$E:$E,"&gt;"&amp;AB$6)</f>
        <v>0</v>
      </c>
      <c r="AC30" s="25">
        <f>SUMIFS('Stop Sale'!$C:$C,'Stop Sale'!$B:$B,$A27,'Stop Sale'!$A:$A,$C$1,'Stop Sale'!$D:$D,"&lt;="&amp;AC$6,'Stop Sale'!$E:$E,"&gt;"&amp;AC$6)</f>
        <v>0</v>
      </c>
      <c r="AD30" s="25">
        <f>SUMIFS('Stop Sale'!$C:$C,'Stop Sale'!$B:$B,$A27,'Stop Sale'!$A:$A,$C$1,'Stop Sale'!$D:$D,"&lt;="&amp;AD$6,'Stop Sale'!$E:$E,"&gt;"&amp;AD$6)</f>
        <v>0</v>
      </c>
      <c r="AE30" s="25">
        <f>SUMIFS('Stop Sale'!$C:$C,'Stop Sale'!$B:$B,$A27,'Stop Sale'!$A:$A,$C$1,'Stop Sale'!$D:$D,"&lt;="&amp;AE$6,'Stop Sale'!$E:$E,"&gt;"&amp;AE$6)</f>
        <v>0</v>
      </c>
      <c r="AF30" s="25">
        <f>SUMIFS('Stop Sale'!$C:$C,'Stop Sale'!$B:$B,$A27,'Stop Sale'!$A:$A,$C$1,'Stop Sale'!$D:$D,"&lt;="&amp;AF$6,'Stop Sale'!$E:$E,"&gt;"&amp;AF$6)</f>
        <v>0</v>
      </c>
      <c r="AG30" s="25">
        <f>SUMIFS('Stop Sale'!$C:$C,'Stop Sale'!$B:$B,$A27,'Stop Sale'!$A:$A,$C$1,'Stop Sale'!$D:$D,"&lt;="&amp;AG$6,'Stop Sale'!$E:$E,"&gt;"&amp;AG$6)</f>
        <v>0</v>
      </c>
      <c r="AH30" s="25">
        <f>SUMIFS('Stop Sale'!$C:$C,'Stop Sale'!$B:$B,$A27,'Stop Sale'!$A:$A,$C$1,'Stop Sale'!$D:$D,"&lt;="&amp;AH$6,'Stop Sale'!$E:$E,"&gt;"&amp;AH$6)</f>
        <v>0</v>
      </c>
      <c r="AI30" s="25">
        <f>SUMIFS('Stop Sale'!$C:$C,'Stop Sale'!$B:$B,$A27,'Stop Sale'!$A:$A,$C$1,'Stop Sale'!$D:$D,"&lt;="&amp;AI$6,'Stop Sale'!$E:$E,"&gt;"&amp;AI$6)</f>
        <v>0</v>
      </c>
      <c r="AJ30" s="25">
        <f>SUMIFS('Stop Sale'!$C:$C,'Stop Sale'!$B:$B,$A27,'Stop Sale'!$A:$A,$C$1,'Stop Sale'!$D:$D,"&lt;="&amp;AJ$6,'Stop Sale'!$E:$E,"&gt;"&amp;AJ$6)</f>
        <v>0</v>
      </c>
      <c r="AK30" s="25">
        <f>SUMIFS('Stop Sale'!$C:$C,'Stop Sale'!$B:$B,$A27,'Stop Sale'!$A:$A,$C$1,'Stop Sale'!$D:$D,"&lt;="&amp;AK$6,'Stop Sale'!$E:$E,"&gt;"&amp;AK$6)</f>
        <v>0</v>
      </c>
      <c r="AL30" s="44">
        <f>SUMIFS('Stop Sale'!$C:$C,'Stop Sale'!$B:$B,$A27,'Stop Sale'!$A:$A,$C$1,'Stop Sale'!$D:$D,"&lt;="&amp;AL$6,'Stop Sale'!$E:$E,"&gt;"&amp;AL$6)</f>
        <v>0</v>
      </c>
      <c r="BG30" s="14" t="s">
        <v>93</v>
      </c>
      <c r="BH30" s="13" t="s">
        <v>1470</v>
      </c>
      <c r="BI30" s="12">
        <v>1</v>
      </c>
      <c r="BJ30" s="11" t="s">
        <v>1481</v>
      </c>
      <c r="BK30" s="12">
        <v>1</v>
      </c>
      <c r="BL30" s="15" t="s">
        <v>1485</v>
      </c>
      <c r="BM30" s="12">
        <v>2</v>
      </c>
      <c r="BN30" s="15" t="s">
        <v>1486</v>
      </c>
      <c r="BO30" s="12">
        <v>2</v>
      </c>
      <c r="BP30" s="15" t="s">
        <v>1487</v>
      </c>
      <c r="BQ30" s="12">
        <v>2</v>
      </c>
      <c r="BR30" s="15" t="s">
        <v>1488</v>
      </c>
      <c r="BS30" s="12">
        <v>2</v>
      </c>
      <c r="BT30" s="15" t="s">
        <v>1489</v>
      </c>
      <c r="BU30" s="12">
        <v>1</v>
      </c>
      <c r="BV30" s="11" t="s">
        <v>1490</v>
      </c>
      <c r="BW30" s="12">
        <v>1</v>
      </c>
      <c r="BX30" s="11"/>
      <c r="BY30" s="12"/>
      <c r="BZ30" s="11"/>
      <c r="CA30" s="12"/>
      <c r="CB30" s="11"/>
      <c r="CC30" s="12"/>
      <c r="CD30" s="11"/>
      <c r="CE30" s="12"/>
      <c r="CF30" s="11"/>
      <c r="CG30" s="12"/>
      <c r="CH30" s="11"/>
      <c r="CI30" s="12"/>
      <c r="CJ30" s="11"/>
      <c r="CK30" s="12"/>
      <c r="CL30" s="11"/>
      <c r="CM30" s="11"/>
      <c r="CN30" s="11"/>
      <c r="CO30" s="11"/>
      <c r="CP30" s="11"/>
      <c r="CQ30" s="11"/>
      <c r="CR30" s="11"/>
      <c r="CS30" s="11"/>
      <c r="CT30" s="11"/>
      <c r="CU30" s="11"/>
    </row>
    <row r="31" spans="1:99" x14ac:dyDescent="0.3">
      <c r="A31" s="43"/>
      <c r="D31" s="42"/>
      <c r="E31" s="58" t="s">
        <v>287</v>
      </c>
      <c r="F31" s="57" t="str">
        <f>IFERROR(F29/F28,"")</f>
        <v/>
      </c>
      <c r="G31" s="56" t="s">
        <v>288</v>
      </c>
      <c r="H31" s="55">
        <f t="shared" ref="H31:AL31" si="10">H28-H29</f>
        <v>0</v>
      </c>
      <c r="I31" s="55">
        <f t="shared" si="10"/>
        <v>0</v>
      </c>
      <c r="J31" s="55">
        <f t="shared" si="10"/>
        <v>0</v>
      </c>
      <c r="K31" s="55">
        <f t="shared" si="10"/>
        <v>0</v>
      </c>
      <c r="L31" s="55">
        <f t="shared" si="10"/>
        <v>0</v>
      </c>
      <c r="M31" s="55">
        <f t="shared" si="10"/>
        <v>0</v>
      </c>
      <c r="N31" s="55">
        <f t="shared" si="10"/>
        <v>0</v>
      </c>
      <c r="O31" s="55">
        <f t="shared" si="10"/>
        <v>0</v>
      </c>
      <c r="P31" s="55">
        <f t="shared" si="10"/>
        <v>0</v>
      </c>
      <c r="Q31" s="55">
        <f t="shared" si="10"/>
        <v>0</v>
      </c>
      <c r="R31" s="55">
        <f t="shared" si="10"/>
        <v>0</v>
      </c>
      <c r="S31" s="55">
        <f t="shared" si="10"/>
        <v>0</v>
      </c>
      <c r="T31" s="55">
        <f t="shared" si="10"/>
        <v>0</v>
      </c>
      <c r="U31" s="55">
        <f t="shared" si="10"/>
        <v>0</v>
      </c>
      <c r="V31" s="55">
        <f t="shared" si="10"/>
        <v>0</v>
      </c>
      <c r="W31" s="55">
        <f t="shared" si="10"/>
        <v>0</v>
      </c>
      <c r="X31" s="55">
        <f t="shared" si="10"/>
        <v>0</v>
      </c>
      <c r="Y31" s="55">
        <f t="shared" si="10"/>
        <v>0</v>
      </c>
      <c r="Z31" s="55">
        <f t="shared" si="10"/>
        <v>0</v>
      </c>
      <c r="AA31" s="55">
        <f t="shared" si="10"/>
        <v>0</v>
      </c>
      <c r="AB31" s="55">
        <f t="shared" si="10"/>
        <v>0</v>
      </c>
      <c r="AC31" s="55">
        <f t="shared" si="10"/>
        <v>0</v>
      </c>
      <c r="AD31" s="55">
        <f t="shared" si="10"/>
        <v>0</v>
      </c>
      <c r="AE31" s="55">
        <f t="shared" si="10"/>
        <v>0</v>
      </c>
      <c r="AF31" s="55">
        <f t="shared" si="10"/>
        <v>0</v>
      </c>
      <c r="AG31" s="55">
        <f t="shared" si="10"/>
        <v>0</v>
      </c>
      <c r="AH31" s="55">
        <f t="shared" si="10"/>
        <v>0</v>
      </c>
      <c r="AI31" s="55">
        <f t="shared" si="10"/>
        <v>0</v>
      </c>
      <c r="AJ31" s="55">
        <f t="shared" si="10"/>
        <v>0</v>
      </c>
      <c r="AK31" s="55">
        <f t="shared" si="10"/>
        <v>0</v>
      </c>
      <c r="AL31" s="54">
        <f t="shared" si="10"/>
        <v>0</v>
      </c>
      <c r="BG31" s="14" t="s">
        <v>107</v>
      </c>
      <c r="BH31" s="13"/>
      <c r="BI31" s="12"/>
      <c r="BJ31" s="11"/>
      <c r="BK31" s="12"/>
      <c r="BL31" s="11"/>
      <c r="BM31" s="12"/>
      <c r="BN31" s="15"/>
      <c r="BO31" s="12"/>
      <c r="BP31" s="15"/>
      <c r="BQ31" s="12"/>
      <c r="BR31" s="15"/>
      <c r="BS31" s="12"/>
      <c r="BT31" s="15"/>
      <c r="BU31" s="12"/>
      <c r="BV31" s="11"/>
      <c r="BW31" s="12"/>
      <c r="BX31" s="11"/>
      <c r="BY31" s="12"/>
      <c r="BZ31" s="11"/>
      <c r="CA31" s="12"/>
      <c r="CB31" s="11"/>
      <c r="CC31" s="12"/>
      <c r="CD31" s="11"/>
      <c r="CE31" s="12"/>
      <c r="CF31" s="11"/>
      <c r="CG31" s="12"/>
      <c r="CH31" s="11"/>
      <c r="CI31" s="12"/>
      <c r="CJ31" s="11"/>
      <c r="CK31" s="12"/>
      <c r="CL31" s="11"/>
      <c r="CM31" s="11"/>
      <c r="CN31" s="11"/>
      <c r="CO31" s="11"/>
      <c r="CP31" s="11"/>
      <c r="CQ31" s="11"/>
      <c r="CR31" s="11"/>
      <c r="CS31" s="11"/>
      <c r="CT31" s="11"/>
      <c r="CU31" s="11"/>
    </row>
    <row r="32" spans="1:99" x14ac:dyDescent="0.3">
      <c r="A32" s="53">
        <f>VLOOKUP($C$1,$BG$2:$BU$119,12,FALSE)</f>
        <v>0</v>
      </c>
      <c r="B32" s="52"/>
      <c r="C32" s="52"/>
      <c r="D32" s="51"/>
      <c r="E32" s="50" t="s">
        <v>278</v>
      </c>
      <c r="F32" s="48"/>
      <c r="G32" s="49" t="s">
        <v>279</v>
      </c>
      <c r="H32" s="48">
        <v>1</v>
      </c>
      <c r="I32" s="48">
        <v>2</v>
      </c>
      <c r="J32" s="48">
        <v>3</v>
      </c>
      <c r="K32" s="48">
        <v>4</v>
      </c>
      <c r="L32" s="48">
        <v>5</v>
      </c>
      <c r="M32" s="48">
        <v>6</v>
      </c>
      <c r="N32" s="48">
        <v>7</v>
      </c>
      <c r="O32" s="48">
        <v>8</v>
      </c>
      <c r="P32" s="48">
        <v>9</v>
      </c>
      <c r="Q32" s="48">
        <v>10</v>
      </c>
      <c r="R32" s="48">
        <v>11</v>
      </c>
      <c r="S32" s="48">
        <v>12</v>
      </c>
      <c r="T32" s="48">
        <v>13</v>
      </c>
      <c r="U32" s="48">
        <v>14</v>
      </c>
      <c r="V32" s="48">
        <v>15</v>
      </c>
      <c r="W32" s="48">
        <v>16</v>
      </c>
      <c r="X32" s="48">
        <v>17</v>
      </c>
      <c r="Y32" s="48">
        <v>18</v>
      </c>
      <c r="Z32" s="48">
        <v>19</v>
      </c>
      <c r="AA32" s="48">
        <v>20</v>
      </c>
      <c r="AB32" s="48">
        <v>21</v>
      </c>
      <c r="AC32" s="48">
        <v>22</v>
      </c>
      <c r="AD32" s="48">
        <v>23</v>
      </c>
      <c r="AE32" s="48">
        <v>24</v>
      </c>
      <c r="AF32" s="48">
        <v>25</v>
      </c>
      <c r="AG32" s="48">
        <v>26</v>
      </c>
      <c r="AH32" s="48">
        <v>27</v>
      </c>
      <c r="AI32" s="48">
        <v>28</v>
      </c>
      <c r="AJ32" s="48">
        <v>29</v>
      </c>
      <c r="AK32" s="48">
        <v>30</v>
      </c>
      <c r="AL32" s="47">
        <v>31</v>
      </c>
      <c r="BG32" s="14" t="s">
        <v>158</v>
      </c>
      <c r="BH32" s="13"/>
      <c r="BI32" s="12"/>
      <c r="BJ32" s="11"/>
      <c r="BK32" s="12"/>
      <c r="BL32" s="13"/>
      <c r="BM32" s="12"/>
      <c r="BN32" s="11"/>
      <c r="BO32" s="12"/>
      <c r="BP32" s="15"/>
      <c r="BQ32" s="12"/>
      <c r="BR32" s="15"/>
      <c r="BS32" s="12"/>
      <c r="BT32" s="15"/>
      <c r="BU32" s="12"/>
      <c r="BV32" s="11"/>
      <c r="BW32" s="12"/>
      <c r="BX32" s="11"/>
      <c r="BY32" s="12"/>
      <c r="BZ32" s="11"/>
      <c r="CA32" s="12"/>
      <c r="CB32" s="11"/>
      <c r="CC32" s="12"/>
      <c r="CD32" s="11"/>
      <c r="CE32" s="12"/>
      <c r="CF32" s="11"/>
      <c r="CG32" s="12"/>
      <c r="CH32" s="11"/>
      <c r="CI32" s="12"/>
      <c r="CJ32" s="11"/>
      <c r="CK32" s="12"/>
      <c r="CL32" s="11"/>
      <c r="CM32" s="11"/>
      <c r="CN32" s="11"/>
      <c r="CO32" s="11"/>
      <c r="CP32" s="11"/>
      <c r="CQ32" s="11"/>
      <c r="CR32" s="11"/>
      <c r="CS32" s="11"/>
      <c r="CT32" s="11"/>
      <c r="CU32" s="11"/>
    </row>
    <row r="33" spans="1:99" x14ac:dyDescent="0.3">
      <c r="A33" s="43"/>
      <c r="D33" s="42"/>
      <c r="E33" s="41" t="s">
        <v>280</v>
      </c>
      <c r="F33" s="25">
        <f>SUM(H33:AL33)</f>
        <v>155</v>
      </c>
      <c r="G33" s="4" t="s">
        <v>281</v>
      </c>
      <c r="H33" s="25">
        <v>5</v>
      </c>
      <c r="I33" s="25">
        <v>5</v>
      </c>
      <c r="J33" s="25">
        <v>5</v>
      </c>
      <c r="K33" s="25">
        <v>5</v>
      </c>
      <c r="L33" s="25">
        <v>5</v>
      </c>
      <c r="M33" s="25">
        <v>5</v>
      </c>
      <c r="N33" s="25">
        <v>5</v>
      </c>
      <c r="O33" s="25">
        <v>5</v>
      </c>
      <c r="P33" s="25">
        <v>5</v>
      </c>
      <c r="Q33" s="25">
        <v>5</v>
      </c>
      <c r="R33" s="25">
        <v>5</v>
      </c>
      <c r="S33" s="25">
        <v>5</v>
      </c>
      <c r="T33" s="25">
        <v>5</v>
      </c>
      <c r="U33" s="25">
        <v>5</v>
      </c>
      <c r="V33" s="25">
        <v>5</v>
      </c>
      <c r="W33" s="25">
        <v>5</v>
      </c>
      <c r="X33" s="25">
        <v>5</v>
      </c>
      <c r="Y33" s="25">
        <v>5</v>
      </c>
      <c r="Z33" s="25">
        <v>5</v>
      </c>
      <c r="AA33" s="25">
        <v>5</v>
      </c>
      <c r="AB33" s="25">
        <v>5</v>
      </c>
      <c r="AC33" s="25">
        <v>5</v>
      </c>
      <c r="AD33" s="25">
        <v>5</v>
      </c>
      <c r="AE33" s="25">
        <v>5</v>
      </c>
      <c r="AF33" s="25">
        <v>5</v>
      </c>
      <c r="AG33" s="25">
        <v>5</v>
      </c>
      <c r="AH33" s="25">
        <v>5</v>
      </c>
      <c r="AI33" s="25">
        <v>5</v>
      </c>
      <c r="AJ33" s="25">
        <v>5</v>
      </c>
      <c r="AK33" s="25">
        <v>5</v>
      </c>
      <c r="AL33" s="25">
        <v>5</v>
      </c>
      <c r="BG33" s="14" t="s">
        <v>78</v>
      </c>
      <c r="BH33" s="11" t="s">
        <v>1402</v>
      </c>
      <c r="BI33" s="12">
        <v>3</v>
      </c>
      <c r="BJ33" s="13" t="s">
        <v>1491</v>
      </c>
      <c r="BK33" s="12">
        <v>1</v>
      </c>
      <c r="BL33" s="11" t="s">
        <v>1492</v>
      </c>
      <c r="BM33" s="12">
        <v>1</v>
      </c>
      <c r="BN33" s="59"/>
      <c r="BO33" s="12"/>
      <c r="BP33" s="15"/>
      <c r="BQ33" s="12"/>
      <c r="BR33" s="15"/>
      <c r="BS33" s="12"/>
      <c r="BT33" s="15"/>
      <c r="BU33" s="12"/>
      <c r="BV33" s="11"/>
      <c r="BW33" s="12"/>
      <c r="BX33" s="11"/>
      <c r="BY33" s="12"/>
      <c r="BZ33" s="11"/>
      <c r="CA33" s="12"/>
      <c r="CB33" s="11"/>
      <c r="CC33" s="12"/>
      <c r="CD33" s="11"/>
      <c r="CE33" s="12"/>
      <c r="CF33" s="11"/>
      <c r="CG33" s="12"/>
      <c r="CH33" s="11"/>
      <c r="CI33" s="12"/>
      <c r="CJ33" s="11"/>
      <c r="CK33" s="12"/>
      <c r="CL33" s="11"/>
      <c r="CM33" s="11"/>
      <c r="CN33" s="11"/>
      <c r="CO33" s="11"/>
      <c r="CP33" s="11"/>
      <c r="CQ33" s="11"/>
      <c r="CR33" s="11"/>
      <c r="CS33" s="11"/>
      <c r="CT33" s="11"/>
      <c r="CU33" s="11"/>
    </row>
    <row r="34" spans="1:99" x14ac:dyDescent="0.3">
      <c r="A34" s="43"/>
      <c r="D34" s="42"/>
      <c r="E34" s="41" t="s">
        <v>282</v>
      </c>
      <c r="F34" s="25">
        <f>SUM(H34:AL34)</f>
        <v>0</v>
      </c>
      <c r="G34" s="4" t="s">
        <v>283</v>
      </c>
      <c r="H34" s="25">
        <f>SUMIFS('BKG Bank'!$O:$O,'BKG Bank'!$J:$J,$A32,'BKG Bank'!$I:$I,$C$1,'BKG Bank'!$K:$K,"&lt;="&amp;H$6,'BKG Bank'!$L:$L,"&gt;"&amp;H$6)</f>
        <v>0</v>
      </c>
      <c r="I34" s="25">
        <f>SUMIFS('BKG Bank'!$O:$O,'BKG Bank'!$J:$J,$A32,'BKG Bank'!$I:$I,$C$1,'BKG Bank'!$K:$K,"&lt;="&amp;I$6,'BKG Bank'!$L:$L,"&gt;"&amp;I$6)</f>
        <v>0</v>
      </c>
      <c r="J34" s="25">
        <f>SUMIFS('BKG Bank'!$O:$O,'BKG Bank'!$J:$J,$A32,'BKG Bank'!$I:$I,$C$1,'BKG Bank'!$K:$K,"&lt;="&amp;J$6,'BKG Bank'!$L:$L,"&gt;"&amp;J$6)</f>
        <v>0</v>
      </c>
      <c r="K34" s="25">
        <f>SUMIFS('BKG Bank'!$O:$O,'BKG Bank'!$J:$J,$A32,'BKG Bank'!$I:$I,$C$1,'BKG Bank'!$K:$K,"&lt;="&amp;K$6,'BKG Bank'!$L:$L,"&gt;"&amp;K$6)</f>
        <v>0</v>
      </c>
      <c r="L34" s="25">
        <f>SUMIFS('BKG Bank'!$O:$O,'BKG Bank'!$J:$J,$A32,'BKG Bank'!$I:$I,$C$1,'BKG Bank'!$K:$K,"&lt;="&amp;L$6,'BKG Bank'!$L:$L,"&gt;"&amp;L$6)</f>
        <v>0</v>
      </c>
      <c r="M34" s="25">
        <f>SUMIFS('BKG Bank'!$O:$O,'BKG Bank'!$J:$J,$A32,'BKG Bank'!$I:$I,$C$1,'BKG Bank'!$K:$K,"&lt;="&amp;M$6,'BKG Bank'!$L:$L,"&gt;"&amp;M$6)</f>
        <v>0</v>
      </c>
      <c r="N34" s="25">
        <f>SUMIFS('BKG Bank'!$O:$O,'BKG Bank'!$J:$J,$A32,'BKG Bank'!$I:$I,$C$1,'BKG Bank'!$K:$K,"&lt;="&amp;N$6,'BKG Bank'!$L:$L,"&gt;"&amp;N$6)</f>
        <v>0</v>
      </c>
      <c r="O34" s="25">
        <f>SUMIFS('BKG Bank'!$O:$O,'BKG Bank'!$J:$J,$A32,'BKG Bank'!$I:$I,$C$1,'BKG Bank'!$K:$K,"&lt;="&amp;O$6,'BKG Bank'!$L:$L,"&gt;"&amp;O$6)</f>
        <v>0</v>
      </c>
      <c r="P34" s="25">
        <f>SUMIFS('BKG Bank'!$O:$O,'BKG Bank'!$J:$J,$A32,'BKG Bank'!$I:$I,$C$1,'BKG Bank'!$K:$K,"&lt;="&amp;P$6,'BKG Bank'!$L:$L,"&gt;"&amp;P$6)</f>
        <v>0</v>
      </c>
      <c r="Q34" s="25">
        <f>SUMIFS('BKG Bank'!$O:$O,'BKG Bank'!$J:$J,$A32,'BKG Bank'!$I:$I,$C$1,'BKG Bank'!$K:$K,"&lt;="&amp;Q$6,'BKG Bank'!$L:$L,"&gt;"&amp;Q$6)</f>
        <v>0</v>
      </c>
      <c r="R34" s="25">
        <f>SUMIFS('BKG Bank'!$O:$O,'BKG Bank'!$J:$J,$A32,'BKG Bank'!$I:$I,$C$1,'BKG Bank'!$K:$K,"&lt;="&amp;R$6,'BKG Bank'!$L:$L,"&gt;"&amp;R$6)</f>
        <v>0</v>
      </c>
      <c r="S34" s="25">
        <f>SUMIFS('BKG Bank'!$O:$O,'BKG Bank'!$J:$J,$A32,'BKG Bank'!$I:$I,$C$1,'BKG Bank'!$K:$K,"&lt;="&amp;S$6,'BKG Bank'!$L:$L,"&gt;"&amp;S$6)</f>
        <v>0</v>
      </c>
      <c r="T34" s="25">
        <f>SUMIFS('BKG Bank'!$O:$O,'BKG Bank'!$J:$J,$A32,'BKG Bank'!$I:$I,$C$1,'BKG Bank'!$K:$K,"&lt;="&amp;T$6,'BKG Bank'!$L:$L,"&gt;"&amp;T$6)</f>
        <v>0</v>
      </c>
      <c r="U34" s="25">
        <f>SUMIFS('BKG Bank'!$O:$O,'BKG Bank'!$J:$J,$A32,'BKG Bank'!$I:$I,$C$1,'BKG Bank'!$K:$K,"&lt;="&amp;U$6,'BKG Bank'!$L:$L,"&gt;"&amp;U$6)</f>
        <v>0</v>
      </c>
      <c r="V34" s="25">
        <f>SUMIFS('BKG Bank'!$O:$O,'BKG Bank'!$J:$J,$A32,'BKG Bank'!$I:$I,$C$1,'BKG Bank'!$K:$K,"&lt;="&amp;V$6,'BKG Bank'!$L:$L,"&gt;"&amp;V$6)</f>
        <v>0</v>
      </c>
      <c r="W34" s="25">
        <f>SUMIFS('BKG Bank'!$O:$O,'BKG Bank'!$J:$J,$A32,'BKG Bank'!$I:$I,$C$1,'BKG Bank'!$K:$K,"&lt;="&amp;W$6,'BKG Bank'!$L:$L,"&gt;"&amp;W$6)</f>
        <v>0</v>
      </c>
      <c r="X34" s="25">
        <f>SUMIFS('BKG Bank'!$O:$O,'BKG Bank'!$J:$J,$A32,'BKG Bank'!$I:$I,$C$1,'BKG Bank'!$K:$K,"&lt;="&amp;X$6,'BKG Bank'!$L:$L,"&gt;"&amp;X$6)</f>
        <v>0</v>
      </c>
      <c r="Y34" s="25">
        <f>SUMIFS('BKG Bank'!$O:$O,'BKG Bank'!$J:$J,$A32,'BKG Bank'!$I:$I,$C$1,'BKG Bank'!$K:$K,"&lt;="&amp;Y$6,'BKG Bank'!$L:$L,"&gt;"&amp;Y$6)</f>
        <v>0</v>
      </c>
      <c r="Z34" s="25">
        <f>SUMIFS('BKG Bank'!$O:$O,'BKG Bank'!$J:$J,$A32,'BKG Bank'!$I:$I,$C$1,'BKG Bank'!$K:$K,"&lt;="&amp;Z$6,'BKG Bank'!$L:$L,"&gt;"&amp;Z$6)</f>
        <v>0</v>
      </c>
      <c r="AA34" s="25">
        <f>SUMIFS('BKG Bank'!$O:$O,'BKG Bank'!$J:$J,$A32,'BKG Bank'!$I:$I,$C$1,'BKG Bank'!$K:$K,"&lt;="&amp;AA$6,'BKG Bank'!$L:$L,"&gt;"&amp;AA$6)</f>
        <v>0</v>
      </c>
      <c r="AB34" s="25">
        <f>SUMIFS('BKG Bank'!$O:$O,'BKG Bank'!$J:$J,$A32,'BKG Bank'!$I:$I,$C$1,'BKG Bank'!$K:$K,"&lt;="&amp;AB$6,'BKG Bank'!$L:$L,"&gt;"&amp;AB$6)</f>
        <v>0</v>
      </c>
      <c r="AC34" s="25">
        <f>SUMIFS('BKG Bank'!$O:$O,'BKG Bank'!$J:$J,$A32,'BKG Bank'!$I:$I,$C$1,'BKG Bank'!$K:$K,"&lt;="&amp;AC$6,'BKG Bank'!$L:$L,"&gt;"&amp;AC$6)</f>
        <v>0</v>
      </c>
      <c r="AD34" s="25">
        <f>SUMIFS('BKG Bank'!$O:$O,'BKG Bank'!$J:$J,$A32,'BKG Bank'!$I:$I,$C$1,'BKG Bank'!$K:$K,"&lt;="&amp;AD$6,'BKG Bank'!$L:$L,"&gt;"&amp;AD$6)</f>
        <v>0</v>
      </c>
      <c r="AE34" s="25">
        <f>SUMIFS('BKG Bank'!$O:$O,'BKG Bank'!$J:$J,$A32,'BKG Bank'!$I:$I,$C$1,'BKG Bank'!$K:$K,"&lt;="&amp;AE$6,'BKG Bank'!$L:$L,"&gt;"&amp;AE$6)</f>
        <v>0</v>
      </c>
      <c r="AF34" s="25">
        <f>SUMIFS('BKG Bank'!$O:$O,'BKG Bank'!$J:$J,$A32,'BKG Bank'!$I:$I,$C$1,'BKG Bank'!$K:$K,"&lt;="&amp;AF$6,'BKG Bank'!$L:$L,"&gt;"&amp;AF$6)</f>
        <v>0</v>
      </c>
      <c r="AG34" s="25">
        <f>SUMIFS('BKG Bank'!$O:$O,'BKG Bank'!$J:$J,$A32,'BKG Bank'!$I:$I,$C$1,'BKG Bank'!$K:$K,"&lt;="&amp;AG$6,'BKG Bank'!$L:$L,"&gt;"&amp;AG$6)</f>
        <v>0</v>
      </c>
      <c r="AH34" s="25">
        <f>SUMIFS('BKG Bank'!$O:$O,'BKG Bank'!$J:$J,$A32,'BKG Bank'!$I:$I,$C$1,'BKG Bank'!$K:$K,"&lt;="&amp;AH$6,'BKG Bank'!$L:$L,"&gt;"&amp;AH$6)</f>
        <v>0</v>
      </c>
      <c r="AI34" s="25">
        <f>SUMIFS('BKG Bank'!$O:$O,'BKG Bank'!$J:$J,$A32,'BKG Bank'!$I:$I,$C$1,'BKG Bank'!$K:$K,"&lt;="&amp;AI$6,'BKG Bank'!$L:$L,"&gt;"&amp;AI$6)</f>
        <v>0</v>
      </c>
      <c r="AJ34" s="25">
        <f>SUMIFS('BKG Bank'!$O:$O,'BKG Bank'!$J:$J,$A32,'BKG Bank'!$I:$I,$C$1,'BKG Bank'!$K:$K,"&lt;="&amp;AJ$6,'BKG Bank'!$L:$L,"&gt;"&amp;AJ$6)</f>
        <v>0</v>
      </c>
      <c r="AK34" s="25">
        <f>SUMIFS('BKG Bank'!$O:$O,'BKG Bank'!$J:$J,$A32,'BKG Bank'!$I:$I,$C$1,'BKG Bank'!$K:$K,"&lt;="&amp;AK$6,'BKG Bank'!$L:$L,"&gt;"&amp;AK$6)</f>
        <v>0</v>
      </c>
      <c r="AL34" s="44">
        <f>SUMIFS('BKG Bank'!$O:$O,'BKG Bank'!$J:$J,$A32,'BKG Bank'!$I:$I,$C$1,'BKG Bank'!$K:$K,"&lt;="&amp;AL$6,'BKG Bank'!$L:$L,"&gt;"&amp;AL$6)</f>
        <v>0</v>
      </c>
      <c r="BG34" s="14" t="s">
        <v>90</v>
      </c>
      <c r="BH34" s="11"/>
      <c r="BI34" s="12"/>
      <c r="BJ34" s="13"/>
      <c r="BK34" s="12"/>
      <c r="BL34" s="11"/>
      <c r="BM34" s="12"/>
      <c r="BN34" s="13"/>
      <c r="BO34" s="12"/>
      <c r="BP34" s="11"/>
      <c r="BQ34" s="12"/>
      <c r="BR34" s="15"/>
      <c r="BS34" s="12"/>
      <c r="BT34" s="15"/>
      <c r="BU34" s="12"/>
      <c r="BV34" s="11"/>
      <c r="BW34" s="12"/>
      <c r="BX34" s="11"/>
      <c r="BY34" s="12"/>
      <c r="BZ34" s="11"/>
      <c r="CA34" s="12"/>
      <c r="CB34" s="11"/>
      <c r="CC34" s="12"/>
      <c r="CD34" s="11"/>
      <c r="CE34" s="12"/>
      <c r="CF34" s="11"/>
      <c r="CG34" s="12"/>
      <c r="CH34" s="11"/>
      <c r="CI34" s="12"/>
      <c r="CJ34" s="11"/>
      <c r="CK34" s="12"/>
      <c r="CL34" s="11"/>
      <c r="CM34" s="11"/>
      <c r="CN34" s="11"/>
      <c r="CO34" s="11"/>
      <c r="CP34" s="11"/>
      <c r="CQ34" s="11"/>
      <c r="CR34" s="11"/>
      <c r="CS34" s="11"/>
      <c r="CT34" s="11"/>
      <c r="CU34" s="11"/>
    </row>
    <row r="35" spans="1:99" x14ac:dyDescent="0.3">
      <c r="E35" s="46" t="s">
        <v>285</v>
      </c>
      <c r="G35" s="45" t="s">
        <v>285</v>
      </c>
      <c r="H35" s="25">
        <f>SUMIFS('Stop Sale'!$C:$C,'Stop Sale'!$B:$B,$A32,'Stop Sale'!$A:$A,$C$1,'Stop Sale'!$D:$D,"&lt;="&amp;H$6,'Stop Sale'!$E:$E,"&gt;"&amp;H$6)</f>
        <v>0</v>
      </c>
      <c r="I35" s="25">
        <f>SUMIFS('Stop Sale'!$C:$C,'Stop Sale'!$B:$B,$A32,'Stop Sale'!$A:$A,$C$1,'Stop Sale'!$D:$D,"&lt;="&amp;I$6,'Stop Sale'!$E:$E,"&gt;"&amp;I$6)</f>
        <v>0</v>
      </c>
      <c r="J35" s="25">
        <f>SUMIFS('Stop Sale'!$C:$C,'Stop Sale'!$B:$B,$A32,'Stop Sale'!$A:$A,$C$1,'Stop Sale'!$D:$D,"&lt;="&amp;J$6,'Stop Sale'!$E:$E,"&gt;"&amp;J$6)</f>
        <v>0</v>
      </c>
      <c r="K35" s="25">
        <f>SUMIFS('Stop Sale'!$C:$C,'Stop Sale'!$B:$B,$A32,'Stop Sale'!$A:$A,$C$1,'Stop Sale'!$D:$D,"&lt;="&amp;K$6,'Stop Sale'!$E:$E,"&gt;"&amp;K$6)</f>
        <v>0</v>
      </c>
      <c r="L35" s="25">
        <f>SUMIFS('Stop Sale'!$C:$C,'Stop Sale'!$B:$B,$A32,'Stop Sale'!$A:$A,$C$1,'Stop Sale'!$D:$D,"&lt;="&amp;L$6,'Stop Sale'!$E:$E,"&gt;"&amp;L$6)</f>
        <v>0</v>
      </c>
      <c r="M35" s="25">
        <f>SUMIFS('Stop Sale'!$C:$C,'Stop Sale'!$B:$B,$A32,'Stop Sale'!$A:$A,$C$1,'Stop Sale'!$D:$D,"&lt;="&amp;M$6,'Stop Sale'!$E:$E,"&gt;"&amp;M$6)</f>
        <v>0</v>
      </c>
      <c r="N35" s="25">
        <f>SUMIFS('Stop Sale'!$C:$C,'Stop Sale'!$B:$B,$A32,'Stop Sale'!$A:$A,$C$1,'Stop Sale'!$D:$D,"&lt;="&amp;N$6,'Stop Sale'!$E:$E,"&gt;"&amp;N$6)</f>
        <v>0</v>
      </c>
      <c r="O35" s="25">
        <f>SUMIFS('Stop Sale'!$C:$C,'Stop Sale'!$B:$B,$A32,'Stop Sale'!$A:$A,$C$1,'Stop Sale'!$D:$D,"&lt;="&amp;O$6,'Stop Sale'!$E:$E,"&gt;"&amp;O$6)</f>
        <v>0</v>
      </c>
      <c r="P35" s="25">
        <f>SUMIFS('Stop Sale'!$C:$C,'Stop Sale'!$B:$B,$A32,'Stop Sale'!$A:$A,$C$1,'Stop Sale'!$D:$D,"&lt;="&amp;P$6,'Stop Sale'!$E:$E,"&gt;"&amp;P$6)</f>
        <v>0</v>
      </c>
      <c r="Q35" s="25">
        <f>SUMIFS('Stop Sale'!$C:$C,'Stop Sale'!$B:$B,$A32,'Stop Sale'!$A:$A,$C$1,'Stop Sale'!$D:$D,"&lt;="&amp;Q$6,'Stop Sale'!$E:$E,"&gt;"&amp;Q$6)</f>
        <v>0</v>
      </c>
      <c r="R35" s="25">
        <f>SUMIFS('Stop Sale'!$C:$C,'Stop Sale'!$B:$B,$A32,'Stop Sale'!$A:$A,$C$1,'Stop Sale'!$D:$D,"&lt;="&amp;R$6,'Stop Sale'!$E:$E,"&gt;"&amp;R$6)</f>
        <v>0</v>
      </c>
      <c r="S35" s="25">
        <f>SUMIFS('Stop Sale'!$C:$C,'Stop Sale'!$B:$B,$A32,'Stop Sale'!$A:$A,$C$1,'Stop Sale'!$D:$D,"&lt;="&amp;S$6,'Stop Sale'!$E:$E,"&gt;"&amp;S$6)</f>
        <v>0</v>
      </c>
      <c r="T35" s="25">
        <f>SUMIFS('Stop Sale'!$C:$C,'Stop Sale'!$B:$B,$A32,'Stop Sale'!$A:$A,$C$1,'Stop Sale'!$D:$D,"&lt;="&amp;T$6,'Stop Sale'!$E:$E,"&gt;"&amp;T$6)</f>
        <v>0</v>
      </c>
      <c r="U35" s="25">
        <f>SUMIFS('Stop Sale'!$C:$C,'Stop Sale'!$B:$B,$A32,'Stop Sale'!$A:$A,$C$1,'Stop Sale'!$D:$D,"&lt;="&amp;U$6,'Stop Sale'!$E:$E,"&gt;"&amp;U$6)</f>
        <v>0</v>
      </c>
      <c r="V35" s="25">
        <f>SUMIFS('Stop Sale'!$C:$C,'Stop Sale'!$B:$B,$A32,'Stop Sale'!$A:$A,$C$1,'Stop Sale'!$D:$D,"&lt;="&amp;V$6,'Stop Sale'!$E:$E,"&gt;"&amp;V$6)</f>
        <v>0</v>
      </c>
      <c r="W35" s="25">
        <f>SUMIFS('Stop Sale'!$C:$C,'Stop Sale'!$B:$B,$A32,'Stop Sale'!$A:$A,$C$1,'Stop Sale'!$D:$D,"&lt;="&amp;W$6,'Stop Sale'!$E:$E,"&gt;"&amp;W$6)</f>
        <v>0</v>
      </c>
      <c r="X35" s="25">
        <f>SUMIFS('Stop Sale'!$C:$C,'Stop Sale'!$B:$B,$A32,'Stop Sale'!$A:$A,$C$1,'Stop Sale'!$D:$D,"&lt;="&amp;X$6,'Stop Sale'!$E:$E,"&gt;"&amp;X$6)</f>
        <v>0</v>
      </c>
      <c r="Y35" s="25">
        <f>SUMIFS('Stop Sale'!$C:$C,'Stop Sale'!$B:$B,$A32,'Stop Sale'!$A:$A,$C$1,'Stop Sale'!$D:$D,"&lt;="&amp;Y$6,'Stop Sale'!$E:$E,"&gt;"&amp;Y$6)</f>
        <v>0</v>
      </c>
      <c r="Z35" s="25">
        <f>SUMIFS('Stop Sale'!$C:$C,'Stop Sale'!$B:$B,$A32,'Stop Sale'!$A:$A,$C$1,'Stop Sale'!$D:$D,"&lt;="&amp;Z$6,'Stop Sale'!$E:$E,"&gt;"&amp;Z$6)</f>
        <v>0</v>
      </c>
      <c r="AA35" s="25">
        <f>SUMIFS('Stop Sale'!$C:$C,'Stop Sale'!$B:$B,$A32,'Stop Sale'!$A:$A,$C$1,'Stop Sale'!$D:$D,"&lt;="&amp;AA$6,'Stop Sale'!$E:$E,"&gt;"&amp;AA$6)</f>
        <v>0</v>
      </c>
      <c r="AB35" s="25">
        <f>SUMIFS('Stop Sale'!$C:$C,'Stop Sale'!$B:$B,$A32,'Stop Sale'!$A:$A,$C$1,'Stop Sale'!$D:$D,"&lt;="&amp;AB$6,'Stop Sale'!$E:$E,"&gt;"&amp;AB$6)</f>
        <v>0</v>
      </c>
      <c r="AC35" s="25">
        <f>SUMIFS('Stop Sale'!$C:$C,'Stop Sale'!$B:$B,$A32,'Stop Sale'!$A:$A,$C$1,'Stop Sale'!$D:$D,"&lt;="&amp;AC$6,'Stop Sale'!$E:$E,"&gt;"&amp;AC$6)</f>
        <v>0</v>
      </c>
      <c r="AD35" s="25">
        <f>SUMIFS('Stop Sale'!$C:$C,'Stop Sale'!$B:$B,$A32,'Stop Sale'!$A:$A,$C$1,'Stop Sale'!$D:$D,"&lt;="&amp;AD$6,'Stop Sale'!$E:$E,"&gt;"&amp;AD$6)</f>
        <v>0</v>
      </c>
      <c r="AE35" s="25">
        <f>SUMIFS('Stop Sale'!$C:$C,'Stop Sale'!$B:$B,$A32,'Stop Sale'!$A:$A,$C$1,'Stop Sale'!$D:$D,"&lt;="&amp;AE$6,'Stop Sale'!$E:$E,"&gt;"&amp;AE$6)</f>
        <v>0</v>
      </c>
      <c r="AF35" s="25">
        <f>SUMIFS('Stop Sale'!$C:$C,'Stop Sale'!$B:$B,$A32,'Stop Sale'!$A:$A,$C$1,'Stop Sale'!$D:$D,"&lt;="&amp;AF$6,'Stop Sale'!$E:$E,"&gt;"&amp;AF$6)</f>
        <v>0</v>
      </c>
      <c r="AG35" s="25">
        <f>SUMIFS('Stop Sale'!$C:$C,'Stop Sale'!$B:$B,$A32,'Stop Sale'!$A:$A,$C$1,'Stop Sale'!$D:$D,"&lt;="&amp;AG$6,'Stop Sale'!$E:$E,"&gt;"&amp;AG$6)</f>
        <v>0</v>
      </c>
      <c r="AH35" s="25">
        <f>SUMIFS('Stop Sale'!$C:$C,'Stop Sale'!$B:$B,$A32,'Stop Sale'!$A:$A,$C$1,'Stop Sale'!$D:$D,"&lt;="&amp;AH$6,'Stop Sale'!$E:$E,"&gt;"&amp;AH$6)</f>
        <v>0</v>
      </c>
      <c r="AI35" s="25">
        <f>SUMIFS('Stop Sale'!$C:$C,'Stop Sale'!$B:$B,$A32,'Stop Sale'!$A:$A,$C$1,'Stop Sale'!$D:$D,"&lt;="&amp;AI$6,'Stop Sale'!$E:$E,"&gt;"&amp;AI$6)</f>
        <v>0</v>
      </c>
      <c r="AJ35" s="25">
        <f>SUMIFS('Stop Sale'!$C:$C,'Stop Sale'!$B:$B,$A32,'Stop Sale'!$A:$A,$C$1,'Stop Sale'!$D:$D,"&lt;="&amp;AJ$6,'Stop Sale'!$E:$E,"&gt;"&amp;AJ$6)</f>
        <v>0</v>
      </c>
      <c r="AK35" s="25">
        <f>SUMIFS('Stop Sale'!$C:$C,'Stop Sale'!$B:$B,$A32,'Stop Sale'!$A:$A,$C$1,'Stop Sale'!$D:$D,"&lt;="&amp;AK$6,'Stop Sale'!$E:$E,"&gt;"&amp;AK$6)</f>
        <v>0</v>
      </c>
      <c r="AL35" s="44">
        <f>SUMIFS('Stop Sale'!$C:$C,'Stop Sale'!$B:$B,$A32,'Stop Sale'!$A:$A,$C$1,'Stop Sale'!$D:$D,"&lt;="&amp;AL$6,'Stop Sale'!$E:$E,"&gt;"&amp;AL$6)</f>
        <v>0</v>
      </c>
      <c r="BG35" s="14" t="s">
        <v>1395</v>
      </c>
      <c r="BH35" s="11" t="s">
        <v>99</v>
      </c>
      <c r="BI35" s="12">
        <v>0</v>
      </c>
      <c r="BJ35" s="13" t="s">
        <v>274</v>
      </c>
      <c r="BK35" s="12">
        <v>1</v>
      </c>
      <c r="BL35" s="11" t="s">
        <v>275</v>
      </c>
      <c r="BM35" s="12">
        <v>1</v>
      </c>
      <c r="BN35" s="59" t="s">
        <v>300</v>
      </c>
      <c r="BO35" s="12">
        <v>0</v>
      </c>
      <c r="BP35" s="15" t="s">
        <v>69</v>
      </c>
      <c r="BQ35" s="12">
        <v>0</v>
      </c>
      <c r="BR35" s="15"/>
      <c r="BS35" s="12"/>
      <c r="BT35" s="15"/>
      <c r="BU35" s="12"/>
      <c r="BV35" s="11"/>
      <c r="BW35" s="12"/>
      <c r="BX35" s="11"/>
      <c r="BY35" s="12"/>
      <c r="BZ35" s="11"/>
      <c r="CA35" s="12"/>
      <c r="CB35" s="11"/>
      <c r="CC35" s="12"/>
      <c r="CD35" s="11"/>
      <c r="CE35" s="12"/>
      <c r="CF35" s="11"/>
      <c r="CG35" s="12"/>
      <c r="CH35" s="11"/>
      <c r="CI35" s="12"/>
      <c r="CJ35" s="11"/>
      <c r="CK35" s="12"/>
      <c r="CL35" s="11"/>
      <c r="CM35" s="11"/>
      <c r="CN35" s="11"/>
      <c r="CO35" s="11"/>
      <c r="CP35" s="11"/>
      <c r="CQ35" s="11"/>
      <c r="CR35" s="11"/>
      <c r="CS35" s="11"/>
      <c r="CT35" s="11"/>
      <c r="CU35" s="11"/>
    </row>
    <row r="36" spans="1:99" x14ac:dyDescent="0.3">
      <c r="A36" s="43"/>
      <c r="D36" s="42"/>
      <c r="E36" s="58" t="s">
        <v>287</v>
      </c>
      <c r="F36" s="57">
        <f>IFERROR(F34/F33,"")</f>
        <v>0</v>
      </c>
      <c r="G36" s="56" t="s">
        <v>288</v>
      </c>
      <c r="H36" s="55">
        <f t="shared" ref="H36:AL36" si="11">H33-H34</f>
        <v>5</v>
      </c>
      <c r="I36" s="55">
        <f t="shared" si="11"/>
        <v>5</v>
      </c>
      <c r="J36" s="55">
        <f t="shared" si="11"/>
        <v>5</v>
      </c>
      <c r="K36" s="55">
        <f t="shared" si="11"/>
        <v>5</v>
      </c>
      <c r="L36" s="55">
        <f t="shared" si="11"/>
        <v>5</v>
      </c>
      <c r="M36" s="55">
        <f t="shared" si="11"/>
        <v>5</v>
      </c>
      <c r="N36" s="55">
        <f t="shared" si="11"/>
        <v>5</v>
      </c>
      <c r="O36" s="55">
        <f t="shared" si="11"/>
        <v>5</v>
      </c>
      <c r="P36" s="55">
        <f t="shared" si="11"/>
        <v>5</v>
      </c>
      <c r="Q36" s="55">
        <f t="shared" si="11"/>
        <v>5</v>
      </c>
      <c r="R36" s="55">
        <f t="shared" si="11"/>
        <v>5</v>
      </c>
      <c r="S36" s="55">
        <f t="shared" si="11"/>
        <v>5</v>
      </c>
      <c r="T36" s="55">
        <f t="shared" si="11"/>
        <v>5</v>
      </c>
      <c r="U36" s="55">
        <f t="shared" si="11"/>
        <v>5</v>
      </c>
      <c r="V36" s="55">
        <f t="shared" si="11"/>
        <v>5</v>
      </c>
      <c r="W36" s="55">
        <f t="shared" si="11"/>
        <v>5</v>
      </c>
      <c r="X36" s="55">
        <f t="shared" si="11"/>
        <v>5</v>
      </c>
      <c r="Y36" s="55">
        <f t="shared" si="11"/>
        <v>5</v>
      </c>
      <c r="Z36" s="55">
        <f t="shared" si="11"/>
        <v>5</v>
      </c>
      <c r="AA36" s="55">
        <f t="shared" si="11"/>
        <v>5</v>
      </c>
      <c r="AB36" s="55">
        <f t="shared" si="11"/>
        <v>5</v>
      </c>
      <c r="AC36" s="55">
        <f t="shared" si="11"/>
        <v>5</v>
      </c>
      <c r="AD36" s="55">
        <f t="shared" si="11"/>
        <v>5</v>
      </c>
      <c r="AE36" s="55">
        <f t="shared" si="11"/>
        <v>5</v>
      </c>
      <c r="AF36" s="55">
        <f t="shared" si="11"/>
        <v>5</v>
      </c>
      <c r="AG36" s="55">
        <f t="shared" si="11"/>
        <v>5</v>
      </c>
      <c r="AH36" s="55">
        <f t="shared" si="11"/>
        <v>5</v>
      </c>
      <c r="AI36" s="55">
        <f t="shared" si="11"/>
        <v>5</v>
      </c>
      <c r="AJ36" s="55">
        <f t="shared" si="11"/>
        <v>5</v>
      </c>
      <c r="AK36" s="55">
        <f t="shared" si="11"/>
        <v>5</v>
      </c>
      <c r="AL36" s="54">
        <f t="shared" si="11"/>
        <v>5</v>
      </c>
      <c r="BG36" s="14" t="s">
        <v>139</v>
      </c>
      <c r="BH36" s="13"/>
      <c r="BI36" s="12"/>
      <c r="BJ36" s="11"/>
      <c r="BK36" s="12"/>
      <c r="BL36" s="13"/>
      <c r="BM36" s="12"/>
      <c r="BN36" s="15"/>
      <c r="BO36" s="12"/>
      <c r="BP36" s="15"/>
      <c r="BQ36" s="12"/>
      <c r="BR36" s="15"/>
      <c r="BS36" s="12"/>
      <c r="BT36" s="15"/>
      <c r="BU36" s="12"/>
      <c r="BV36" s="11"/>
      <c r="BW36" s="12"/>
      <c r="BX36" s="11"/>
      <c r="BY36" s="12"/>
      <c r="BZ36" s="11"/>
      <c r="CA36" s="12"/>
      <c r="CB36" s="11"/>
      <c r="CC36" s="12"/>
      <c r="CD36" s="11"/>
      <c r="CE36" s="12"/>
      <c r="CF36" s="11"/>
      <c r="CG36" s="12"/>
      <c r="CH36" s="11"/>
      <c r="CI36" s="12"/>
      <c r="CJ36" s="11"/>
      <c r="CK36" s="12"/>
      <c r="CL36" s="11"/>
      <c r="CM36" s="11"/>
      <c r="CN36" s="11"/>
      <c r="CO36" s="11"/>
      <c r="CP36" s="11"/>
      <c r="CQ36" s="11"/>
      <c r="CR36" s="11"/>
      <c r="CS36" s="11"/>
      <c r="CT36" s="11"/>
      <c r="CU36" s="11"/>
    </row>
    <row r="37" spans="1:99" x14ac:dyDescent="0.3">
      <c r="A37" s="53">
        <f>VLOOKUP($C$1,$BG$2:$BU$119,14,FALSE)</f>
        <v>0</v>
      </c>
      <c r="B37" s="52"/>
      <c r="C37" s="52"/>
      <c r="D37" s="51"/>
      <c r="E37" s="50" t="s">
        <v>278</v>
      </c>
      <c r="F37" s="48"/>
      <c r="G37" s="49" t="s">
        <v>279</v>
      </c>
      <c r="H37" s="48">
        <v>1</v>
      </c>
      <c r="I37" s="48">
        <v>2</v>
      </c>
      <c r="J37" s="48">
        <v>3</v>
      </c>
      <c r="K37" s="48">
        <v>4</v>
      </c>
      <c r="L37" s="48">
        <v>5</v>
      </c>
      <c r="M37" s="48">
        <v>6</v>
      </c>
      <c r="N37" s="48">
        <v>7</v>
      </c>
      <c r="O37" s="48">
        <v>8</v>
      </c>
      <c r="P37" s="48">
        <v>9</v>
      </c>
      <c r="Q37" s="48">
        <v>10</v>
      </c>
      <c r="R37" s="48">
        <v>11</v>
      </c>
      <c r="S37" s="48">
        <v>12</v>
      </c>
      <c r="T37" s="48">
        <v>13</v>
      </c>
      <c r="U37" s="48">
        <v>14</v>
      </c>
      <c r="V37" s="48">
        <v>15</v>
      </c>
      <c r="W37" s="48">
        <v>16</v>
      </c>
      <c r="X37" s="48">
        <v>17</v>
      </c>
      <c r="Y37" s="48">
        <v>18</v>
      </c>
      <c r="Z37" s="48">
        <v>19</v>
      </c>
      <c r="AA37" s="48">
        <v>20</v>
      </c>
      <c r="AB37" s="48">
        <v>21</v>
      </c>
      <c r="AC37" s="48">
        <v>22</v>
      </c>
      <c r="AD37" s="48">
        <v>23</v>
      </c>
      <c r="AE37" s="48">
        <v>24</v>
      </c>
      <c r="AF37" s="48">
        <v>25</v>
      </c>
      <c r="AG37" s="48">
        <v>26</v>
      </c>
      <c r="AH37" s="48">
        <v>27</v>
      </c>
      <c r="AI37" s="48">
        <v>28</v>
      </c>
      <c r="AJ37" s="48">
        <v>29</v>
      </c>
      <c r="AK37" s="48">
        <v>30</v>
      </c>
      <c r="AL37" s="47">
        <v>31</v>
      </c>
      <c r="BG37" s="14" t="s">
        <v>1396</v>
      </c>
      <c r="BH37" s="11"/>
      <c r="BI37" s="12"/>
      <c r="BJ37" s="13"/>
      <c r="BK37" s="12"/>
      <c r="BL37" s="11"/>
      <c r="BM37" s="12"/>
      <c r="BN37" s="13"/>
      <c r="BO37" s="12"/>
      <c r="BP37" s="11"/>
      <c r="BQ37" s="12"/>
      <c r="BR37" s="13"/>
      <c r="BS37" s="12"/>
      <c r="BT37" s="11"/>
      <c r="BU37" s="12"/>
      <c r="BV37" s="13"/>
      <c r="BW37" s="12"/>
      <c r="BX37" s="11"/>
      <c r="BY37" s="12"/>
      <c r="BZ37" s="13"/>
      <c r="CA37" s="12"/>
      <c r="CB37" s="11"/>
      <c r="CC37" s="12"/>
      <c r="CD37" s="13"/>
      <c r="CE37" s="12"/>
      <c r="CF37" s="11"/>
      <c r="CG37" s="12"/>
      <c r="CH37" s="13"/>
      <c r="CI37" s="12"/>
      <c r="CJ37" s="11"/>
      <c r="CK37" s="12"/>
      <c r="CL37" s="13"/>
      <c r="CM37" s="11"/>
      <c r="CN37" s="11"/>
      <c r="CO37" s="11"/>
      <c r="CP37" s="11"/>
      <c r="CQ37" s="11"/>
      <c r="CR37" s="11"/>
      <c r="CS37" s="11"/>
      <c r="CT37" s="11"/>
      <c r="CU37" s="11"/>
    </row>
    <row r="38" spans="1:99" x14ac:dyDescent="0.3">
      <c r="A38" s="43"/>
      <c r="D38" s="42"/>
      <c r="E38" s="41" t="s">
        <v>280</v>
      </c>
      <c r="F38" s="25">
        <f>SUM(H38:AL38)</f>
        <v>0</v>
      </c>
      <c r="G38" s="4" t="s">
        <v>281</v>
      </c>
      <c r="H38" s="25">
        <f t="shared" ref="H38:AL38" si="12">VLOOKUP($C$1,$BG$2:$CU$119,15,FALSE)</f>
        <v>0</v>
      </c>
      <c r="I38" s="25">
        <f t="shared" si="12"/>
        <v>0</v>
      </c>
      <c r="J38" s="25">
        <f t="shared" si="12"/>
        <v>0</v>
      </c>
      <c r="K38" s="25">
        <f t="shared" si="12"/>
        <v>0</v>
      </c>
      <c r="L38" s="25">
        <f t="shared" si="12"/>
        <v>0</v>
      </c>
      <c r="M38" s="25">
        <f t="shared" si="12"/>
        <v>0</v>
      </c>
      <c r="N38" s="25">
        <f t="shared" si="12"/>
        <v>0</v>
      </c>
      <c r="O38" s="25">
        <f t="shared" si="12"/>
        <v>0</v>
      </c>
      <c r="P38" s="25">
        <f t="shared" si="12"/>
        <v>0</v>
      </c>
      <c r="Q38" s="25">
        <f t="shared" si="12"/>
        <v>0</v>
      </c>
      <c r="R38" s="25">
        <f t="shared" si="12"/>
        <v>0</v>
      </c>
      <c r="S38" s="25">
        <f t="shared" si="12"/>
        <v>0</v>
      </c>
      <c r="T38" s="25">
        <f t="shared" si="12"/>
        <v>0</v>
      </c>
      <c r="U38" s="25">
        <f t="shared" si="12"/>
        <v>0</v>
      </c>
      <c r="V38" s="25">
        <f t="shared" si="12"/>
        <v>0</v>
      </c>
      <c r="W38" s="25">
        <f t="shared" si="12"/>
        <v>0</v>
      </c>
      <c r="X38" s="25">
        <f t="shared" si="12"/>
        <v>0</v>
      </c>
      <c r="Y38" s="25">
        <f t="shared" si="12"/>
        <v>0</v>
      </c>
      <c r="Z38" s="25">
        <f t="shared" si="12"/>
        <v>0</v>
      </c>
      <c r="AA38" s="25">
        <f t="shared" si="12"/>
        <v>0</v>
      </c>
      <c r="AB38" s="25">
        <f t="shared" si="12"/>
        <v>0</v>
      </c>
      <c r="AC38" s="25">
        <f t="shared" si="12"/>
        <v>0</v>
      </c>
      <c r="AD38" s="25">
        <f t="shared" si="12"/>
        <v>0</v>
      </c>
      <c r="AE38" s="25">
        <f t="shared" si="12"/>
        <v>0</v>
      </c>
      <c r="AF38" s="25">
        <f t="shared" si="12"/>
        <v>0</v>
      </c>
      <c r="AG38" s="25">
        <f t="shared" si="12"/>
        <v>0</v>
      </c>
      <c r="AH38" s="25">
        <f t="shared" si="12"/>
        <v>0</v>
      </c>
      <c r="AI38" s="25">
        <f t="shared" si="12"/>
        <v>0</v>
      </c>
      <c r="AJ38" s="25">
        <f t="shared" si="12"/>
        <v>0</v>
      </c>
      <c r="AK38" s="25">
        <f t="shared" si="12"/>
        <v>0</v>
      </c>
      <c r="AL38" s="44">
        <f t="shared" si="12"/>
        <v>0</v>
      </c>
      <c r="BG38" s="14" t="s">
        <v>117</v>
      </c>
      <c r="BH38" s="13" t="s">
        <v>1493</v>
      </c>
      <c r="BI38" s="12">
        <v>0</v>
      </c>
      <c r="BJ38" s="11" t="s">
        <v>1494</v>
      </c>
      <c r="BK38" s="12">
        <v>1</v>
      </c>
      <c r="BL38" s="13" t="s">
        <v>1495</v>
      </c>
      <c r="BM38" s="12">
        <v>0</v>
      </c>
      <c r="BN38" s="11" t="s">
        <v>1496</v>
      </c>
      <c r="BO38" s="12">
        <v>1</v>
      </c>
      <c r="BP38" s="13" t="s">
        <v>1497</v>
      </c>
      <c r="BQ38" s="12">
        <v>1</v>
      </c>
      <c r="BR38" s="11" t="s">
        <v>1498</v>
      </c>
      <c r="BS38" s="12">
        <v>0</v>
      </c>
      <c r="BT38" s="15" t="s">
        <v>1499</v>
      </c>
      <c r="BU38" s="12">
        <v>0</v>
      </c>
      <c r="BV38" s="11" t="s">
        <v>1500</v>
      </c>
      <c r="BW38" s="12">
        <v>0</v>
      </c>
      <c r="BX38" s="11" t="s">
        <v>1501</v>
      </c>
      <c r="BY38" s="12">
        <v>0</v>
      </c>
      <c r="BZ38" s="11"/>
      <c r="CA38" s="12"/>
      <c r="CB38" s="11"/>
      <c r="CC38" s="12"/>
      <c r="CD38" s="11"/>
      <c r="CE38" s="12"/>
      <c r="CF38" s="11"/>
      <c r="CG38" s="12"/>
      <c r="CH38" s="11"/>
      <c r="CI38" s="12"/>
      <c r="CJ38" s="11"/>
      <c r="CK38" s="12"/>
      <c r="CL38" s="11"/>
      <c r="CM38" s="11"/>
      <c r="CN38" s="11"/>
      <c r="CO38" s="11"/>
      <c r="CP38" s="11"/>
      <c r="CQ38" s="11"/>
      <c r="CR38" s="11"/>
      <c r="CS38" s="11"/>
      <c r="CT38" s="11"/>
      <c r="CU38" s="11"/>
    </row>
    <row r="39" spans="1:99" x14ac:dyDescent="0.3">
      <c r="A39" s="43"/>
      <c r="D39" s="42"/>
      <c r="E39" s="41" t="s">
        <v>282</v>
      </c>
      <c r="F39" s="25">
        <f>SUM(H39:AL39)</f>
        <v>0</v>
      </c>
      <c r="G39" s="4" t="s">
        <v>283</v>
      </c>
      <c r="H39" s="25">
        <f>SUMIFS('BKG Bank'!$O:$O,'BKG Bank'!$J:$J,$A37,'BKG Bank'!$I:$I,$C$1,'BKG Bank'!$K:$K,"&lt;="&amp;H$6,'BKG Bank'!$L:$L,"&gt;"&amp;H$6)</f>
        <v>0</v>
      </c>
      <c r="I39" s="25">
        <f>SUMIFS('BKG Bank'!$O:$O,'BKG Bank'!$J:$J,$A37,'BKG Bank'!$I:$I,$C$1,'BKG Bank'!$K:$K,"&lt;="&amp;I$6,'BKG Bank'!$L:$L,"&gt;"&amp;I$6)</f>
        <v>0</v>
      </c>
      <c r="J39" s="25">
        <f>SUMIFS('BKG Bank'!$O:$O,'BKG Bank'!$J:$J,$A37,'BKG Bank'!$I:$I,$C$1,'BKG Bank'!$K:$K,"&lt;="&amp;J$6,'BKG Bank'!$L:$L,"&gt;"&amp;J$6)</f>
        <v>0</v>
      </c>
      <c r="K39" s="25">
        <f>SUMIFS('BKG Bank'!$O:$O,'BKG Bank'!$J:$J,$A37,'BKG Bank'!$I:$I,$C$1,'BKG Bank'!$K:$K,"&lt;="&amp;K$6,'BKG Bank'!$L:$L,"&gt;"&amp;K$6)</f>
        <v>0</v>
      </c>
      <c r="L39" s="25">
        <f>SUMIFS('BKG Bank'!$O:$O,'BKG Bank'!$J:$J,$A37,'BKG Bank'!$I:$I,$C$1,'BKG Bank'!$K:$K,"&lt;="&amp;L$6,'BKG Bank'!$L:$L,"&gt;"&amp;L$6)</f>
        <v>0</v>
      </c>
      <c r="M39" s="25">
        <f>SUMIFS('BKG Bank'!$O:$O,'BKG Bank'!$J:$J,$A37,'BKG Bank'!$I:$I,$C$1,'BKG Bank'!$K:$K,"&lt;="&amp;M$6,'BKG Bank'!$L:$L,"&gt;"&amp;M$6)</f>
        <v>0</v>
      </c>
      <c r="N39" s="25">
        <f>SUMIFS('BKG Bank'!$O:$O,'BKG Bank'!$J:$J,$A37,'BKG Bank'!$I:$I,$C$1,'BKG Bank'!$K:$K,"&lt;="&amp;N$6,'BKG Bank'!$L:$L,"&gt;"&amp;N$6)</f>
        <v>0</v>
      </c>
      <c r="O39" s="25">
        <f>SUMIFS('BKG Bank'!$O:$O,'BKG Bank'!$J:$J,$A37,'BKG Bank'!$I:$I,$C$1,'BKG Bank'!$K:$K,"&lt;="&amp;O$6,'BKG Bank'!$L:$L,"&gt;"&amp;O$6)</f>
        <v>0</v>
      </c>
      <c r="P39" s="25">
        <f>SUMIFS('BKG Bank'!$O:$O,'BKG Bank'!$J:$J,$A37,'BKG Bank'!$I:$I,$C$1,'BKG Bank'!$K:$K,"&lt;="&amp;P$6,'BKG Bank'!$L:$L,"&gt;"&amp;P$6)</f>
        <v>0</v>
      </c>
      <c r="Q39" s="25">
        <f>SUMIFS('BKG Bank'!$O:$O,'BKG Bank'!$J:$J,$A37,'BKG Bank'!$I:$I,$C$1,'BKG Bank'!$K:$K,"&lt;="&amp;Q$6,'BKG Bank'!$L:$L,"&gt;"&amp;Q$6)</f>
        <v>0</v>
      </c>
      <c r="R39" s="25">
        <f>SUMIFS('BKG Bank'!$O:$O,'BKG Bank'!$J:$J,$A37,'BKG Bank'!$I:$I,$C$1,'BKG Bank'!$K:$K,"&lt;="&amp;R$6,'BKG Bank'!$L:$L,"&gt;"&amp;R$6)</f>
        <v>0</v>
      </c>
      <c r="S39" s="25">
        <f>SUMIFS('BKG Bank'!$O:$O,'BKG Bank'!$J:$J,$A37,'BKG Bank'!$I:$I,$C$1,'BKG Bank'!$K:$K,"&lt;="&amp;S$6,'BKG Bank'!$L:$L,"&gt;"&amp;S$6)</f>
        <v>0</v>
      </c>
      <c r="T39" s="25">
        <f>SUMIFS('BKG Bank'!$O:$O,'BKG Bank'!$J:$J,$A37,'BKG Bank'!$I:$I,$C$1,'BKG Bank'!$K:$K,"&lt;="&amp;T$6,'BKG Bank'!$L:$L,"&gt;"&amp;T$6)</f>
        <v>0</v>
      </c>
      <c r="U39" s="25">
        <f>SUMIFS('BKG Bank'!$O:$O,'BKG Bank'!$J:$J,$A37,'BKG Bank'!$I:$I,$C$1,'BKG Bank'!$K:$K,"&lt;="&amp;U$6,'BKG Bank'!$L:$L,"&gt;"&amp;U$6)</f>
        <v>0</v>
      </c>
      <c r="V39" s="25">
        <f>SUMIFS('BKG Bank'!$O:$O,'BKG Bank'!$J:$J,$A37,'BKG Bank'!$I:$I,$C$1,'BKG Bank'!$K:$K,"&lt;="&amp;V$6,'BKG Bank'!$L:$L,"&gt;"&amp;V$6)</f>
        <v>0</v>
      </c>
      <c r="W39" s="25">
        <f>SUMIFS('BKG Bank'!$O:$O,'BKG Bank'!$J:$J,$A37,'BKG Bank'!$I:$I,$C$1,'BKG Bank'!$K:$K,"&lt;="&amp;W$6,'BKG Bank'!$L:$L,"&gt;"&amp;W$6)</f>
        <v>0</v>
      </c>
      <c r="X39" s="25">
        <f>SUMIFS('BKG Bank'!$O:$O,'BKG Bank'!$J:$J,$A37,'BKG Bank'!$I:$I,$C$1,'BKG Bank'!$K:$K,"&lt;="&amp;X$6,'BKG Bank'!$L:$L,"&gt;"&amp;X$6)</f>
        <v>0</v>
      </c>
      <c r="Y39" s="25">
        <f>SUMIFS('BKG Bank'!$O:$O,'BKG Bank'!$J:$J,$A37,'BKG Bank'!$I:$I,$C$1,'BKG Bank'!$K:$K,"&lt;="&amp;Y$6,'BKG Bank'!$L:$L,"&gt;"&amp;Y$6)</f>
        <v>0</v>
      </c>
      <c r="Z39" s="25">
        <f>SUMIFS('BKG Bank'!$O:$O,'BKG Bank'!$J:$J,$A37,'BKG Bank'!$I:$I,$C$1,'BKG Bank'!$K:$K,"&lt;="&amp;Z$6,'BKG Bank'!$L:$L,"&gt;"&amp;Z$6)</f>
        <v>0</v>
      </c>
      <c r="AA39" s="25">
        <f>SUMIFS('BKG Bank'!$O:$O,'BKG Bank'!$J:$J,$A37,'BKG Bank'!$I:$I,$C$1,'BKG Bank'!$K:$K,"&lt;="&amp;AA$6,'BKG Bank'!$L:$L,"&gt;"&amp;AA$6)</f>
        <v>0</v>
      </c>
      <c r="AB39" s="25">
        <f>SUMIFS('BKG Bank'!$O:$O,'BKG Bank'!$J:$J,$A37,'BKG Bank'!$I:$I,$C$1,'BKG Bank'!$K:$K,"&lt;="&amp;AB$6,'BKG Bank'!$L:$L,"&gt;"&amp;AB$6)</f>
        <v>0</v>
      </c>
      <c r="AC39" s="25">
        <f>SUMIFS('BKG Bank'!$O:$O,'BKG Bank'!$J:$J,$A37,'BKG Bank'!$I:$I,$C$1,'BKG Bank'!$K:$K,"&lt;="&amp;AC$6,'BKG Bank'!$L:$L,"&gt;"&amp;AC$6)</f>
        <v>0</v>
      </c>
      <c r="AD39" s="25">
        <f>SUMIFS('BKG Bank'!$O:$O,'BKG Bank'!$J:$J,$A37,'BKG Bank'!$I:$I,$C$1,'BKG Bank'!$K:$K,"&lt;="&amp;AD$6,'BKG Bank'!$L:$L,"&gt;"&amp;AD$6)</f>
        <v>0</v>
      </c>
      <c r="AE39" s="25">
        <f>SUMIFS('BKG Bank'!$O:$O,'BKG Bank'!$J:$J,$A37,'BKG Bank'!$I:$I,$C$1,'BKG Bank'!$K:$K,"&lt;="&amp;AE$6,'BKG Bank'!$L:$L,"&gt;"&amp;AE$6)</f>
        <v>0</v>
      </c>
      <c r="AF39" s="25">
        <f>SUMIFS('BKG Bank'!$O:$O,'BKG Bank'!$J:$J,$A37,'BKG Bank'!$I:$I,$C$1,'BKG Bank'!$K:$K,"&lt;="&amp;AF$6,'BKG Bank'!$L:$L,"&gt;"&amp;AF$6)</f>
        <v>0</v>
      </c>
      <c r="AG39" s="25">
        <f>SUMIFS('BKG Bank'!$O:$O,'BKG Bank'!$J:$J,$A37,'BKG Bank'!$I:$I,$C$1,'BKG Bank'!$K:$K,"&lt;="&amp;AG$6,'BKG Bank'!$L:$L,"&gt;"&amp;AG$6)</f>
        <v>0</v>
      </c>
      <c r="AH39" s="25">
        <f>SUMIFS('BKG Bank'!$O:$O,'BKG Bank'!$J:$J,$A37,'BKG Bank'!$I:$I,$C$1,'BKG Bank'!$K:$K,"&lt;="&amp;AH$6,'BKG Bank'!$L:$L,"&gt;"&amp;AH$6)</f>
        <v>0</v>
      </c>
      <c r="AI39" s="25">
        <f>SUMIFS('BKG Bank'!$O:$O,'BKG Bank'!$J:$J,$A37,'BKG Bank'!$I:$I,$C$1,'BKG Bank'!$K:$K,"&lt;="&amp;AI$6,'BKG Bank'!$L:$L,"&gt;"&amp;AI$6)</f>
        <v>0</v>
      </c>
      <c r="AJ39" s="25">
        <f>SUMIFS('BKG Bank'!$O:$O,'BKG Bank'!$J:$J,$A37,'BKG Bank'!$I:$I,$C$1,'BKG Bank'!$K:$K,"&lt;="&amp;AJ$6,'BKG Bank'!$L:$L,"&gt;"&amp;AJ$6)</f>
        <v>0</v>
      </c>
      <c r="AK39" s="25">
        <f>SUMIFS('BKG Bank'!$O:$O,'BKG Bank'!$J:$J,$A37,'BKG Bank'!$I:$I,$C$1,'BKG Bank'!$K:$K,"&lt;="&amp;AK$6,'BKG Bank'!$L:$L,"&gt;"&amp;AK$6)</f>
        <v>0</v>
      </c>
      <c r="AL39" s="44">
        <f>SUMIFS('BKG Bank'!$O:$O,'BKG Bank'!$J:$J,$A37,'BKG Bank'!$I:$I,$C$1,'BKG Bank'!$K:$K,"&lt;="&amp;AL$6,'BKG Bank'!$L:$L,"&gt;"&amp;AL$6)</f>
        <v>0</v>
      </c>
      <c r="BG39" s="14" t="s">
        <v>163</v>
      </c>
      <c r="BH39" s="13" t="s">
        <v>1502</v>
      </c>
      <c r="BI39" s="12">
        <v>5</v>
      </c>
      <c r="BJ39" s="11" t="s">
        <v>1503</v>
      </c>
      <c r="BK39" s="12">
        <v>5</v>
      </c>
      <c r="BL39" s="13" t="s">
        <v>1504</v>
      </c>
      <c r="BM39" s="12">
        <v>5</v>
      </c>
      <c r="BN39" s="11" t="s">
        <v>1505</v>
      </c>
      <c r="BO39" s="12">
        <v>5</v>
      </c>
      <c r="BP39" s="13" t="s">
        <v>1506</v>
      </c>
      <c r="BQ39" s="12">
        <v>1</v>
      </c>
      <c r="BR39" s="15" t="s">
        <v>1507</v>
      </c>
      <c r="BS39" s="12">
        <v>5</v>
      </c>
      <c r="BT39" s="15"/>
      <c r="BU39" s="12"/>
      <c r="BV39" s="11"/>
      <c r="BW39" s="12"/>
      <c r="BX39" s="11"/>
      <c r="BY39" s="12"/>
      <c r="BZ39" s="11"/>
      <c r="CA39" s="12"/>
      <c r="CB39" s="11"/>
      <c r="CC39" s="12"/>
      <c r="CD39" s="11"/>
      <c r="CE39" s="12"/>
      <c r="CF39" s="11"/>
      <c r="CG39" s="12"/>
      <c r="CH39" s="11"/>
      <c r="CI39" s="12"/>
      <c r="CJ39" s="11"/>
      <c r="CK39" s="12"/>
      <c r="CL39" s="11"/>
      <c r="CM39" s="11"/>
      <c r="CN39" s="11"/>
      <c r="CO39" s="11"/>
      <c r="CP39" s="11"/>
      <c r="CQ39" s="11"/>
      <c r="CR39" s="11"/>
      <c r="CS39" s="11"/>
      <c r="CT39" s="11"/>
      <c r="CU39" s="11"/>
    </row>
    <row r="40" spans="1:99" x14ac:dyDescent="0.3">
      <c r="E40" s="46" t="s">
        <v>285</v>
      </c>
      <c r="G40" s="45" t="s">
        <v>285</v>
      </c>
      <c r="H40" s="25">
        <f>SUMIFS('Stop Sale'!$C:$C,'Stop Sale'!$B:$B,$A37,'Stop Sale'!$A:$A,$C$1,'Stop Sale'!$D:$D,"&lt;="&amp;H$6,'Stop Sale'!$E:$E,"&gt;"&amp;H$6)</f>
        <v>0</v>
      </c>
      <c r="I40" s="25">
        <f>SUMIFS('Stop Sale'!$C:$C,'Stop Sale'!$B:$B,$A37,'Stop Sale'!$A:$A,$C$1,'Stop Sale'!$D:$D,"&lt;="&amp;I$6,'Stop Sale'!$E:$E,"&gt;"&amp;I$6)</f>
        <v>0</v>
      </c>
      <c r="J40" s="25">
        <f>SUMIFS('Stop Sale'!$C:$C,'Stop Sale'!$B:$B,$A37,'Stop Sale'!$A:$A,$C$1,'Stop Sale'!$D:$D,"&lt;="&amp;J$6,'Stop Sale'!$E:$E,"&gt;"&amp;J$6)</f>
        <v>0</v>
      </c>
      <c r="K40" s="25">
        <f>SUMIFS('Stop Sale'!$C:$C,'Stop Sale'!$B:$B,$A37,'Stop Sale'!$A:$A,$C$1,'Stop Sale'!$D:$D,"&lt;="&amp;K$6,'Stop Sale'!$E:$E,"&gt;"&amp;K$6)</f>
        <v>0</v>
      </c>
      <c r="L40" s="25">
        <f>SUMIFS('Stop Sale'!$C:$C,'Stop Sale'!$B:$B,$A37,'Stop Sale'!$A:$A,$C$1,'Stop Sale'!$D:$D,"&lt;="&amp;L$6,'Stop Sale'!$E:$E,"&gt;"&amp;L$6)</f>
        <v>0</v>
      </c>
      <c r="M40" s="25">
        <f>SUMIFS('Stop Sale'!$C:$C,'Stop Sale'!$B:$B,$A37,'Stop Sale'!$A:$A,$C$1,'Stop Sale'!$D:$D,"&lt;="&amp;M$6,'Stop Sale'!$E:$E,"&gt;"&amp;M$6)</f>
        <v>0</v>
      </c>
      <c r="N40" s="25">
        <f>SUMIFS('Stop Sale'!$C:$C,'Stop Sale'!$B:$B,$A37,'Stop Sale'!$A:$A,$C$1,'Stop Sale'!$D:$D,"&lt;="&amp;N$6,'Stop Sale'!$E:$E,"&gt;"&amp;N$6)</f>
        <v>0</v>
      </c>
      <c r="O40" s="25">
        <f>SUMIFS('Stop Sale'!$C:$C,'Stop Sale'!$B:$B,$A37,'Stop Sale'!$A:$A,$C$1,'Stop Sale'!$D:$D,"&lt;="&amp;O$6,'Stop Sale'!$E:$E,"&gt;"&amp;O$6)</f>
        <v>0</v>
      </c>
      <c r="P40" s="25">
        <f>SUMIFS('Stop Sale'!$C:$C,'Stop Sale'!$B:$B,$A37,'Stop Sale'!$A:$A,$C$1,'Stop Sale'!$D:$D,"&lt;="&amp;P$6,'Stop Sale'!$E:$E,"&gt;"&amp;P$6)</f>
        <v>0</v>
      </c>
      <c r="Q40" s="25">
        <f>SUMIFS('Stop Sale'!$C:$C,'Stop Sale'!$B:$B,$A37,'Stop Sale'!$A:$A,$C$1,'Stop Sale'!$D:$D,"&lt;="&amp;Q$6,'Stop Sale'!$E:$E,"&gt;"&amp;Q$6)</f>
        <v>0</v>
      </c>
      <c r="R40" s="25">
        <f>SUMIFS('Stop Sale'!$C:$C,'Stop Sale'!$B:$B,$A37,'Stop Sale'!$A:$A,$C$1,'Stop Sale'!$D:$D,"&lt;="&amp;R$6,'Stop Sale'!$E:$E,"&gt;"&amp;R$6)</f>
        <v>0</v>
      </c>
      <c r="S40" s="25">
        <f>SUMIFS('Stop Sale'!$C:$C,'Stop Sale'!$B:$B,$A37,'Stop Sale'!$A:$A,$C$1,'Stop Sale'!$D:$D,"&lt;="&amp;S$6,'Stop Sale'!$E:$E,"&gt;"&amp;S$6)</f>
        <v>0</v>
      </c>
      <c r="T40" s="25">
        <f>SUMIFS('Stop Sale'!$C:$C,'Stop Sale'!$B:$B,$A37,'Stop Sale'!$A:$A,$C$1,'Stop Sale'!$D:$D,"&lt;="&amp;T$6,'Stop Sale'!$E:$E,"&gt;"&amp;T$6)</f>
        <v>0</v>
      </c>
      <c r="U40" s="25">
        <f>SUMIFS('Stop Sale'!$C:$C,'Stop Sale'!$B:$B,$A37,'Stop Sale'!$A:$A,$C$1,'Stop Sale'!$D:$D,"&lt;="&amp;U$6,'Stop Sale'!$E:$E,"&gt;"&amp;U$6)</f>
        <v>0</v>
      </c>
      <c r="V40" s="25">
        <f>SUMIFS('Stop Sale'!$C:$C,'Stop Sale'!$B:$B,$A37,'Stop Sale'!$A:$A,$C$1,'Stop Sale'!$D:$D,"&lt;="&amp;V$6,'Stop Sale'!$E:$E,"&gt;"&amp;V$6)</f>
        <v>0</v>
      </c>
      <c r="W40" s="25">
        <f>SUMIFS('Stop Sale'!$C:$C,'Stop Sale'!$B:$B,$A37,'Stop Sale'!$A:$A,$C$1,'Stop Sale'!$D:$D,"&lt;="&amp;W$6,'Stop Sale'!$E:$E,"&gt;"&amp;W$6)</f>
        <v>0</v>
      </c>
      <c r="X40" s="25">
        <f>SUMIFS('Stop Sale'!$C:$C,'Stop Sale'!$B:$B,$A37,'Stop Sale'!$A:$A,$C$1,'Stop Sale'!$D:$D,"&lt;="&amp;X$6,'Stop Sale'!$E:$E,"&gt;"&amp;X$6)</f>
        <v>0</v>
      </c>
      <c r="Y40" s="25">
        <f>SUMIFS('Stop Sale'!$C:$C,'Stop Sale'!$B:$B,$A37,'Stop Sale'!$A:$A,$C$1,'Stop Sale'!$D:$D,"&lt;="&amp;Y$6,'Stop Sale'!$E:$E,"&gt;"&amp;Y$6)</f>
        <v>0</v>
      </c>
      <c r="Z40" s="25">
        <f>SUMIFS('Stop Sale'!$C:$C,'Stop Sale'!$B:$B,$A37,'Stop Sale'!$A:$A,$C$1,'Stop Sale'!$D:$D,"&lt;="&amp;Z$6,'Stop Sale'!$E:$E,"&gt;"&amp;Z$6)</f>
        <v>0</v>
      </c>
      <c r="AA40" s="25">
        <f>SUMIFS('Stop Sale'!$C:$C,'Stop Sale'!$B:$B,$A37,'Stop Sale'!$A:$A,$C$1,'Stop Sale'!$D:$D,"&lt;="&amp;AA$6,'Stop Sale'!$E:$E,"&gt;"&amp;AA$6)</f>
        <v>0</v>
      </c>
      <c r="AB40" s="25">
        <f>SUMIFS('Stop Sale'!$C:$C,'Stop Sale'!$B:$B,$A37,'Stop Sale'!$A:$A,$C$1,'Stop Sale'!$D:$D,"&lt;="&amp;AB$6,'Stop Sale'!$E:$E,"&gt;"&amp;AB$6)</f>
        <v>0</v>
      </c>
      <c r="AC40" s="25">
        <f>SUMIFS('Stop Sale'!$C:$C,'Stop Sale'!$B:$B,$A37,'Stop Sale'!$A:$A,$C$1,'Stop Sale'!$D:$D,"&lt;="&amp;AC$6,'Stop Sale'!$E:$E,"&gt;"&amp;AC$6)</f>
        <v>0</v>
      </c>
      <c r="AD40" s="25">
        <f>SUMIFS('Stop Sale'!$C:$C,'Stop Sale'!$B:$B,$A37,'Stop Sale'!$A:$A,$C$1,'Stop Sale'!$D:$D,"&lt;="&amp;AD$6,'Stop Sale'!$E:$E,"&gt;"&amp;AD$6)</f>
        <v>0</v>
      </c>
      <c r="AE40" s="25">
        <f>SUMIFS('Stop Sale'!$C:$C,'Stop Sale'!$B:$B,$A37,'Stop Sale'!$A:$A,$C$1,'Stop Sale'!$D:$D,"&lt;="&amp;AE$6,'Stop Sale'!$E:$E,"&gt;"&amp;AE$6)</f>
        <v>0</v>
      </c>
      <c r="AF40" s="25">
        <f>SUMIFS('Stop Sale'!$C:$C,'Stop Sale'!$B:$B,$A37,'Stop Sale'!$A:$A,$C$1,'Stop Sale'!$D:$D,"&lt;="&amp;AF$6,'Stop Sale'!$E:$E,"&gt;"&amp;AF$6)</f>
        <v>0</v>
      </c>
      <c r="AG40" s="25">
        <f>SUMIFS('Stop Sale'!$C:$C,'Stop Sale'!$B:$B,$A37,'Stop Sale'!$A:$A,$C$1,'Stop Sale'!$D:$D,"&lt;="&amp;AG$6,'Stop Sale'!$E:$E,"&gt;"&amp;AG$6)</f>
        <v>0</v>
      </c>
      <c r="AH40" s="25">
        <f>SUMIFS('Stop Sale'!$C:$C,'Stop Sale'!$B:$B,$A37,'Stop Sale'!$A:$A,$C$1,'Stop Sale'!$D:$D,"&lt;="&amp;AH$6,'Stop Sale'!$E:$E,"&gt;"&amp;AH$6)</f>
        <v>0</v>
      </c>
      <c r="AI40" s="25">
        <f>SUMIFS('Stop Sale'!$C:$C,'Stop Sale'!$B:$B,$A37,'Stop Sale'!$A:$A,$C$1,'Stop Sale'!$D:$D,"&lt;="&amp;AI$6,'Stop Sale'!$E:$E,"&gt;"&amp;AI$6)</f>
        <v>0</v>
      </c>
      <c r="AJ40" s="25">
        <f>SUMIFS('Stop Sale'!$C:$C,'Stop Sale'!$B:$B,$A37,'Stop Sale'!$A:$A,$C$1,'Stop Sale'!$D:$D,"&lt;="&amp;AJ$6,'Stop Sale'!$E:$E,"&gt;"&amp;AJ$6)</f>
        <v>0</v>
      </c>
      <c r="AK40" s="25">
        <f>SUMIFS('Stop Sale'!$C:$C,'Stop Sale'!$B:$B,$A37,'Stop Sale'!$A:$A,$C$1,'Stop Sale'!$D:$D,"&lt;="&amp;AK$6,'Stop Sale'!$E:$E,"&gt;"&amp;AK$6)</f>
        <v>0</v>
      </c>
      <c r="AL40" s="44">
        <f>SUMIFS('Stop Sale'!$C:$C,'Stop Sale'!$B:$B,$A37,'Stop Sale'!$A:$A,$C$1,'Stop Sale'!$D:$D,"&lt;="&amp;AL$6,'Stop Sale'!$E:$E,"&gt;"&amp;AL$6)</f>
        <v>0</v>
      </c>
      <c r="BG40" s="14" t="s">
        <v>105</v>
      </c>
      <c r="BH40" s="13"/>
      <c r="BI40" s="12"/>
      <c r="BJ40" s="11"/>
      <c r="BK40" s="12"/>
      <c r="BL40" s="13"/>
      <c r="BM40" s="12"/>
      <c r="BN40" s="11"/>
      <c r="BO40" s="12"/>
      <c r="BP40" s="13"/>
      <c r="BQ40" s="12"/>
      <c r="BR40" s="11"/>
      <c r="BS40" s="12"/>
      <c r="BT40" s="15"/>
      <c r="BU40" s="12"/>
      <c r="BV40" s="11"/>
      <c r="BW40" s="12"/>
      <c r="BX40" s="11"/>
      <c r="BY40" s="12"/>
      <c r="BZ40" s="11"/>
      <c r="CA40" s="12"/>
      <c r="CB40" s="11"/>
      <c r="CC40" s="12"/>
      <c r="CD40" s="11"/>
      <c r="CE40" s="12"/>
      <c r="CF40" s="11"/>
      <c r="CG40" s="12"/>
      <c r="CH40" s="11"/>
      <c r="CI40" s="12"/>
      <c r="CJ40" s="11"/>
      <c r="CK40" s="12"/>
      <c r="CL40" s="11"/>
      <c r="CM40" s="11"/>
      <c r="CN40" s="11"/>
      <c r="CO40" s="11"/>
      <c r="CP40" s="11"/>
      <c r="CQ40" s="11"/>
      <c r="CR40" s="11"/>
      <c r="CS40" s="11"/>
      <c r="CT40" s="11"/>
      <c r="CU40" s="11"/>
    </row>
    <row r="41" spans="1:99" ht="15" thickBot="1" x14ac:dyDescent="0.35">
      <c r="A41" s="43"/>
      <c r="D41" s="42"/>
      <c r="E41" s="41" t="s">
        <v>287</v>
      </c>
      <c r="F41" s="40" t="str">
        <f>IFERROR(F39/F38,"")</f>
        <v/>
      </c>
      <c r="G41" s="4" t="s">
        <v>288</v>
      </c>
      <c r="H41" s="25">
        <f t="shared" ref="H41:AL41" si="13">H38-H39</f>
        <v>0</v>
      </c>
      <c r="I41" s="25">
        <f t="shared" si="13"/>
        <v>0</v>
      </c>
      <c r="J41" s="25">
        <f t="shared" si="13"/>
        <v>0</v>
      </c>
      <c r="K41" s="25">
        <f t="shared" si="13"/>
        <v>0</v>
      </c>
      <c r="L41" s="25">
        <f t="shared" si="13"/>
        <v>0</v>
      </c>
      <c r="M41" s="25">
        <f t="shared" si="13"/>
        <v>0</v>
      </c>
      <c r="N41" s="25">
        <f t="shared" si="13"/>
        <v>0</v>
      </c>
      <c r="O41" s="25">
        <f t="shared" si="13"/>
        <v>0</v>
      </c>
      <c r="P41" s="25">
        <f t="shared" si="13"/>
        <v>0</v>
      </c>
      <c r="Q41" s="25">
        <f t="shared" si="13"/>
        <v>0</v>
      </c>
      <c r="R41" s="25">
        <f t="shared" si="13"/>
        <v>0</v>
      </c>
      <c r="S41" s="25">
        <f t="shared" si="13"/>
        <v>0</v>
      </c>
      <c r="T41" s="25">
        <f t="shared" si="13"/>
        <v>0</v>
      </c>
      <c r="U41" s="25">
        <f t="shared" si="13"/>
        <v>0</v>
      </c>
      <c r="V41" s="25">
        <f t="shared" si="13"/>
        <v>0</v>
      </c>
      <c r="W41" s="25">
        <f t="shared" si="13"/>
        <v>0</v>
      </c>
      <c r="X41" s="25">
        <f t="shared" si="13"/>
        <v>0</v>
      </c>
      <c r="Y41" s="25">
        <f t="shared" si="13"/>
        <v>0</v>
      </c>
      <c r="Z41" s="25">
        <f t="shared" si="13"/>
        <v>0</v>
      </c>
      <c r="AA41" s="25">
        <f t="shared" si="13"/>
        <v>0</v>
      </c>
      <c r="AB41" s="25">
        <f t="shared" si="13"/>
        <v>0</v>
      </c>
      <c r="AC41" s="25">
        <f t="shared" si="13"/>
        <v>0</v>
      </c>
      <c r="AD41" s="25">
        <f t="shared" si="13"/>
        <v>0</v>
      </c>
      <c r="AE41" s="25">
        <f t="shared" si="13"/>
        <v>0</v>
      </c>
      <c r="AF41" s="25">
        <f t="shared" si="13"/>
        <v>0</v>
      </c>
      <c r="AG41" s="25">
        <f t="shared" si="13"/>
        <v>0</v>
      </c>
      <c r="AH41" s="25">
        <f t="shared" si="13"/>
        <v>0</v>
      </c>
      <c r="AI41" s="25">
        <f t="shared" si="13"/>
        <v>0</v>
      </c>
      <c r="AJ41" s="25">
        <f t="shared" si="13"/>
        <v>0</v>
      </c>
      <c r="AK41" s="25">
        <f t="shared" si="13"/>
        <v>0</v>
      </c>
      <c r="AL41" s="39">
        <f t="shared" si="13"/>
        <v>0</v>
      </c>
      <c r="BG41" s="14" t="s">
        <v>156</v>
      </c>
      <c r="BH41" s="13"/>
      <c r="BI41" s="12"/>
      <c r="BJ41" s="11"/>
      <c r="BK41" s="12"/>
      <c r="BL41" s="13"/>
      <c r="BM41" s="12"/>
      <c r="BN41" s="11"/>
      <c r="BO41" s="12"/>
      <c r="BP41" s="13"/>
      <c r="BQ41" s="12"/>
      <c r="BR41" s="15"/>
      <c r="BS41" s="12"/>
      <c r="BT41" s="15"/>
      <c r="BU41" s="12"/>
      <c r="BV41" s="11"/>
      <c r="BW41" s="12"/>
      <c r="BX41" s="11"/>
      <c r="BY41" s="12"/>
      <c r="BZ41" s="11"/>
      <c r="CA41" s="12"/>
      <c r="CB41" s="11"/>
      <c r="CC41" s="12"/>
      <c r="CD41" s="11"/>
      <c r="CE41" s="12"/>
      <c r="CF41" s="11"/>
      <c r="CG41" s="12"/>
      <c r="CH41" s="11"/>
      <c r="CI41" s="12"/>
      <c r="CJ41" s="11"/>
      <c r="CK41" s="12"/>
      <c r="CL41" s="11"/>
      <c r="CM41" s="11"/>
      <c r="CN41" s="11"/>
      <c r="CO41" s="11"/>
      <c r="CP41" s="11"/>
      <c r="CQ41" s="11"/>
      <c r="CR41" s="11"/>
      <c r="CS41" s="11"/>
      <c r="CT41" s="11"/>
      <c r="CU41" s="11"/>
    </row>
    <row r="42" spans="1:99" x14ac:dyDescent="0.3">
      <c r="A42" s="38" t="s">
        <v>297</v>
      </c>
      <c r="B42" s="37"/>
      <c r="C42" s="37"/>
      <c r="D42" s="36"/>
      <c r="E42" s="35" t="s">
        <v>298</v>
      </c>
      <c r="F42" s="33"/>
      <c r="G42" s="34" t="s">
        <v>279</v>
      </c>
      <c r="H42" s="33">
        <v>1</v>
      </c>
      <c r="I42" s="33">
        <v>2</v>
      </c>
      <c r="J42" s="33">
        <v>3</v>
      </c>
      <c r="K42" s="33">
        <v>4</v>
      </c>
      <c r="L42" s="33">
        <v>5</v>
      </c>
      <c r="M42" s="33">
        <v>6</v>
      </c>
      <c r="N42" s="33">
        <v>7</v>
      </c>
      <c r="O42" s="33">
        <v>8</v>
      </c>
      <c r="P42" s="33">
        <v>9</v>
      </c>
      <c r="Q42" s="33">
        <v>10</v>
      </c>
      <c r="R42" s="33">
        <v>11</v>
      </c>
      <c r="S42" s="33">
        <v>12</v>
      </c>
      <c r="T42" s="33">
        <v>13</v>
      </c>
      <c r="U42" s="33">
        <v>14</v>
      </c>
      <c r="V42" s="33">
        <v>15</v>
      </c>
      <c r="W42" s="33">
        <v>16</v>
      </c>
      <c r="X42" s="33">
        <v>17</v>
      </c>
      <c r="Y42" s="33">
        <v>18</v>
      </c>
      <c r="Z42" s="33">
        <v>19</v>
      </c>
      <c r="AA42" s="33">
        <v>20</v>
      </c>
      <c r="AB42" s="33">
        <v>21</v>
      </c>
      <c r="AC42" s="33">
        <v>22</v>
      </c>
      <c r="AD42" s="33">
        <v>23</v>
      </c>
      <c r="AE42" s="33">
        <v>24</v>
      </c>
      <c r="AF42" s="33">
        <v>25</v>
      </c>
      <c r="AG42" s="33">
        <v>26</v>
      </c>
      <c r="AH42" s="33">
        <v>27</v>
      </c>
      <c r="AI42" s="33">
        <v>28</v>
      </c>
      <c r="AJ42" s="33">
        <v>29</v>
      </c>
      <c r="AK42" s="33">
        <v>30</v>
      </c>
      <c r="AL42" s="32">
        <v>31</v>
      </c>
      <c r="BG42" s="14" t="s">
        <v>112</v>
      </c>
      <c r="BH42" s="11" t="s">
        <v>1508</v>
      </c>
      <c r="BI42" s="12">
        <v>3</v>
      </c>
      <c r="BJ42" s="13" t="s">
        <v>1509</v>
      </c>
      <c r="BK42" s="12">
        <v>5</v>
      </c>
      <c r="BL42" s="11" t="s">
        <v>1510</v>
      </c>
      <c r="BM42" s="12">
        <v>1</v>
      </c>
      <c r="BN42" s="13"/>
      <c r="BO42" s="12"/>
      <c r="BP42" s="11"/>
      <c r="BQ42" s="12"/>
      <c r="BR42" s="13"/>
      <c r="BS42" s="12"/>
      <c r="BT42" s="15"/>
      <c r="BU42" s="12"/>
      <c r="BV42" s="11"/>
      <c r="BW42" s="12"/>
      <c r="BX42" s="11"/>
      <c r="BY42" s="12"/>
      <c r="BZ42" s="11"/>
      <c r="CA42" s="12"/>
      <c r="CB42" s="11"/>
      <c r="CC42" s="12"/>
      <c r="CD42" s="11"/>
      <c r="CE42" s="12"/>
      <c r="CF42" s="11"/>
      <c r="CG42" s="12"/>
      <c r="CH42" s="11"/>
      <c r="CI42" s="12"/>
      <c r="CJ42" s="11"/>
      <c r="CK42" s="12"/>
      <c r="CL42" s="11"/>
      <c r="CM42" s="11"/>
      <c r="CN42" s="11"/>
      <c r="CO42" s="11"/>
      <c r="CP42" s="11"/>
      <c r="CQ42" s="11"/>
      <c r="CR42" s="11"/>
      <c r="CS42" s="11"/>
      <c r="CT42" s="11"/>
      <c r="CU42" s="11"/>
    </row>
    <row r="43" spans="1:99" x14ac:dyDescent="0.3">
      <c r="A43" s="31"/>
      <c r="B43" s="30"/>
      <c r="C43" s="30"/>
      <c r="D43" s="29"/>
      <c r="E43" s="26" t="s">
        <v>280</v>
      </c>
      <c r="F43" s="25">
        <f>SUM(H43:AL43)</f>
        <v>310</v>
      </c>
      <c r="G43" s="4" t="s">
        <v>281</v>
      </c>
      <c r="H43" s="3">
        <f t="shared" ref="H43:AL43" si="14">SUM(H8,H13,H18,H23,H28,H33,H38)</f>
        <v>10</v>
      </c>
      <c r="I43" s="3">
        <f t="shared" si="14"/>
        <v>10</v>
      </c>
      <c r="J43" s="3">
        <f t="shared" si="14"/>
        <v>10</v>
      </c>
      <c r="K43" s="3">
        <f t="shared" si="14"/>
        <v>10</v>
      </c>
      <c r="L43" s="3">
        <f t="shared" si="14"/>
        <v>10</v>
      </c>
      <c r="M43" s="3">
        <f t="shared" si="14"/>
        <v>10</v>
      </c>
      <c r="N43" s="3">
        <f t="shared" si="14"/>
        <v>10</v>
      </c>
      <c r="O43" s="3">
        <f t="shared" si="14"/>
        <v>10</v>
      </c>
      <c r="P43" s="3">
        <f t="shared" si="14"/>
        <v>10</v>
      </c>
      <c r="Q43" s="3">
        <f t="shared" si="14"/>
        <v>10</v>
      </c>
      <c r="R43" s="3">
        <f t="shared" si="14"/>
        <v>10</v>
      </c>
      <c r="S43" s="3">
        <f t="shared" si="14"/>
        <v>10</v>
      </c>
      <c r="T43" s="3">
        <f t="shared" si="14"/>
        <v>10</v>
      </c>
      <c r="U43" s="3">
        <f t="shared" si="14"/>
        <v>10</v>
      </c>
      <c r="V43" s="3">
        <f t="shared" si="14"/>
        <v>10</v>
      </c>
      <c r="W43" s="3">
        <f t="shared" si="14"/>
        <v>10</v>
      </c>
      <c r="X43" s="3">
        <f t="shared" si="14"/>
        <v>10</v>
      </c>
      <c r="Y43" s="3">
        <f t="shared" si="14"/>
        <v>10</v>
      </c>
      <c r="Z43" s="3">
        <f t="shared" si="14"/>
        <v>10</v>
      </c>
      <c r="AA43" s="3">
        <f t="shared" si="14"/>
        <v>10</v>
      </c>
      <c r="AB43" s="3">
        <f t="shared" si="14"/>
        <v>10</v>
      </c>
      <c r="AC43" s="3">
        <f t="shared" si="14"/>
        <v>10</v>
      </c>
      <c r="AD43" s="3">
        <f t="shared" si="14"/>
        <v>10</v>
      </c>
      <c r="AE43" s="3">
        <f t="shared" si="14"/>
        <v>10</v>
      </c>
      <c r="AF43" s="3">
        <f t="shared" si="14"/>
        <v>10</v>
      </c>
      <c r="AG43" s="3">
        <f t="shared" si="14"/>
        <v>10</v>
      </c>
      <c r="AH43" s="3">
        <f t="shared" si="14"/>
        <v>10</v>
      </c>
      <c r="AI43" s="3">
        <f t="shared" si="14"/>
        <v>10</v>
      </c>
      <c r="AJ43" s="3">
        <f t="shared" si="14"/>
        <v>10</v>
      </c>
      <c r="AK43" s="3">
        <f t="shared" si="14"/>
        <v>10</v>
      </c>
      <c r="AL43" s="24">
        <f t="shared" si="14"/>
        <v>10</v>
      </c>
      <c r="BG43" s="14" t="s">
        <v>97</v>
      </c>
      <c r="BH43" s="11"/>
      <c r="BI43" s="12"/>
      <c r="BJ43" s="13"/>
      <c r="BK43" s="12"/>
      <c r="BL43" s="11"/>
      <c r="BM43" s="12"/>
      <c r="BN43" s="15"/>
      <c r="BO43" s="12"/>
      <c r="BP43" s="15"/>
      <c r="BQ43" s="12"/>
      <c r="BR43" s="15"/>
      <c r="BS43" s="12"/>
      <c r="BT43" s="15"/>
      <c r="BU43" s="12"/>
      <c r="BV43" s="11"/>
      <c r="BW43" s="12"/>
      <c r="BX43" s="11"/>
      <c r="BY43" s="12"/>
      <c r="BZ43" s="11"/>
      <c r="CA43" s="12"/>
      <c r="CB43" s="11"/>
      <c r="CC43" s="12"/>
      <c r="CD43" s="11"/>
      <c r="CE43" s="12"/>
      <c r="CF43" s="11"/>
      <c r="CG43" s="12"/>
      <c r="CH43" s="11"/>
      <c r="CI43" s="12"/>
      <c r="CJ43" s="11"/>
      <c r="CK43" s="12"/>
      <c r="CL43" s="11"/>
      <c r="CM43" s="11"/>
      <c r="CN43" s="11"/>
      <c r="CO43" s="11"/>
      <c r="CP43" s="11"/>
      <c r="CQ43" s="11"/>
      <c r="CR43" s="11"/>
      <c r="CS43" s="11"/>
      <c r="CT43" s="11"/>
      <c r="CU43" s="11"/>
    </row>
    <row r="44" spans="1:99" x14ac:dyDescent="0.3">
      <c r="A44" s="28" t="str">
        <f>C1</f>
        <v>THE THREE CORNERS FAYROUZ PLAZA BEACH RESORT (RMF)</v>
      </c>
      <c r="B44" s="10"/>
      <c r="C44" s="10"/>
      <c r="D44" s="27"/>
      <c r="E44" s="26" t="s">
        <v>282</v>
      </c>
      <c r="F44" s="25">
        <f>SUM(H44:AL44)</f>
        <v>17</v>
      </c>
      <c r="G44" s="4" t="s">
        <v>283</v>
      </c>
      <c r="H44" s="3">
        <f t="shared" ref="H44:AL44" si="15">SUM(H9,H14,H19,H24,H29,H34,H39)</f>
        <v>1</v>
      </c>
      <c r="I44" s="3">
        <f t="shared" si="15"/>
        <v>1</v>
      </c>
      <c r="J44" s="3">
        <f t="shared" si="15"/>
        <v>1</v>
      </c>
      <c r="K44" s="3">
        <f t="shared" si="15"/>
        <v>1</v>
      </c>
      <c r="L44" s="3">
        <f t="shared" si="15"/>
        <v>1</v>
      </c>
      <c r="M44" s="3">
        <f t="shared" si="15"/>
        <v>1</v>
      </c>
      <c r="N44" s="3">
        <f t="shared" si="15"/>
        <v>1</v>
      </c>
      <c r="O44" s="3">
        <f t="shared" si="15"/>
        <v>1</v>
      </c>
      <c r="P44" s="3">
        <f t="shared" si="15"/>
        <v>1</v>
      </c>
      <c r="Q44" s="3">
        <f t="shared" si="15"/>
        <v>1</v>
      </c>
      <c r="R44" s="3">
        <f t="shared" si="15"/>
        <v>1</v>
      </c>
      <c r="S44" s="3">
        <f t="shared" si="15"/>
        <v>1</v>
      </c>
      <c r="T44" s="3">
        <f t="shared" si="15"/>
        <v>1</v>
      </c>
      <c r="U44" s="3">
        <f t="shared" si="15"/>
        <v>1</v>
      </c>
      <c r="V44" s="3">
        <f t="shared" si="15"/>
        <v>1</v>
      </c>
      <c r="W44" s="3">
        <f t="shared" si="15"/>
        <v>1</v>
      </c>
      <c r="X44" s="3">
        <f t="shared" si="15"/>
        <v>0</v>
      </c>
      <c r="Y44" s="3">
        <f t="shared" si="15"/>
        <v>0</v>
      </c>
      <c r="Z44" s="3">
        <f t="shared" si="15"/>
        <v>0</v>
      </c>
      <c r="AA44" s="3">
        <f t="shared" si="15"/>
        <v>0</v>
      </c>
      <c r="AB44" s="3">
        <f t="shared" si="15"/>
        <v>0</v>
      </c>
      <c r="AC44" s="3">
        <f t="shared" si="15"/>
        <v>0</v>
      </c>
      <c r="AD44" s="3">
        <f t="shared" si="15"/>
        <v>0</v>
      </c>
      <c r="AE44" s="3">
        <f t="shared" si="15"/>
        <v>0</v>
      </c>
      <c r="AF44" s="3">
        <f t="shared" si="15"/>
        <v>0</v>
      </c>
      <c r="AG44" s="3">
        <f t="shared" si="15"/>
        <v>0</v>
      </c>
      <c r="AH44" s="3">
        <f t="shared" si="15"/>
        <v>0</v>
      </c>
      <c r="AI44" s="3">
        <f t="shared" si="15"/>
        <v>0</v>
      </c>
      <c r="AJ44" s="3">
        <f t="shared" si="15"/>
        <v>0</v>
      </c>
      <c r="AK44" s="3">
        <f t="shared" si="15"/>
        <v>0</v>
      </c>
      <c r="AL44" s="24">
        <f t="shared" si="15"/>
        <v>1</v>
      </c>
      <c r="BG44" s="14" t="s">
        <v>1397</v>
      </c>
      <c r="BH44" s="11" t="s">
        <v>1511</v>
      </c>
      <c r="BI44" s="12">
        <v>5</v>
      </c>
      <c r="BJ44" s="13" t="s">
        <v>1512</v>
      </c>
      <c r="BK44" s="12">
        <v>3</v>
      </c>
      <c r="BL44" s="11" t="s">
        <v>1513</v>
      </c>
      <c r="BM44" s="12">
        <v>1</v>
      </c>
      <c r="BN44" s="13" t="s">
        <v>1436</v>
      </c>
      <c r="BO44" s="12">
        <v>1</v>
      </c>
      <c r="BP44" s="11"/>
      <c r="BQ44" s="12"/>
      <c r="BR44" s="13"/>
      <c r="BS44" s="12"/>
      <c r="BT44" s="11"/>
      <c r="BU44" s="12"/>
      <c r="BV44" s="13"/>
      <c r="BW44" s="12"/>
      <c r="BX44" s="11"/>
      <c r="BY44" s="12"/>
      <c r="BZ44" s="13"/>
      <c r="CA44" s="12"/>
      <c r="CB44" s="11"/>
      <c r="CC44" s="12"/>
      <c r="CD44" s="11"/>
      <c r="CE44" s="12"/>
      <c r="CF44" s="11"/>
      <c r="CG44" s="12"/>
      <c r="CH44" s="11"/>
      <c r="CI44" s="12"/>
      <c r="CJ44" s="11"/>
      <c r="CK44" s="12"/>
      <c r="CL44" s="11"/>
      <c r="CM44" s="11"/>
      <c r="CN44" s="11"/>
      <c r="CO44" s="11"/>
      <c r="CP44" s="11"/>
      <c r="CQ44" s="11"/>
      <c r="CR44" s="11"/>
      <c r="CS44" s="11"/>
      <c r="CT44" s="11"/>
      <c r="CU44" s="11"/>
    </row>
    <row r="45" spans="1:99" ht="15" thickBot="1" x14ac:dyDescent="0.35">
      <c r="A45" s="23"/>
      <c r="B45" s="22"/>
      <c r="C45" s="22"/>
      <c r="D45" s="21"/>
      <c r="E45" s="20" t="s">
        <v>287</v>
      </c>
      <c r="F45" s="19" t="str">
        <f>IFERROR(F43/F42,"")</f>
        <v/>
      </c>
      <c r="G45" s="18" t="s">
        <v>288</v>
      </c>
      <c r="H45" s="17">
        <f t="shared" ref="H45:AL45" si="16">SUM(H11,H16,H21,H26,H31,H36,H41)</f>
        <v>9</v>
      </c>
      <c r="I45" s="17">
        <f t="shared" si="16"/>
        <v>9</v>
      </c>
      <c r="J45" s="17">
        <f t="shared" si="16"/>
        <v>9</v>
      </c>
      <c r="K45" s="17">
        <f t="shared" si="16"/>
        <v>9</v>
      </c>
      <c r="L45" s="17">
        <f t="shared" si="16"/>
        <v>9</v>
      </c>
      <c r="M45" s="17">
        <f t="shared" si="16"/>
        <v>9</v>
      </c>
      <c r="N45" s="17">
        <f t="shared" si="16"/>
        <v>9</v>
      </c>
      <c r="O45" s="17">
        <f t="shared" si="16"/>
        <v>9</v>
      </c>
      <c r="P45" s="17">
        <f t="shared" si="16"/>
        <v>9</v>
      </c>
      <c r="Q45" s="17">
        <f t="shared" si="16"/>
        <v>9</v>
      </c>
      <c r="R45" s="17">
        <f t="shared" si="16"/>
        <v>9</v>
      </c>
      <c r="S45" s="17">
        <f t="shared" si="16"/>
        <v>9</v>
      </c>
      <c r="T45" s="17">
        <f t="shared" si="16"/>
        <v>9</v>
      </c>
      <c r="U45" s="17">
        <f t="shared" si="16"/>
        <v>9</v>
      </c>
      <c r="V45" s="17">
        <f t="shared" si="16"/>
        <v>9</v>
      </c>
      <c r="W45" s="17">
        <f t="shared" si="16"/>
        <v>9</v>
      </c>
      <c r="X45" s="17">
        <f t="shared" si="16"/>
        <v>10</v>
      </c>
      <c r="Y45" s="17">
        <f t="shared" si="16"/>
        <v>10</v>
      </c>
      <c r="Z45" s="17">
        <f t="shared" si="16"/>
        <v>10</v>
      </c>
      <c r="AA45" s="17">
        <f t="shared" si="16"/>
        <v>10</v>
      </c>
      <c r="AB45" s="17">
        <f t="shared" si="16"/>
        <v>10</v>
      </c>
      <c r="AC45" s="17">
        <f t="shared" si="16"/>
        <v>10</v>
      </c>
      <c r="AD45" s="17">
        <f t="shared" si="16"/>
        <v>10</v>
      </c>
      <c r="AE45" s="17">
        <f t="shared" si="16"/>
        <v>10</v>
      </c>
      <c r="AF45" s="17">
        <f t="shared" si="16"/>
        <v>10</v>
      </c>
      <c r="AG45" s="17">
        <f t="shared" si="16"/>
        <v>10</v>
      </c>
      <c r="AH45" s="17">
        <f t="shared" si="16"/>
        <v>10</v>
      </c>
      <c r="AI45" s="17">
        <f t="shared" si="16"/>
        <v>10</v>
      </c>
      <c r="AJ45" s="17">
        <f t="shared" si="16"/>
        <v>10</v>
      </c>
      <c r="AK45" s="17">
        <f t="shared" si="16"/>
        <v>10</v>
      </c>
      <c r="AL45" s="16">
        <f t="shared" si="16"/>
        <v>9</v>
      </c>
      <c r="BG45" s="14" t="s">
        <v>1398</v>
      </c>
      <c r="BH45" s="11" t="s">
        <v>1514</v>
      </c>
      <c r="BI45" s="12">
        <v>4</v>
      </c>
      <c r="BJ45" s="13" t="s">
        <v>1515</v>
      </c>
      <c r="BK45" s="12">
        <v>12</v>
      </c>
      <c r="BL45" s="11" t="s">
        <v>1516</v>
      </c>
      <c r="BM45" s="12">
        <v>3</v>
      </c>
      <c r="BN45" s="15" t="s">
        <v>1517</v>
      </c>
      <c r="BO45" s="12">
        <v>1</v>
      </c>
      <c r="BP45" s="15"/>
      <c r="BQ45" s="12"/>
      <c r="BR45" s="15"/>
      <c r="BS45" s="12"/>
      <c r="BT45" s="15"/>
      <c r="BU45" s="12"/>
      <c r="BV45" s="11"/>
      <c r="BW45" s="12"/>
      <c r="BX45" s="11"/>
      <c r="BY45" s="12"/>
      <c r="BZ45" s="11"/>
      <c r="CA45" s="12"/>
      <c r="CB45" s="11"/>
      <c r="CC45" s="12"/>
      <c r="CD45" s="11"/>
      <c r="CE45" s="12"/>
      <c r="CF45" s="11"/>
      <c r="CG45" s="12"/>
      <c r="CH45" s="11"/>
      <c r="CI45" s="12"/>
      <c r="CJ45" s="11"/>
      <c r="CK45" s="12"/>
      <c r="CL45" s="11"/>
      <c r="CM45" s="11"/>
      <c r="CN45" s="11"/>
      <c r="CO45" s="11"/>
      <c r="CP45" s="11"/>
      <c r="CQ45" s="11"/>
      <c r="CR45" s="11"/>
      <c r="CS45" s="11"/>
      <c r="CT45" s="11"/>
      <c r="CU45" s="11"/>
    </row>
    <row r="46" spans="1:99" x14ac:dyDescent="0.3">
      <c r="BG46" s="14" t="s">
        <v>91</v>
      </c>
      <c r="BH46" s="11"/>
      <c r="BI46" s="12"/>
      <c r="BJ46" s="13"/>
      <c r="BK46" s="12"/>
      <c r="BL46" s="11"/>
      <c r="BM46" s="12"/>
      <c r="BN46" s="13"/>
      <c r="BO46" s="12"/>
      <c r="BP46" s="11"/>
      <c r="BQ46" s="12"/>
      <c r="BR46" s="13"/>
      <c r="BS46" s="12"/>
      <c r="BT46" s="15"/>
      <c r="BU46" s="12"/>
      <c r="BV46" s="11"/>
      <c r="BW46" s="12"/>
      <c r="BX46" s="11"/>
      <c r="BY46" s="12"/>
      <c r="BZ46" s="11"/>
      <c r="CA46" s="12"/>
      <c r="CB46" s="11"/>
      <c r="CC46" s="12"/>
      <c r="CD46" s="11"/>
      <c r="CE46" s="12"/>
      <c r="CF46" s="11"/>
      <c r="CG46" s="12"/>
      <c r="CH46" s="11"/>
      <c r="CI46" s="12"/>
      <c r="CJ46" s="11"/>
      <c r="CK46" s="12"/>
      <c r="CL46" s="11"/>
      <c r="CM46" s="11"/>
      <c r="CN46" s="11"/>
      <c r="CO46" s="11"/>
      <c r="CP46" s="11"/>
      <c r="CQ46" s="11"/>
      <c r="CR46" s="11"/>
      <c r="CS46" s="11"/>
      <c r="CT46" s="11"/>
      <c r="CU46" s="11"/>
    </row>
    <row r="47" spans="1:99" x14ac:dyDescent="0.3">
      <c r="BG47" s="14" t="s">
        <v>88</v>
      </c>
      <c r="BH47" s="11" t="s">
        <v>1508</v>
      </c>
      <c r="BI47" s="12">
        <v>2</v>
      </c>
      <c r="BJ47" s="13" t="s">
        <v>1509</v>
      </c>
      <c r="BK47" s="12">
        <v>4</v>
      </c>
      <c r="BL47" s="15" t="s">
        <v>1518</v>
      </c>
      <c r="BM47" s="12">
        <v>1</v>
      </c>
      <c r="BN47" s="15" t="s">
        <v>1511</v>
      </c>
      <c r="BO47" s="12">
        <v>3</v>
      </c>
      <c r="BP47" s="15" t="s">
        <v>99</v>
      </c>
      <c r="BQ47" s="12">
        <v>1</v>
      </c>
      <c r="BR47" s="15"/>
      <c r="BS47" s="12"/>
      <c r="BT47" s="15"/>
      <c r="BU47" s="12"/>
      <c r="BV47" s="11"/>
      <c r="BW47" s="12"/>
      <c r="BX47" s="11"/>
      <c r="BY47" s="12"/>
      <c r="BZ47" s="11"/>
      <c r="CA47" s="12"/>
      <c r="CB47" s="11"/>
      <c r="CC47" s="12"/>
      <c r="CD47" s="11"/>
      <c r="CE47" s="12"/>
      <c r="CF47" s="11"/>
      <c r="CG47" s="12"/>
      <c r="CH47" s="11"/>
      <c r="CI47" s="12"/>
      <c r="CJ47" s="11"/>
      <c r="CK47" s="12"/>
      <c r="CL47" s="11"/>
      <c r="CM47" s="11"/>
      <c r="CN47" s="11"/>
      <c r="CO47" s="11"/>
      <c r="CP47" s="11"/>
      <c r="CQ47" s="11"/>
      <c r="CR47" s="11"/>
      <c r="CS47" s="11"/>
      <c r="CT47" s="11"/>
      <c r="CU47" s="11"/>
    </row>
    <row r="48" spans="1:99" x14ac:dyDescent="0.3">
      <c r="BG48" s="14" t="s">
        <v>94</v>
      </c>
      <c r="BH48" s="13"/>
      <c r="BI48" s="12"/>
      <c r="BJ48" s="11"/>
      <c r="BK48" s="12"/>
      <c r="BL48" s="13"/>
      <c r="BM48" s="12"/>
      <c r="BN48" s="15"/>
      <c r="BO48" s="12"/>
      <c r="BP48" s="15"/>
      <c r="BQ48" s="12"/>
      <c r="BR48" s="15"/>
      <c r="BS48" s="12"/>
      <c r="BT48" s="15"/>
      <c r="BU48" s="12"/>
      <c r="BV48" s="11"/>
      <c r="BW48" s="12"/>
      <c r="BX48" s="11"/>
      <c r="BY48" s="12"/>
      <c r="BZ48" s="11"/>
      <c r="CA48" s="12"/>
      <c r="CB48" s="11"/>
      <c r="CC48" s="12"/>
      <c r="CD48" s="11"/>
      <c r="CE48" s="12"/>
      <c r="CF48" s="11"/>
      <c r="CG48" s="12"/>
      <c r="CH48" s="11"/>
      <c r="CI48" s="12"/>
      <c r="CJ48" s="11"/>
      <c r="CK48" s="12"/>
      <c r="CL48" s="11"/>
      <c r="CM48" s="11"/>
      <c r="CN48" s="11"/>
      <c r="CO48" s="11"/>
      <c r="CP48" s="11"/>
      <c r="CQ48" s="11"/>
      <c r="CR48" s="11"/>
      <c r="CS48" s="11"/>
      <c r="CT48" s="11"/>
      <c r="CU48" s="11"/>
    </row>
    <row r="49" spans="59:99" x14ac:dyDescent="0.3">
      <c r="BG49" s="14" t="s">
        <v>102</v>
      </c>
      <c r="BH49" s="13"/>
      <c r="BI49" s="12"/>
      <c r="BJ49" s="11"/>
      <c r="BK49" s="12"/>
      <c r="BL49" s="13"/>
      <c r="BM49" s="12"/>
      <c r="BN49" s="15"/>
      <c r="BO49" s="12"/>
      <c r="BP49" s="15"/>
      <c r="BQ49" s="12"/>
      <c r="BR49" s="15"/>
      <c r="BS49" s="12"/>
      <c r="BT49" s="15"/>
      <c r="BU49" s="12"/>
      <c r="BV49" s="11"/>
      <c r="BW49" s="12"/>
      <c r="BX49" s="11"/>
      <c r="BY49" s="12"/>
      <c r="BZ49" s="11"/>
      <c r="CA49" s="12"/>
      <c r="CB49" s="11"/>
      <c r="CC49" s="12"/>
      <c r="CD49" s="11"/>
      <c r="CE49" s="12"/>
      <c r="CF49" s="11"/>
      <c r="CG49" s="12"/>
      <c r="CH49" s="11"/>
      <c r="CI49" s="12"/>
      <c r="CJ49" s="11"/>
      <c r="CK49" s="12"/>
      <c r="CL49" s="11"/>
      <c r="CM49" s="11"/>
      <c r="CN49" s="11"/>
      <c r="CO49" s="11"/>
      <c r="CP49" s="11"/>
      <c r="CQ49" s="11"/>
      <c r="CR49" s="11"/>
      <c r="CS49" s="11"/>
      <c r="CT49" s="11"/>
      <c r="CU49" s="11"/>
    </row>
    <row r="50" spans="59:99" x14ac:dyDescent="0.3">
      <c r="BG50" s="14" t="s">
        <v>1399</v>
      </c>
      <c r="BH50" s="13"/>
      <c r="BI50" s="12"/>
      <c r="BJ50" s="11"/>
      <c r="BK50" s="12"/>
      <c r="BL50" s="13"/>
      <c r="BM50" s="12"/>
      <c r="BN50" s="11"/>
      <c r="BO50" s="12"/>
      <c r="BP50" s="13"/>
      <c r="BQ50" s="12"/>
      <c r="BR50" s="11"/>
      <c r="BS50" s="12"/>
      <c r="BT50" s="13"/>
      <c r="BU50" s="12"/>
      <c r="BV50" s="11"/>
      <c r="BW50" s="12"/>
      <c r="BX50" s="13"/>
      <c r="BY50" s="12"/>
      <c r="BZ50" s="11"/>
      <c r="CA50" s="12"/>
      <c r="CB50" s="11"/>
      <c r="CC50" s="12"/>
      <c r="CD50" s="11"/>
      <c r="CE50" s="12"/>
      <c r="CF50" s="11"/>
      <c r="CG50" s="12"/>
      <c r="CH50" s="11"/>
      <c r="CI50" s="12"/>
      <c r="CJ50" s="11"/>
      <c r="CK50" s="12"/>
      <c r="CL50" s="11"/>
      <c r="CM50" s="11"/>
      <c r="CN50" s="11"/>
      <c r="CO50" s="11"/>
      <c r="CP50" s="11"/>
      <c r="CQ50" s="11"/>
      <c r="CR50" s="11"/>
      <c r="CS50" s="11"/>
      <c r="CT50" s="11"/>
      <c r="CU50" s="11"/>
    </row>
    <row r="51" spans="59:99" x14ac:dyDescent="0.3">
      <c r="BG51" s="14" t="s">
        <v>122</v>
      </c>
      <c r="BH51" s="11"/>
      <c r="BI51" s="12"/>
      <c r="BJ51" s="13"/>
      <c r="BK51" s="12"/>
      <c r="BL51" s="11"/>
      <c r="BM51" s="12"/>
      <c r="BN51" s="13"/>
      <c r="BO51" s="12"/>
      <c r="BP51" s="11"/>
      <c r="BQ51" s="12"/>
      <c r="BR51" s="11"/>
      <c r="BS51" s="12"/>
      <c r="BT51" s="11"/>
      <c r="BU51" s="12"/>
      <c r="BV51" s="11"/>
      <c r="BW51" s="12"/>
      <c r="BX51" s="11"/>
      <c r="BY51" s="12"/>
      <c r="BZ51" s="11"/>
      <c r="CA51" s="12"/>
      <c r="CB51" s="11"/>
      <c r="CC51" s="12"/>
      <c r="CD51" s="11"/>
      <c r="CE51" s="12"/>
      <c r="CF51" s="11"/>
      <c r="CG51" s="12"/>
      <c r="CH51" s="11"/>
      <c r="CI51" s="12"/>
      <c r="CJ51" s="11"/>
      <c r="CK51" s="12"/>
      <c r="CL51" s="11"/>
      <c r="CM51" s="11"/>
      <c r="CN51" s="11"/>
      <c r="CO51" s="11"/>
      <c r="CP51" s="11"/>
      <c r="CQ51" s="11"/>
      <c r="CR51" s="11"/>
      <c r="CS51" s="11"/>
      <c r="CT51" s="11"/>
      <c r="CU51" s="11"/>
    </row>
    <row r="52" spans="59:99" x14ac:dyDescent="0.3">
      <c r="BG52" s="14" t="s">
        <v>157</v>
      </c>
      <c r="BH52" s="13"/>
      <c r="BI52" s="12"/>
      <c r="BJ52" s="11"/>
      <c r="BK52" s="12"/>
      <c r="BL52" s="13"/>
      <c r="BM52" s="12"/>
      <c r="BN52" s="15"/>
      <c r="BO52" s="12"/>
      <c r="BP52" s="15"/>
      <c r="BQ52" s="12"/>
      <c r="BR52" s="11"/>
      <c r="BS52" s="12"/>
      <c r="BT52" s="11"/>
      <c r="BU52" s="12"/>
      <c r="BV52" s="11"/>
      <c r="BW52" s="12"/>
      <c r="BX52" s="11"/>
      <c r="BY52" s="12"/>
      <c r="BZ52" s="11"/>
      <c r="CA52" s="12"/>
      <c r="CB52" s="11"/>
      <c r="CC52" s="12"/>
      <c r="CD52" s="11"/>
      <c r="CE52" s="12"/>
      <c r="CF52" s="11"/>
      <c r="CG52" s="12"/>
      <c r="CH52" s="11"/>
      <c r="CI52" s="12"/>
      <c r="CJ52" s="11"/>
      <c r="CK52" s="12"/>
      <c r="CL52" s="11"/>
      <c r="CM52" s="11"/>
      <c r="CN52" s="11"/>
      <c r="CO52" s="11"/>
      <c r="CP52" s="11"/>
      <c r="CQ52" s="11"/>
      <c r="CR52" s="11"/>
      <c r="CS52" s="11"/>
      <c r="CT52" s="11"/>
      <c r="CU52" s="11"/>
    </row>
    <row r="53" spans="59:99" x14ac:dyDescent="0.3">
      <c r="BG53" s="14" t="s">
        <v>133</v>
      </c>
      <c r="BH53" s="11" t="s">
        <v>1402</v>
      </c>
      <c r="BI53" s="12">
        <v>15</v>
      </c>
      <c r="BJ53" s="13" t="s">
        <v>1519</v>
      </c>
      <c r="BK53" s="12">
        <v>7</v>
      </c>
      <c r="BL53" s="11" t="s">
        <v>1520</v>
      </c>
      <c r="BM53" s="12">
        <v>1</v>
      </c>
      <c r="BN53" s="13" t="s">
        <v>1436</v>
      </c>
      <c r="BO53" s="12">
        <v>5</v>
      </c>
      <c r="BP53" s="11" t="s">
        <v>1446</v>
      </c>
      <c r="BQ53" s="12">
        <v>2</v>
      </c>
      <c r="BR53" s="11"/>
      <c r="BS53" s="12"/>
      <c r="BT53" s="11"/>
      <c r="BU53" s="12"/>
      <c r="BV53" s="11"/>
      <c r="BW53" s="12"/>
      <c r="BX53" s="11"/>
      <c r="BY53" s="12"/>
      <c r="BZ53" s="11"/>
      <c r="CA53" s="12"/>
      <c r="CB53" s="11"/>
      <c r="CC53" s="12"/>
      <c r="CD53" s="11"/>
      <c r="CE53" s="12"/>
      <c r="CF53" s="11"/>
      <c r="CG53" s="12"/>
      <c r="CH53" s="11"/>
      <c r="CI53" s="12"/>
      <c r="CJ53" s="11"/>
      <c r="CK53" s="12"/>
      <c r="CL53" s="11"/>
      <c r="CM53" s="11"/>
      <c r="CN53" s="11"/>
      <c r="CO53" s="11"/>
      <c r="CP53" s="11"/>
      <c r="CQ53" s="11"/>
      <c r="CR53" s="11"/>
      <c r="CS53" s="11"/>
      <c r="CT53" s="11"/>
      <c r="CU53" s="11"/>
    </row>
    <row r="54" spans="59:99" x14ac:dyDescent="0.3">
      <c r="BG54" s="14" t="s">
        <v>86</v>
      </c>
      <c r="BH54" s="11"/>
      <c r="BI54" s="12"/>
      <c r="BJ54" s="13"/>
      <c r="BK54" s="12"/>
      <c r="BL54" s="11"/>
      <c r="BM54" s="12"/>
      <c r="BN54" s="13"/>
      <c r="BO54" s="12"/>
      <c r="BP54" s="11"/>
      <c r="BQ54" s="12"/>
      <c r="BR54" s="11"/>
      <c r="BS54" s="12"/>
      <c r="BT54" s="11"/>
      <c r="BU54" s="12"/>
      <c r="BV54" s="11"/>
      <c r="BW54" s="12"/>
      <c r="BX54" s="11"/>
      <c r="BY54" s="12"/>
      <c r="BZ54" s="11"/>
      <c r="CA54" s="12"/>
      <c r="CB54" s="11"/>
      <c r="CC54" s="12"/>
      <c r="CD54" s="11"/>
      <c r="CE54" s="12"/>
      <c r="CF54" s="11"/>
      <c r="CG54" s="12"/>
      <c r="CH54" s="11"/>
      <c r="CI54" s="12"/>
      <c r="CJ54" s="11"/>
      <c r="CK54" s="12"/>
      <c r="CL54" s="11"/>
      <c r="CM54" s="11"/>
      <c r="CN54" s="11"/>
      <c r="CO54" s="11"/>
      <c r="CP54" s="11"/>
      <c r="CQ54" s="11"/>
      <c r="CR54" s="11"/>
      <c r="CS54" s="11"/>
      <c r="CT54" s="11"/>
      <c r="CU54" s="11"/>
    </row>
    <row r="55" spans="59:99" x14ac:dyDescent="0.3">
      <c r="BG55" s="14" t="s">
        <v>85</v>
      </c>
      <c r="BH55" s="11"/>
      <c r="BI55" s="12"/>
      <c r="BJ55" s="13"/>
      <c r="BK55" s="12"/>
      <c r="BL55" s="11"/>
      <c r="BM55" s="12"/>
      <c r="BN55" s="13"/>
      <c r="BO55" s="12"/>
      <c r="BP55" s="11"/>
      <c r="BQ55" s="12"/>
      <c r="BR55" s="13"/>
      <c r="BS55" s="12"/>
      <c r="BT55" s="11"/>
      <c r="BU55" s="12"/>
      <c r="BV55" s="11"/>
      <c r="BW55" s="12"/>
      <c r="BX55" s="11"/>
      <c r="BY55" s="12"/>
      <c r="BZ55" s="11"/>
      <c r="CA55" s="12"/>
      <c r="CB55" s="11"/>
      <c r="CC55" s="12"/>
      <c r="CD55" s="11"/>
      <c r="CE55" s="12"/>
      <c r="CF55" s="11"/>
      <c r="CG55" s="12"/>
      <c r="CH55" s="11"/>
      <c r="CI55" s="12"/>
      <c r="CJ55" s="11"/>
      <c r="CK55" s="12"/>
      <c r="CL55" s="11"/>
      <c r="CM55" s="11"/>
      <c r="CN55" s="11"/>
      <c r="CO55" s="11"/>
      <c r="CP55" s="11"/>
      <c r="CQ55" s="11"/>
      <c r="CR55" s="11"/>
      <c r="CS55" s="11"/>
      <c r="CT55" s="11"/>
      <c r="CU55" s="11"/>
    </row>
    <row r="56" spans="59:99" x14ac:dyDescent="0.3">
      <c r="BG56" s="14" t="s">
        <v>1400</v>
      </c>
      <c r="BH56" s="11"/>
      <c r="BI56" s="12"/>
      <c r="BJ56" s="13"/>
      <c r="BK56" s="12"/>
      <c r="BL56" s="11"/>
      <c r="BM56" s="12"/>
      <c r="BN56" s="13"/>
      <c r="BO56" s="12"/>
      <c r="BP56" s="11"/>
      <c r="BQ56" s="12"/>
      <c r="BR56" s="11"/>
      <c r="BS56" s="12"/>
      <c r="BT56" s="11"/>
      <c r="BU56" s="12"/>
      <c r="BV56" s="11"/>
      <c r="BW56" s="12"/>
      <c r="BX56" s="11"/>
      <c r="BY56" s="12"/>
      <c r="BZ56" s="11"/>
      <c r="CA56" s="12"/>
      <c r="CB56" s="11"/>
      <c r="CC56" s="12"/>
      <c r="CD56" s="11"/>
      <c r="CE56" s="12"/>
      <c r="CF56" s="11"/>
      <c r="CG56" s="12"/>
      <c r="CH56" s="11"/>
      <c r="CI56" s="12"/>
      <c r="CJ56" s="11"/>
      <c r="CK56" s="12"/>
      <c r="CL56" s="11"/>
      <c r="CM56" s="11"/>
      <c r="CN56" s="11"/>
      <c r="CO56" s="11"/>
      <c r="CP56" s="11"/>
      <c r="CQ56" s="11"/>
      <c r="CR56" s="11"/>
      <c r="CS56" s="11"/>
      <c r="CT56" s="11"/>
      <c r="CU56" s="11"/>
    </row>
    <row r="57" spans="59:99" x14ac:dyDescent="0.3">
      <c r="BG57" s="14" t="s">
        <v>118</v>
      </c>
      <c r="BH57" s="11"/>
      <c r="BI57" s="12"/>
      <c r="BJ57" s="13"/>
      <c r="BK57" s="12"/>
      <c r="BL57" s="11"/>
      <c r="BM57" s="12"/>
      <c r="BN57" s="13"/>
      <c r="BO57" s="12"/>
      <c r="BP57" s="11"/>
      <c r="BQ57" s="12"/>
      <c r="BR57" s="11"/>
      <c r="BS57" s="12"/>
      <c r="BT57" s="11"/>
      <c r="BU57" s="12"/>
      <c r="BV57" s="11"/>
      <c r="BW57" s="12"/>
      <c r="BX57" s="11"/>
      <c r="BY57" s="12"/>
      <c r="BZ57" s="11"/>
      <c r="CA57" s="12"/>
      <c r="CB57" s="11"/>
      <c r="CC57" s="12"/>
      <c r="CD57" s="11"/>
      <c r="CE57" s="12"/>
      <c r="CF57" s="11"/>
      <c r="CG57" s="12"/>
      <c r="CH57" s="11"/>
      <c r="CI57" s="12"/>
      <c r="CJ57" s="11"/>
      <c r="CK57" s="12"/>
      <c r="CL57" s="11"/>
      <c r="CM57" s="11"/>
      <c r="CN57" s="11"/>
      <c r="CO57" s="11"/>
      <c r="CP57" s="11"/>
      <c r="CQ57" s="11"/>
      <c r="CR57" s="11"/>
      <c r="CS57" s="11"/>
      <c r="CT57" s="11"/>
      <c r="CU57" s="11"/>
    </row>
    <row r="58" spans="59:99" x14ac:dyDescent="0.3">
      <c r="BG58" s="14" t="s">
        <v>101</v>
      </c>
      <c r="BH58" s="11" t="s">
        <v>1402</v>
      </c>
      <c r="BI58" s="12">
        <v>12</v>
      </c>
      <c r="BJ58" s="13" t="s">
        <v>1521</v>
      </c>
      <c r="BK58" s="12">
        <v>3</v>
      </c>
      <c r="BL58" s="11" t="s">
        <v>1463</v>
      </c>
      <c r="BM58" s="12">
        <v>3</v>
      </c>
      <c r="BN58" s="13" t="s">
        <v>1436</v>
      </c>
      <c r="BO58" s="12">
        <v>1</v>
      </c>
      <c r="BP58" s="11" t="s">
        <v>1522</v>
      </c>
      <c r="BQ58" s="12">
        <v>1</v>
      </c>
      <c r="BR58" s="11"/>
      <c r="BS58" s="12"/>
      <c r="BT58" s="11"/>
      <c r="BU58" s="12"/>
      <c r="BV58" s="11"/>
      <c r="BW58" s="12"/>
      <c r="BX58" s="11"/>
      <c r="BY58" s="12"/>
      <c r="BZ58" s="11"/>
      <c r="CA58" s="12"/>
      <c r="CB58" s="11"/>
      <c r="CC58" s="12"/>
      <c r="CD58" s="11"/>
      <c r="CE58" s="12"/>
      <c r="CF58" s="11"/>
      <c r="CG58" s="12"/>
      <c r="CH58" s="11"/>
      <c r="CI58" s="12"/>
      <c r="CJ58" s="11"/>
      <c r="CK58" s="12"/>
      <c r="CL58" s="11"/>
      <c r="CM58" s="11"/>
      <c r="CN58" s="11"/>
      <c r="CO58" s="11"/>
      <c r="CP58" s="11"/>
      <c r="CQ58" s="11"/>
      <c r="CR58" s="11"/>
      <c r="CS58" s="11"/>
      <c r="CT58" s="11"/>
      <c r="CU58" s="11"/>
    </row>
    <row r="59" spans="59:99" x14ac:dyDescent="0.3">
      <c r="BG59" s="14" t="s">
        <v>66</v>
      </c>
      <c r="BH59" s="13"/>
      <c r="BI59" s="12"/>
      <c r="BJ59" s="11"/>
      <c r="BK59" s="12"/>
      <c r="BL59" s="13"/>
      <c r="BM59" s="12"/>
      <c r="BN59" s="11"/>
      <c r="BO59" s="12"/>
      <c r="BP59" s="13"/>
      <c r="BQ59" s="12"/>
      <c r="BR59" s="11"/>
      <c r="BS59" s="12"/>
      <c r="BT59" s="11"/>
      <c r="BU59" s="12"/>
      <c r="BV59" s="11"/>
      <c r="BW59" s="12"/>
      <c r="BX59" s="11"/>
      <c r="BY59" s="12"/>
      <c r="BZ59" s="11"/>
      <c r="CA59" s="12"/>
      <c r="CB59" s="11"/>
      <c r="CC59" s="12"/>
      <c r="CD59" s="11"/>
      <c r="CE59" s="12"/>
      <c r="CF59" s="11"/>
      <c r="CG59" s="12"/>
      <c r="CH59" s="11"/>
      <c r="CI59" s="12"/>
      <c r="CJ59" s="11"/>
      <c r="CK59" s="12"/>
      <c r="CL59" s="11"/>
      <c r="CM59" s="11"/>
      <c r="CN59" s="11"/>
      <c r="CO59" s="11"/>
      <c r="CP59" s="11"/>
      <c r="CQ59" s="11"/>
      <c r="CR59" s="11"/>
      <c r="CS59" s="11"/>
      <c r="CT59" s="11"/>
      <c r="CU59" s="11"/>
    </row>
    <row r="60" spans="59:99" x14ac:dyDescent="0.3">
      <c r="BG60" s="14" t="s">
        <v>1401</v>
      </c>
      <c r="BH60" s="13" t="s">
        <v>1523</v>
      </c>
      <c r="BI60" s="12">
        <v>1</v>
      </c>
      <c r="BJ60" s="11" t="s">
        <v>1524</v>
      </c>
      <c r="BK60" s="12">
        <v>1</v>
      </c>
      <c r="BL60" s="13" t="s">
        <v>1525</v>
      </c>
      <c r="BM60" s="12">
        <v>0</v>
      </c>
      <c r="BN60" s="11" t="s">
        <v>1526</v>
      </c>
      <c r="BO60" s="12">
        <v>1</v>
      </c>
      <c r="BP60" s="13" t="s">
        <v>1527</v>
      </c>
      <c r="BQ60" s="12">
        <v>0</v>
      </c>
      <c r="BR60" s="11" t="s">
        <v>1528</v>
      </c>
      <c r="BS60" s="12">
        <v>0</v>
      </c>
      <c r="BT60" s="11" t="s">
        <v>1529</v>
      </c>
      <c r="BU60" s="12">
        <v>0</v>
      </c>
      <c r="BV60" s="11" t="s">
        <v>1530</v>
      </c>
      <c r="BW60" s="12">
        <v>0</v>
      </c>
      <c r="BX60" s="11"/>
      <c r="BY60" s="12"/>
      <c r="BZ60" s="11"/>
      <c r="CA60" s="12"/>
      <c r="CB60" s="11"/>
      <c r="CC60" s="12"/>
      <c r="CD60" s="11"/>
      <c r="CE60" s="12"/>
      <c r="CF60" s="11"/>
      <c r="CG60" s="12"/>
      <c r="CH60" s="11"/>
      <c r="CI60" s="12"/>
      <c r="CJ60" s="11"/>
      <c r="CK60" s="12"/>
      <c r="CL60" s="11"/>
      <c r="CM60" s="11"/>
      <c r="CN60" s="11"/>
      <c r="CO60" s="11"/>
      <c r="CP60" s="11"/>
      <c r="CQ60" s="11"/>
      <c r="CR60" s="11"/>
      <c r="CS60" s="11"/>
      <c r="CT60" s="11"/>
      <c r="CU60" s="11"/>
    </row>
    <row r="61" spans="59:99" x14ac:dyDescent="0.3">
      <c r="BG61" s="14" t="s">
        <v>109</v>
      </c>
      <c r="BH61" s="11"/>
      <c r="BI61" s="12"/>
      <c r="BJ61" s="13"/>
      <c r="BK61" s="12"/>
      <c r="BL61" s="11"/>
      <c r="BM61" s="12"/>
      <c r="BN61" s="11"/>
      <c r="BO61" s="12"/>
      <c r="BP61" s="11"/>
      <c r="BQ61" s="12"/>
      <c r="BR61" s="11"/>
      <c r="BS61" s="12"/>
      <c r="BT61" s="11"/>
      <c r="BU61" s="12"/>
      <c r="BV61" s="11"/>
      <c r="BW61" s="12"/>
      <c r="BX61" s="11"/>
      <c r="BY61" s="12"/>
      <c r="BZ61" s="11"/>
      <c r="CA61" s="12"/>
      <c r="CB61" s="11"/>
      <c r="CC61" s="12"/>
      <c r="CD61" s="11"/>
      <c r="CE61" s="12"/>
      <c r="CF61" s="11"/>
      <c r="CG61" s="12"/>
      <c r="CH61" s="11"/>
      <c r="CI61" s="12"/>
      <c r="CJ61" s="11"/>
      <c r="CK61" s="12"/>
      <c r="CL61" s="11"/>
      <c r="CM61" s="11"/>
      <c r="CN61" s="11"/>
      <c r="CO61" s="11"/>
      <c r="CP61" s="11"/>
      <c r="CQ61" s="11"/>
      <c r="CR61" s="11"/>
      <c r="CS61" s="11"/>
      <c r="CT61" s="11"/>
      <c r="CU61" s="11"/>
    </row>
    <row r="62" spans="59:99" x14ac:dyDescent="0.3">
      <c r="BG62" s="14" t="s">
        <v>119</v>
      </c>
      <c r="BH62" s="11"/>
      <c r="BI62" s="12"/>
      <c r="BJ62" s="13"/>
      <c r="BK62" s="12"/>
      <c r="BL62" s="11"/>
      <c r="BM62" s="12"/>
      <c r="BN62" s="11"/>
      <c r="BO62" s="12"/>
      <c r="BP62" s="13"/>
      <c r="BQ62" s="12"/>
      <c r="BR62" s="11"/>
      <c r="BS62" s="12"/>
      <c r="BT62" s="11"/>
      <c r="BU62" s="12"/>
      <c r="BV62" s="11"/>
      <c r="BW62" s="12"/>
      <c r="BX62" s="11"/>
      <c r="BY62" s="12"/>
      <c r="BZ62" s="11"/>
      <c r="CA62" s="12"/>
      <c r="CB62" s="11"/>
      <c r="CC62" s="12"/>
      <c r="CD62" s="11"/>
      <c r="CE62" s="12"/>
      <c r="CF62" s="11"/>
      <c r="CG62" s="12"/>
      <c r="CH62" s="11"/>
      <c r="CI62" s="12"/>
      <c r="CJ62" s="11"/>
      <c r="CK62" s="12"/>
      <c r="CL62" s="11"/>
      <c r="CM62" s="11"/>
      <c r="CN62" s="11"/>
      <c r="CO62" s="11"/>
      <c r="CP62" s="11"/>
      <c r="CQ62" s="11"/>
      <c r="CR62" s="11"/>
      <c r="CS62" s="11"/>
      <c r="CT62" s="11"/>
      <c r="CU62" s="11"/>
    </row>
    <row r="63" spans="59:99" x14ac:dyDescent="0.3">
      <c r="BG63" s="14" t="s">
        <v>141</v>
      </c>
      <c r="BH63" s="13"/>
      <c r="BI63" s="12"/>
      <c r="BJ63" s="11"/>
      <c r="BK63" s="12"/>
      <c r="BL63" s="13"/>
      <c r="BM63" s="12"/>
      <c r="BN63" s="11"/>
      <c r="BO63" s="12"/>
      <c r="BP63" s="13"/>
      <c r="BQ63" s="12"/>
      <c r="BR63" s="11"/>
      <c r="BS63" s="12"/>
      <c r="BT63" s="13"/>
      <c r="BU63" s="12"/>
      <c r="BV63" s="11"/>
      <c r="BW63" s="12"/>
      <c r="BX63" s="11"/>
      <c r="BY63" s="12"/>
      <c r="BZ63" s="11"/>
      <c r="CA63" s="12"/>
      <c r="CB63" s="11"/>
      <c r="CC63" s="12"/>
      <c r="CD63" s="11"/>
      <c r="CE63" s="12"/>
      <c r="CF63" s="11"/>
      <c r="CG63" s="12"/>
      <c r="CH63" s="11"/>
      <c r="CI63" s="12"/>
      <c r="CJ63" s="11"/>
      <c r="CK63" s="12"/>
      <c r="CL63" s="11"/>
      <c r="CM63" s="11"/>
      <c r="CN63" s="11"/>
      <c r="CO63" s="11"/>
      <c r="CP63" s="11"/>
      <c r="CQ63" s="11"/>
      <c r="CR63" s="11"/>
      <c r="CS63" s="11"/>
      <c r="CT63" s="11"/>
      <c r="CU63" s="11"/>
    </row>
    <row r="64" spans="59:99" x14ac:dyDescent="0.3">
      <c r="BG64" s="14" t="s">
        <v>113</v>
      </c>
      <c r="BH64" s="13" t="s">
        <v>1531</v>
      </c>
      <c r="BI64" s="12">
        <v>1</v>
      </c>
      <c r="BJ64" s="11" t="s">
        <v>1532</v>
      </c>
      <c r="BK64" s="12">
        <v>1</v>
      </c>
      <c r="BL64" s="13" t="s">
        <v>1533</v>
      </c>
      <c r="BM64" s="12">
        <v>1</v>
      </c>
      <c r="BN64" s="11" t="s">
        <v>1534</v>
      </c>
      <c r="BO64" s="12">
        <v>1</v>
      </c>
      <c r="BP64" s="11" t="s">
        <v>1535</v>
      </c>
      <c r="BQ64" s="12">
        <v>1</v>
      </c>
      <c r="BR64" s="11" t="s">
        <v>1536</v>
      </c>
      <c r="BS64" s="12">
        <v>1</v>
      </c>
      <c r="BT64" s="11" t="s">
        <v>1537</v>
      </c>
      <c r="BU64" s="12">
        <v>1</v>
      </c>
      <c r="BV64" s="11" t="s">
        <v>1538</v>
      </c>
      <c r="BW64" s="12">
        <v>1</v>
      </c>
      <c r="BX64" s="11"/>
      <c r="BY64" s="12"/>
      <c r="BZ64" s="11"/>
      <c r="CA64" s="12"/>
      <c r="CB64" s="11"/>
      <c r="CC64" s="12"/>
      <c r="CD64" s="11"/>
      <c r="CE64" s="12"/>
      <c r="CF64" s="11"/>
      <c r="CG64" s="12"/>
      <c r="CH64" s="11"/>
      <c r="CI64" s="12"/>
      <c r="CJ64" s="11"/>
      <c r="CK64" s="12"/>
      <c r="CL64" s="11"/>
      <c r="CM64" s="11"/>
      <c r="CN64" s="11"/>
      <c r="CO64" s="11"/>
      <c r="CP64" s="11"/>
      <c r="CQ64" s="11"/>
      <c r="CR64" s="11"/>
      <c r="CS64" s="11"/>
      <c r="CT64" s="11"/>
      <c r="CU64" s="11"/>
    </row>
    <row r="65" spans="59:99" x14ac:dyDescent="0.3">
      <c r="BG65" s="14" t="s">
        <v>111</v>
      </c>
      <c r="BH65" s="13" t="s">
        <v>1539</v>
      </c>
      <c r="BI65" s="12">
        <v>7</v>
      </c>
      <c r="BJ65" s="11" t="s">
        <v>1540</v>
      </c>
      <c r="BK65" s="12">
        <v>1</v>
      </c>
      <c r="BL65" s="13" t="s">
        <v>1541</v>
      </c>
      <c r="BM65" s="12">
        <v>1</v>
      </c>
      <c r="BN65" s="11" t="s">
        <v>1542</v>
      </c>
      <c r="BO65" s="12">
        <v>1</v>
      </c>
      <c r="BP65" s="13" t="s">
        <v>1543</v>
      </c>
      <c r="BQ65" s="12">
        <v>1</v>
      </c>
      <c r="BR65" s="11"/>
      <c r="BS65" s="12"/>
      <c r="BT65" s="11"/>
      <c r="BU65" s="12"/>
      <c r="BV65" s="11"/>
      <c r="BW65" s="12"/>
      <c r="BX65" s="11"/>
      <c r="BY65" s="12"/>
      <c r="BZ65" s="11"/>
      <c r="CA65" s="12"/>
      <c r="CB65" s="11"/>
      <c r="CC65" s="12"/>
      <c r="CD65" s="11"/>
      <c r="CE65" s="12"/>
      <c r="CF65" s="11"/>
      <c r="CG65" s="12"/>
      <c r="CH65" s="11"/>
      <c r="CI65" s="12"/>
      <c r="CJ65" s="11"/>
      <c r="CK65" s="12"/>
      <c r="CL65" s="11"/>
      <c r="CM65" s="11"/>
      <c r="CN65" s="11"/>
      <c r="CO65" s="11"/>
      <c r="CP65" s="11"/>
      <c r="CQ65" s="11"/>
      <c r="CR65" s="11"/>
      <c r="CS65" s="11"/>
      <c r="CT65" s="11"/>
      <c r="CU65" s="11"/>
    </row>
    <row r="66" spans="59:99" x14ac:dyDescent="0.3">
      <c r="BG66" s="14" t="s">
        <v>108</v>
      </c>
      <c r="BH66" s="13" t="s">
        <v>1544</v>
      </c>
      <c r="BI66" s="12">
        <v>2</v>
      </c>
      <c r="BJ66" s="13" t="s">
        <v>1545</v>
      </c>
      <c r="BK66" s="12">
        <v>1</v>
      </c>
      <c r="BL66" s="11" t="s">
        <v>1546</v>
      </c>
      <c r="BM66" s="12">
        <v>1</v>
      </c>
      <c r="BN66" s="11"/>
      <c r="BO66" s="12"/>
      <c r="BP66" s="11"/>
      <c r="BQ66" s="12"/>
      <c r="BR66" s="11"/>
      <c r="BS66" s="12"/>
      <c r="BT66" s="11"/>
      <c r="BU66" s="12"/>
      <c r="BV66" s="11"/>
      <c r="BW66" s="12"/>
      <c r="BX66" s="11"/>
      <c r="BY66" s="12"/>
      <c r="BZ66" s="11"/>
      <c r="CA66" s="12"/>
      <c r="CB66" s="11"/>
      <c r="CC66" s="12"/>
      <c r="CD66" s="11"/>
      <c r="CE66" s="12"/>
      <c r="CF66" s="11"/>
      <c r="CG66" s="12"/>
      <c r="CH66" s="11"/>
      <c r="CI66" s="12"/>
      <c r="CJ66" s="11"/>
      <c r="CK66" s="12"/>
      <c r="CL66" s="11"/>
      <c r="CM66" s="11"/>
      <c r="CN66" s="11"/>
      <c r="CO66" s="11"/>
      <c r="CP66" s="11"/>
      <c r="CQ66" s="11"/>
      <c r="CR66" s="11"/>
      <c r="CS66" s="11"/>
      <c r="CT66" s="11"/>
      <c r="CU66" s="11"/>
    </row>
    <row r="67" spans="59:99" x14ac:dyDescent="0.3">
      <c r="BG67" s="14" t="s">
        <v>127</v>
      </c>
      <c r="BH67" s="13"/>
      <c r="BI67" s="12"/>
      <c r="BJ67" s="11"/>
      <c r="BK67" s="12"/>
      <c r="BL67" s="13"/>
      <c r="BM67" s="12"/>
      <c r="BN67" s="11"/>
      <c r="BO67" s="12"/>
      <c r="BP67" s="13"/>
      <c r="BQ67" s="12"/>
      <c r="BR67" s="11"/>
      <c r="BS67" s="12"/>
      <c r="BT67" s="11"/>
      <c r="BU67" s="12"/>
      <c r="BV67" s="11"/>
      <c r="BW67" s="12"/>
      <c r="BX67" s="11"/>
      <c r="BY67" s="12"/>
      <c r="BZ67" s="11"/>
      <c r="CA67" s="12"/>
      <c r="CB67" s="11"/>
      <c r="CC67" s="12"/>
      <c r="CD67" s="11"/>
      <c r="CE67" s="12"/>
      <c r="CF67" s="11"/>
      <c r="CG67" s="12"/>
      <c r="CH67" s="11"/>
      <c r="CI67" s="12"/>
      <c r="CJ67" s="11"/>
      <c r="CK67" s="12"/>
      <c r="CL67" s="11"/>
      <c r="CM67" s="11"/>
      <c r="CN67" s="11"/>
      <c r="CO67" s="11"/>
      <c r="CP67" s="11"/>
      <c r="CQ67" s="11"/>
      <c r="CR67" s="11"/>
      <c r="CS67" s="11"/>
      <c r="CT67" s="11"/>
      <c r="CU67" s="11"/>
    </row>
    <row r="68" spans="59:99" x14ac:dyDescent="0.3">
      <c r="BG68" s="14" t="s">
        <v>103</v>
      </c>
      <c r="BH68" s="13" t="s">
        <v>1547</v>
      </c>
      <c r="BI68" s="12">
        <v>1</v>
      </c>
      <c r="BJ68" s="11" t="s">
        <v>1548</v>
      </c>
      <c r="BK68" s="12">
        <v>0</v>
      </c>
      <c r="BL68" s="13" t="s">
        <v>1549</v>
      </c>
      <c r="BM68" s="12">
        <v>0</v>
      </c>
      <c r="BN68" s="11" t="s">
        <v>1550</v>
      </c>
      <c r="BO68" s="12">
        <v>1</v>
      </c>
      <c r="BP68" s="11" t="s">
        <v>1551</v>
      </c>
      <c r="BQ68" s="12">
        <v>0</v>
      </c>
      <c r="BR68" s="11" t="s">
        <v>1552</v>
      </c>
      <c r="BS68" s="12">
        <v>0</v>
      </c>
      <c r="BT68" s="11" t="s">
        <v>1553</v>
      </c>
      <c r="BU68" s="12">
        <v>0</v>
      </c>
      <c r="BV68" s="11"/>
      <c r="BW68" s="12"/>
      <c r="BX68" s="11"/>
      <c r="BY68" s="12"/>
      <c r="BZ68" s="11"/>
      <c r="CA68" s="12"/>
      <c r="CB68" s="11"/>
      <c r="CC68" s="12"/>
      <c r="CD68" s="11"/>
      <c r="CE68" s="12"/>
      <c r="CF68" s="11"/>
      <c r="CG68" s="12"/>
      <c r="CH68" s="11"/>
      <c r="CI68" s="12"/>
      <c r="CJ68" s="11"/>
      <c r="CK68" s="12"/>
      <c r="CL68" s="11"/>
      <c r="CM68" s="11"/>
      <c r="CN68" s="11"/>
      <c r="CO68" s="11"/>
      <c r="CP68" s="11"/>
      <c r="CQ68" s="11"/>
      <c r="CR68" s="11"/>
      <c r="CS68" s="11"/>
      <c r="CT68" s="11"/>
      <c r="CU68" s="11"/>
    </row>
    <row r="69" spans="59:99" x14ac:dyDescent="0.3">
      <c r="BG69" s="14" t="s">
        <v>96</v>
      </c>
      <c r="BH69" s="13" t="s">
        <v>1554</v>
      </c>
      <c r="BI69" s="12">
        <v>0</v>
      </c>
      <c r="BJ69" s="11" t="s">
        <v>1555</v>
      </c>
      <c r="BK69" s="12">
        <v>1</v>
      </c>
      <c r="BL69" s="13" t="s">
        <v>1556</v>
      </c>
      <c r="BM69" s="12">
        <v>1</v>
      </c>
      <c r="BN69" s="11" t="s">
        <v>1557</v>
      </c>
      <c r="BO69" s="12">
        <v>0</v>
      </c>
      <c r="BP69" s="13" t="s">
        <v>1558</v>
      </c>
      <c r="BQ69" s="12">
        <v>0</v>
      </c>
      <c r="BR69" s="11" t="s">
        <v>1559</v>
      </c>
      <c r="BS69" s="12">
        <v>0</v>
      </c>
      <c r="BT69" s="11" t="s">
        <v>1560</v>
      </c>
      <c r="BU69" s="12">
        <v>0</v>
      </c>
      <c r="BV69" s="11" t="s">
        <v>1561</v>
      </c>
      <c r="BW69" s="12">
        <v>0</v>
      </c>
      <c r="BX69" s="11" t="s">
        <v>1530</v>
      </c>
      <c r="BY69" s="12">
        <v>0</v>
      </c>
      <c r="BZ69" s="11"/>
      <c r="CA69" s="12"/>
      <c r="CB69" s="11"/>
      <c r="CC69" s="12"/>
      <c r="CD69" s="11"/>
      <c r="CE69" s="12"/>
      <c r="CF69" s="11"/>
      <c r="CG69" s="12"/>
      <c r="CH69" s="11"/>
      <c r="CI69" s="12"/>
      <c r="CJ69" s="11"/>
      <c r="CK69" s="12"/>
      <c r="CL69" s="11"/>
      <c r="CM69" s="11"/>
      <c r="CN69" s="11"/>
      <c r="CO69" s="11"/>
      <c r="CP69" s="11"/>
      <c r="CQ69" s="11"/>
      <c r="CR69" s="11"/>
      <c r="CS69" s="11"/>
      <c r="CT69" s="11"/>
      <c r="CU69" s="11"/>
    </row>
    <row r="70" spans="59:99" x14ac:dyDescent="0.3">
      <c r="BG70" s="14" t="s">
        <v>142</v>
      </c>
      <c r="BH70" s="11" t="s">
        <v>1562</v>
      </c>
      <c r="BI70" s="12">
        <v>6</v>
      </c>
      <c r="BJ70" s="13" t="s">
        <v>1563</v>
      </c>
      <c r="BK70" s="12">
        <v>2</v>
      </c>
      <c r="BL70" s="11" t="s">
        <v>1564</v>
      </c>
      <c r="BM70" s="12">
        <v>2</v>
      </c>
      <c r="BN70" s="13" t="s">
        <v>1565</v>
      </c>
      <c r="BO70" s="12">
        <v>0</v>
      </c>
      <c r="BP70" s="11" t="s">
        <v>1566</v>
      </c>
      <c r="BQ70" s="12">
        <v>0</v>
      </c>
      <c r="BR70" s="11" t="s">
        <v>1567</v>
      </c>
      <c r="BS70" s="12">
        <v>0</v>
      </c>
      <c r="BT70" s="11"/>
      <c r="BU70" s="12"/>
      <c r="BV70" s="11"/>
      <c r="BW70" s="12"/>
      <c r="BX70" s="11"/>
      <c r="BY70" s="12"/>
      <c r="BZ70" s="11"/>
      <c r="CA70" s="12"/>
      <c r="CB70" s="11"/>
      <c r="CC70" s="12"/>
      <c r="CD70" s="11"/>
      <c r="CE70" s="12"/>
      <c r="CF70" s="11"/>
      <c r="CG70" s="12"/>
      <c r="CH70" s="11"/>
      <c r="CI70" s="12"/>
      <c r="CJ70" s="11"/>
      <c r="CK70" s="12"/>
      <c r="CL70" s="11"/>
      <c r="CM70" s="11"/>
      <c r="CN70" s="11"/>
      <c r="CO70" s="11"/>
      <c r="CP70" s="11"/>
      <c r="CQ70" s="11"/>
      <c r="CR70" s="11"/>
      <c r="CS70" s="11"/>
      <c r="CT70" s="11"/>
      <c r="CU70" s="11"/>
    </row>
    <row r="71" spans="59:99" x14ac:dyDescent="0.3">
      <c r="BG71" s="14" t="s">
        <v>165</v>
      </c>
      <c r="BH71" s="13"/>
      <c r="BI71" s="12"/>
      <c r="BJ71" s="11"/>
      <c r="BK71" s="12"/>
      <c r="BL71" s="13"/>
      <c r="BM71" s="12"/>
      <c r="BN71" s="11"/>
      <c r="BO71" s="12"/>
      <c r="BP71" s="13"/>
      <c r="BQ71" s="12"/>
      <c r="BR71" s="11"/>
      <c r="BS71" s="12"/>
      <c r="BT71" s="13"/>
      <c r="BU71" s="12"/>
      <c r="BV71" s="11"/>
      <c r="BW71" s="12"/>
      <c r="BX71" s="13"/>
      <c r="BY71" s="12"/>
      <c r="BZ71" s="11"/>
      <c r="CA71" s="12"/>
      <c r="CB71" s="11"/>
      <c r="CC71" s="12"/>
      <c r="CD71" s="11"/>
      <c r="CE71" s="12"/>
      <c r="CF71" s="11"/>
      <c r="CG71" s="12"/>
      <c r="CH71" s="11"/>
      <c r="CI71" s="12"/>
      <c r="CJ71" s="11"/>
      <c r="CK71" s="12"/>
      <c r="CL71" s="11"/>
      <c r="CM71" s="11"/>
      <c r="CN71" s="11"/>
      <c r="CO71" s="11"/>
      <c r="CP71" s="11"/>
      <c r="CQ71" s="11"/>
      <c r="CR71" s="11"/>
      <c r="CS71" s="11"/>
      <c r="CT71" s="11"/>
      <c r="CU71" s="11"/>
    </row>
    <row r="72" spans="59:99" x14ac:dyDescent="0.3">
      <c r="BG72" s="14" t="s">
        <v>115</v>
      </c>
      <c r="BH72" s="13" t="s">
        <v>1568</v>
      </c>
      <c r="BI72" s="12">
        <v>3</v>
      </c>
      <c r="BJ72" s="11" t="s">
        <v>1569</v>
      </c>
      <c r="BK72" s="12">
        <v>2</v>
      </c>
      <c r="BL72" s="11" t="s">
        <v>1570</v>
      </c>
      <c r="BM72" s="12">
        <v>0</v>
      </c>
      <c r="BN72" s="11" t="s">
        <v>1571</v>
      </c>
      <c r="BO72" s="12">
        <v>0</v>
      </c>
      <c r="BP72" s="11" t="s">
        <v>1572</v>
      </c>
      <c r="BQ72" s="12">
        <v>0</v>
      </c>
      <c r="BR72" s="11" t="s">
        <v>1573</v>
      </c>
      <c r="BS72" s="12">
        <v>0</v>
      </c>
      <c r="BT72" s="11"/>
      <c r="BU72" s="12"/>
      <c r="BV72" s="11"/>
      <c r="BW72" s="12"/>
      <c r="BX72" s="11"/>
      <c r="BY72" s="12"/>
      <c r="BZ72" s="11"/>
      <c r="CA72" s="12"/>
      <c r="CB72" s="11"/>
      <c r="CC72" s="12"/>
      <c r="CD72" s="11"/>
      <c r="CE72" s="12"/>
      <c r="CF72" s="11"/>
      <c r="CG72" s="12"/>
      <c r="CH72" s="11"/>
      <c r="CI72" s="12"/>
      <c r="CJ72" s="11"/>
      <c r="CK72" s="12"/>
      <c r="CL72" s="11"/>
      <c r="CM72" s="11"/>
      <c r="CN72" s="11"/>
      <c r="CO72" s="11"/>
      <c r="CP72" s="11"/>
      <c r="CQ72" s="11"/>
      <c r="CR72" s="11"/>
      <c r="CS72" s="11"/>
      <c r="CT72" s="11"/>
      <c r="CU72" s="11"/>
    </row>
    <row r="73" spans="59:99" x14ac:dyDescent="0.3">
      <c r="BG73" s="14" t="s">
        <v>62</v>
      </c>
      <c r="BH73" s="11" t="s">
        <v>1562</v>
      </c>
      <c r="BI73" s="12">
        <v>4</v>
      </c>
      <c r="BJ73" s="13" t="s">
        <v>1574</v>
      </c>
      <c r="BK73" s="12">
        <v>1</v>
      </c>
      <c r="BL73" s="11"/>
      <c r="BM73" s="12"/>
      <c r="BN73" s="13"/>
      <c r="BO73" s="12"/>
      <c r="BP73" s="11"/>
      <c r="BQ73" s="12"/>
      <c r="BR73" s="11"/>
      <c r="BS73" s="12"/>
      <c r="BT73" s="11"/>
      <c r="BU73" s="12"/>
      <c r="BV73" s="11"/>
      <c r="BW73" s="12"/>
      <c r="BX73" s="11"/>
      <c r="BY73" s="12"/>
      <c r="BZ73" s="11"/>
      <c r="CA73" s="12"/>
      <c r="CB73" s="11"/>
      <c r="CC73" s="12"/>
      <c r="CD73" s="11"/>
      <c r="CE73" s="12"/>
      <c r="CF73" s="11"/>
      <c r="CG73" s="12"/>
      <c r="CH73" s="11"/>
      <c r="CI73" s="12"/>
      <c r="CJ73" s="11"/>
      <c r="CK73" s="12"/>
      <c r="CL73" s="11"/>
      <c r="CM73" s="11"/>
      <c r="CN73" s="11"/>
      <c r="CO73" s="11"/>
      <c r="CP73" s="11"/>
      <c r="CQ73" s="11"/>
      <c r="CR73" s="11"/>
      <c r="CS73" s="11"/>
      <c r="CT73" s="11"/>
      <c r="CU73" s="11"/>
    </row>
    <row r="74" spans="59:99" x14ac:dyDescent="0.3">
      <c r="BG74" s="14" t="s">
        <v>71</v>
      </c>
      <c r="BH74" s="11" t="s">
        <v>1575</v>
      </c>
      <c r="BI74" s="12">
        <v>3</v>
      </c>
      <c r="BJ74" s="13" t="s">
        <v>1576</v>
      </c>
      <c r="BK74" s="12">
        <v>0</v>
      </c>
      <c r="BL74" s="11" t="s">
        <v>1423</v>
      </c>
      <c r="BM74" s="12">
        <v>2</v>
      </c>
      <c r="BN74" s="13" t="s">
        <v>1577</v>
      </c>
      <c r="BO74" s="12">
        <v>0</v>
      </c>
      <c r="BP74" s="11"/>
      <c r="BQ74" s="12"/>
      <c r="BR74" s="13"/>
      <c r="BS74" s="12"/>
      <c r="BT74" s="11"/>
      <c r="BU74" s="12"/>
      <c r="BV74" s="11"/>
      <c r="BW74" s="12"/>
      <c r="BX74" s="11"/>
      <c r="BY74" s="12"/>
      <c r="BZ74" s="11"/>
      <c r="CA74" s="12"/>
      <c r="CB74" s="11"/>
      <c r="CC74" s="12"/>
      <c r="CD74" s="11"/>
      <c r="CE74" s="12"/>
      <c r="CF74" s="11"/>
      <c r="CG74" s="12"/>
      <c r="CH74" s="11"/>
      <c r="CI74" s="12"/>
      <c r="CJ74" s="11"/>
      <c r="CK74" s="12"/>
      <c r="CL74" s="11"/>
      <c r="CM74" s="11"/>
      <c r="CN74" s="11"/>
      <c r="CO74" s="11"/>
      <c r="CP74" s="11"/>
      <c r="CQ74" s="11"/>
      <c r="CR74" s="11"/>
      <c r="CS74" s="11"/>
      <c r="CT74" s="11"/>
      <c r="CU74" s="11"/>
    </row>
    <row r="75" spans="59:99" x14ac:dyDescent="0.3">
      <c r="BG75" s="14" t="s">
        <v>67</v>
      </c>
      <c r="BH75" s="11" t="s">
        <v>1562</v>
      </c>
      <c r="BI75" s="12">
        <v>1</v>
      </c>
      <c r="BJ75" s="13" t="s">
        <v>1578</v>
      </c>
      <c r="BK75" s="12">
        <v>1</v>
      </c>
      <c r="BL75" s="11" t="s">
        <v>1579</v>
      </c>
      <c r="BM75" s="12">
        <v>2</v>
      </c>
      <c r="BN75" s="13" t="s">
        <v>1580</v>
      </c>
      <c r="BO75" s="12">
        <v>1</v>
      </c>
      <c r="BP75" s="11" t="s">
        <v>1581</v>
      </c>
      <c r="BQ75" s="12">
        <v>0</v>
      </c>
      <c r="BR75" s="13"/>
      <c r="BS75" s="12"/>
      <c r="BT75" s="11"/>
      <c r="BU75" s="12"/>
      <c r="BV75" s="11"/>
      <c r="BW75" s="12"/>
      <c r="BX75" s="11"/>
      <c r="BY75" s="12"/>
      <c r="BZ75" s="11"/>
      <c r="CA75" s="12"/>
      <c r="CB75" s="11"/>
      <c r="CC75" s="12"/>
      <c r="CD75" s="11"/>
      <c r="CE75" s="12"/>
      <c r="CF75" s="11"/>
      <c r="CG75" s="12"/>
      <c r="CH75" s="11"/>
      <c r="CI75" s="12"/>
      <c r="CJ75" s="11"/>
      <c r="CK75" s="12"/>
      <c r="CL75" s="11"/>
      <c r="CM75" s="11"/>
      <c r="CN75" s="11"/>
      <c r="CO75" s="11"/>
      <c r="CP75" s="11"/>
      <c r="CQ75" s="11"/>
      <c r="CR75" s="11"/>
      <c r="CS75" s="11"/>
      <c r="CT75" s="11"/>
      <c r="CU75" s="11"/>
    </row>
    <row r="76" spans="59:99" x14ac:dyDescent="0.3">
      <c r="BG76" s="14" t="s">
        <v>64</v>
      </c>
      <c r="BH76" s="13" t="s">
        <v>1579</v>
      </c>
      <c r="BI76" s="12">
        <v>3</v>
      </c>
      <c r="BJ76" s="11" t="s">
        <v>1582</v>
      </c>
      <c r="BK76" s="12">
        <v>2</v>
      </c>
      <c r="BL76" s="13" t="s">
        <v>1583</v>
      </c>
      <c r="BM76" s="12">
        <v>0</v>
      </c>
      <c r="BN76" s="11"/>
      <c r="BO76" s="12"/>
      <c r="BP76" s="13"/>
      <c r="BQ76" s="12"/>
      <c r="BR76" s="11"/>
      <c r="BS76" s="12"/>
      <c r="BT76" s="11"/>
      <c r="BU76" s="12"/>
      <c r="BV76" s="11"/>
      <c r="BW76" s="12"/>
      <c r="BX76" s="11"/>
      <c r="BY76" s="12"/>
      <c r="BZ76" s="11"/>
      <c r="CA76" s="12"/>
      <c r="CB76" s="11"/>
      <c r="CC76" s="12"/>
      <c r="CD76" s="11"/>
      <c r="CE76" s="12"/>
      <c r="CF76" s="11"/>
      <c r="CG76" s="12"/>
      <c r="CH76" s="11"/>
      <c r="CI76" s="12"/>
      <c r="CJ76" s="11"/>
      <c r="CK76" s="12"/>
      <c r="CL76" s="11"/>
      <c r="CM76" s="11"/>
      <c r="CN76" s="11"/>
      <c r="CO76" s="11"/>
      <c r="CP76" s="11"/>
      <c r="CQ76" s="11"/>
      <c r="CR76" s="11"/>
      <c r="CS76" s="11"/>
      <c r="CT76" s="11"/>
      <c r="CU76" s="11"/>
    </row>
    <row r="77" spans="59:99" x14ac:dyDescent="0.3">
      <c r="BG77" s="14" t="s">
        <v>68</v>
      </c>
      <c r="BH77" s="11" t="s">
        <v>1579</v>
      </c>
      <c r="BI77" s="12">
        <v>3</v>
      </c>
      <c r="BJ77" s="13" t="s">
        <v>1584</v>
      </c>
      <c r="BK77" s="12">
        <v>1</v>
      </c>
      <c r="BL77" s="11" t="s">
        <v>1585</v>
      </c>
      <c r="BM77" s="12">
        <v>1</v>
      </c>
      <c r="BN77" s="13"/>
      <c r="BO77" s="12"/>
      <c r="BP77" s="11"/>
      <c r="BQ77" s="12"/>
      <c r="BR77" s="11"/>
      <c r="BS77" s="12"/>
      <c r="BT77" s="11"/>
      <c r="BU77" s="12"/>
      <c r="BV77" s="11"/>
      <c r="BW77" s="12"/>
      <c r="BX77" s="11"/>
      <c r="BY77" s="12"/>
      <c r="BZ77" s="11"/>
      <c r="CA77" s="12"/>
      <c r="CB77" s="11"/>
      <c r="CC77" s="12"/>
      <c r="CD77" s="11"/>
      <c r="CE77" s="12"/>
      <c r="CF77" s="11"/>
      <c r="CG77" s="12"/>
      <c r="CH77" s="11"/>
      <c r="CI77" s="12"/>
      <c r="CJ77" s="11"/>
      <c r="CK77" s="12"/>
      <c r="CL77" s="11"/>
      <c r="CM77" s="11"/>
      <c r="CN77" s="11"/>
      <c r="CO77" s="11"/>
      <c r="CP77" s="11"/>
      <c r="CQ77" s="11"/>
      <c r="CR77" s="11"/>
      <c r="CS77" s="11"/>
      <c r="CT77" s="11"/>
      <c r="CU77" s="11"/>
    </row>
    <row r="78" spans="59:99" x14ac:dyDescent="0.3">
      <c r="BG78" s="14" t="s">
        <v>187</v>
      </c>
      <c r="BH78" s="13"/>
      <c r="BI78" s="12"/>
      <c r="BJ78" s="11"/>
      <c r="BK78" s="12"/>
      <c r="BL78" s="13"/>
      <c r="BM78" s="12"/>
      <c r="BN78" s="11"/>
      <c r="BO78" s="12"/>
      <c r="BP78" s="11"/>
      <c r="BQ78" s="12"/>
      <c r="BR78" s="11"/>
      <c r="BS78" s="12"/>
      <c r="BT78" s="11"/>
      <c r="BU78" s="12"/>
      <c r="BV78" s="11"/>
      <c r="BW78" s="12"/>
      <c r="BX78" s="11"/>
      <c r="BY78" s="12"/>
      <c r="BZ78" s="11"/>
      <c r="CA78" s="12"/>
      <c r="CB78" s="11"/>
      <c r="CC78" s="12"/>
      <c r="CD78" s="11"/>
      <c r="CE78" s="12"/>
      <c r="CF78" s="11"/>
      <c r="CG78" s="12"/>
      <c r="CH78" s="11"/>
      <c r="CI78" s="12"/>
      <c r="CJ78" s="11"/>
      <c r="CK78" s="12"/>
      <c r="CL78" s="11"/>
      <c r="CM78" s="11"/>
      <c r="CN78" s="11"/>
      <c r="CO78" s="11"/>
      <c r="CP78" s="11"/>
      <c r="CQ78" s="11"/>
      <c r="CR78" s="11"/>
      <c r="CS78" s="11"/>
      <c r="CT78" s="11"/>
      <c r="CU78" s="11"/>
    </row>
    <row r="79" spans="59:99" x14ac:dyDescent="0.3">
      <c r="BG79" s="14" t="s">
        <v>221</v>
      </c>
      <c r="BH79" s="13"/>
      <c r="BI79" s="12"/>
      <c r="BJ79" s="11"/>
      <c r="BK79" s="12"/>
      <c r="BL79" s="13"/>
      <c r="BM79" s="12"/>
      <c r="BN79" s="11"/>
      <c r="BO79" s="12"/>
      <c r="BP79" s="13"/>
      <c r="BQ79" s="12"/>
      <c r="BR79" s="11"/>
      <c r="BS79" s="12"/>
      <c r="BT79" s="13"/>
      <c r="BU79" s="12"/>
      <c r="BV79" s="11"/>
      <c r="BW79" s="12"/>
      <c r="BX79" s="11"/>
      <c r="BY79" s="12"/>
      <c r="BZ79" s="11"/>
      <c r="CA79" s="12"/>
      <c r="CB79" s="11"/>
      <c r="CC79" s="12"/>
      <c r="CD79" s="11"/>
      <c r="CE79" s="12"/>
      <c r="CF79" s="11"/>
      <c r="CG79" s="12"/>
      <c r="CH79" s="11"/>
      <c r="CI79" s="12"/>
      <c r="CJ79" s="11"/>
      <c r="CK79" s="12"/>
      <c r="CL79" s="11"/>
      <c r="CM79" s="11"/>
      <c r="CN79" s="11"/>
      <c r="CO79" s="11"/>
      <c r="CP79" s="11"/>
      <c r="CQ79" s="11"/>
      <c r="CR79" s="11"/>
      <c r="CS79" s="11"/>
      <c r="CT79" s="11"/>
      <c r="CU79" s="11"/>
    </row>
    <row r="80" spans="59:99" x14ac:dyDescent="0.3">
      <c r="BG80" s="14" t="s">
        <v>76</v>
      </c>
      <c r="BH80" s="11" t="s">
        <v>99</v>
      </c>
      <c r="BI80" s="12">
        <v>5</v>
      </c>
      <c r="BJ80" s="13" t="s">
        <v>1402</v>
      </c>
      <c r="BK80" s="12">
        <v>5</v>
      </c>
      <c r="BL80" s="11" t="s">
        <v>1436</v>
      </c>
      <c r="BM80" s="12">
        <v>5</v>
      </c>
      <c r="BN80" s="13" t="s">
        <v>1586</v>
      </c>
      <c r="BO80" s="12">
        <v>2</v>
      </c>
      <c r="BP80" s="11"/>
      <c r="BQ80" s="12"/>
      <c r="BR80" s="11"/>
      <c r="BS80" s="12"/>
      <c r="BT80" s="11"/>
      <c r="BU80" s="12"/>
      <c r="BV80" s="11"/>
      <c r="BW80" s="12"/>
      <c r="BX80" s="11"/>
      <c r="BY80" s="12"/>
      <c r="BZ80" s="11"/>
      <c r="CA80" s="12"/>
      <c r="CB80" s="11"/>
      <c r="CC80" s="12"/>
      <c r="CD80" s="11"/>
      <c r="CE80" s="12"/>
      <c r="CF80" s="11"/>
      <c r="CG80" s="12"/>
      <c r="CH80" s="11"/>
      <c r="CI80" s="12"/>
      <c r="CJ80" s="11"/>
      <c r="CK80" s="12"/>
      <c r="CL80" s="11"/>
      <c r="CM80" s="11"/>
      <c r="CN80" s="11"/>
      <c r="CO80" s="11"/>
      <c r="CP80" s="11"/>
      <c r="CQ80" s="11"/>
      <c r="CR80" s="11"/>
      <c r="CS80" s="11"/>
      <c r="CT80" s="11"/>
      <c r="CU80" s="11"/>
    </row>
    <row r="81" spans="59:99" x14ac:dyDescent="0.3">
      <c r="BG81" s="14" t="s">
        <v>51</v>
      </c>
      <c r="BH81" s="11" t="s">
        <v>99</v>
      </c>
      <c r="BI81" s="12">
        <v>2</v>
      </c>
      <c r="BJ81" s="13" t="s">
        <v>1402</v>
      </c>
      <c r="BK81" s="12">
        <v>5</v>
      </c>
      <c r="BL81" s="11" t="s">
        <v>1520</v>
      </c>
      <c r="BM81" s="12">
        <v>2</v>
      </c>
      <c r="BN81" s="11" t="s">
        <v>1436</v>
      </c>
      <c r="BO81" s="12">
        <v>2</v>
      </c>
      <c r="BP81" s="11" t="s">
        <v>1587</v>
      </c>
      <c r="BQ81" s="12">
        <v>2</v>
      </c>
      <c r="BR81" s="11" t="s">
        <v>1586</v>
      </c>
      <c r="BS81" s="12">
        <v>2</v>
      </c>
      <c r="BT81" s="11"/>
      <c r="BU81" s="12"/>
      <c r="BV81" s="11"/>
      <c r="BW81" s="12"/>
      <c r="BX81" s="11"/>
      <c r="BY81" s="12"/>
      <c r="BZ81" s="11"/>
      <c r="CA81" s="12"/>
      <c r="CB81" s="11"/>
      <c r="CC81" s="12"/>
      <c r="CD81" s="11"/>
      <c r="CE81" s="12"/>
      <c r="CF81" s="11"/>
      <c r="CG81" s="12"/>
      <c r="CH81" s="11"/>
      <c r="CI81" s="12"/>
      <c r="CJ81" s="11"/>
      <c r="CK81" s="12"/>
      <c r="CL81" s="11"/>
      <c r="CM81" s="11"/>
      <c r="CN81" s="11"/>
      <c r="CO81" s="11"/>
      <c r="CP81" s="11"/>
      <c r="CQ81" s="11"/>
      <c r="CR81" s="11"/>
      <c r="CS81" s="11"/>
      <c r="CT81" s="11"/>
      <c r="CU81" s="11"/>
    </row>
    <row r="82" spans="59:99" x14ac:dyDescent="0.3">
      <c r="BG82" s="14" t="s">
        <v>55</v>
      </c>
      <c r="BH82" s="13" t="s">
        <v>99</v>
      </c>
      <c r="BI82" s="12">
        <v>5</v>
      </c>
      <c r="BJ82" s="11" t="s">
        <v>1402</v>
      </c>
      <c r="BK82" s="12">
        <v>5</v>
      </c>
      <c r="BL82" s="13" t="s">
        <v>1436</v>
      </c>
      <c r="BM82" s="12">
        <v>5</v>
      </c>
      <c r="BN82" s="11"/>
      <c r="BO82" s="12"/>
      <c r="BP82" s="11"/>
      <c r="BQ82" s="12"/>
      <c r="BR82" s="11"/>
      <c r="BS82" s="12"/>
      <c r="BT82" s="11"/>
      <c r="BU82" s="12"/>
      <c r="BV82" s="11"/>
      <c r="BW82" s="12"/>
      <c r="BX82" s="11"/>
      <c r="BY82" s="12"/>
      <c r="BZ82" s="11"/>
      <c r="CA82" s="12"/>
      <c r="CB82" s="11"/>
      <c r="CC82" s="12"/>
      <c r="CD82" s="11"/>
      <c r="CE82" s="12"/>
      <c r="CF82" s="11"/>
      <c r="CG82" s="12"/>
      <c r="CH82" s="11"/>
      <c r="CI82" s="12"/>
      <c r="CJ82" s="11"/>
      <c r="CK82" s="12"/>
      <c r="CL82" s="11"/>
      <c r="CM82" s="11"/>
      <c r="CN82" s="11"/>
      <c r="CO82" s="11"/>
      <c r="CP82" s="11"/>
      <c r="CQ82" s="11"/>
      <c r="CR82" s="11"/>
      <c r="CS82" s="11"/>
      <c r="CT82" s="11"/>
      <c r="CU82" s="11"/>
    </row>
    <row r="83" spans="59:99" x14ac:dyDescent="0.3">
      <c r="BG83" s="14" t="s">
        <v>80</v>
      </c>
      <c r="BH83" s="11" t="s">
        <v>99</v>
      </c>
      <c r="BI83" s="12">
        <v>2</v>
      </c>
      <c r="BJ83" s="13" t="s">
        <v>1402</v>
      </c>
      <c r="BK83" s="12">
        <v>5</v>
      </c>
      <c r="BL83" s="11" t="s">
        <v>1436</v>
      </c>
      <c r="BM83" s="12">
        <v>3</v>
      </c>
      <c r="BN83" s="13" t="s">
        <v>1586</v>
      </c>
      <c r="BO83" s="12">
        <v>2</v>
      </c>
      <c r="BP83" s="11"/>
      <c r="BQ83" s="12"/>
      <c r="BR83" s="11"/>
      <c r="BS83" s="12"/>
      <c r="BT83" s="11"/>
      <c r="BU83" s="12"/>
      <c r="BV83" s="11"/>
      <c r="BW83" s="12"/>
      <c r="BX83" s="11"/>
      <c r="BY83" s="12"/>
      <c r="BZ83" s="11"/>
      <c r="CA83" s="12"/>
      <c r="CB83" s="11"/>
      <c r="CC83" s="12"/>
      <c r="CD83" s="11"/>
      <c r="CE83" s="12"/>
      <c r="CF83" s="11"/>
      <c r="CG83" s="12"/>
      <c r="CH83" s="11"/>
      <c r="CI83" s="12"/>
      <c r="CJ83" s="11"/>
      <c r="CK83" s="12"/>
      <c r="CL83" s="11"/>
      <c r="CM83" s="11"/>
      <c r="CN83" s="11"/>
      <c r="CO83" s="11"/>
      <c r="CP83" s="11"/>
      <c r="CQ83" s="11"/>
      <c r="CR83" s="11"/>
      <c r="CS83" s="11"/>
      <c r="CT83" s="11"/>
      <c r="CU83" s="11"/>
    </row>
    <row r="84" spans="59:99" x14ac:dyDescent="0.3">
      <c r="BG84" s="14" t="s">
        <v>144</v>
      </c>
      <c r="BH84" s="13" t="s">
        <v>1588</v>
      </c>
      <c r="BI84" s="12">
        <v>3</v>
      </c>
      <c r="BJ84" s="11" t="s">
        <v>1589</v>
      </c>
      <c r="BK84" s="12">
        <v>5</v>
      </c>
      <c r="BL84" s="13" t="s">
        <v>1590</v>
      </c>
      <c r="BM84" s="12">
        <v>3</v>
      </c>
      <c r="BN84" s="11" t="s">
        <v>1591</v>
      </c>
      <c r="BO84" s="12">
        <v>3</v>
      </c>
      <c r="BP84" s="13" t="s">
        <v>198</v>
      </c>
      <c r="BQ84" s="12">
        <v>1</v>
      </c>
      <c r="BR84" s="11"/>
      <c r="BS84" s="12"/>
      <c r="BT84" s="11"/>
      <c r="BU84" s="12"/>
      <c r="BV84" s="11"/>
      <c r="BW84" s="12"/>
      <c r="BX84" s="11"/>
      <c r="BY84" s="12"/>
      <c r="BZ84" s="11"/>
      <c r="CA84" s="12"/>
      <c r="CB84" s="11"/>
      <c r="CC84" s="12"/>
      <c r="CD84" s="11"/>
      <c r="CE84" s="12"/>
      <c r="CF84" s="11"/>
      <c r="CG84" s="12"/>
      <c r="CH84" s="11"/>
      <c r="CI84" s="12"/>
      <c r="CJ84" s="11"/>
      <c r="CK84" s="12"/>
      <c r="CL84" s="11"/>
      <c r="CM84" s="11"/>
      <c r="CN84" s="11"/>
      <c r="CO84" s="11"/>
      <c r="CP84" s="11"/>
      <c r="CQ84" s="11"/>
      <c r="CR84" s="11"/>
      <c r="CS84" s="11"/>
      <c r="CT84" s="11"/>
      <c r="CU84" s="11"/>
    </row>
    <row r="85" spans="59:99" x14ac:dyDescent="0.3">
      <c r="BG85" s="14" t="s">
        <v>123</v>
      </c>
      <c r="BH85" s="13" t="s">
        <v>1592</v>
      </c>
      <c r="BI85" s="12">
        <v>1</v>
      </c>
      <c r="BJ85" s="11" t="s">
        <v>1593</v>
      </c>
      <c r="BK85" s="12">
        <v>3</v>
      </c>
      <c r="BL85" s="13" t="s">
        <v>1427</v>
      </c>
      <c r="BM85" s="12">
        <v>1</v>
      </c>
      <c r="BN85" s="11" t="s">
        <v>1429</v>
      </c>
      <c r="BO85" s="12">
        <v>3</v>
      </c>
      <c r="BP85" s="11"/>
      <c r="BQ85" s="12"/>
      <c r="BR85" s="11"/>
      <c r="BS85" s="12"/>
      <c r="BT85" s="11"/>
      <c r="BU85" s="12"/>
      <c r="BV85" s="11"/>
      <c r="BW85" s="12"/>
      <c r="BX85" s="11"/>
      <c r="BY85" s="12"/>
      <c r="BZ85" s="11"/>
      <c r="CA85" s="12"/>
      <c r="CB85" s="11"/>
      <c r="CC85" s="12"/>
      <c r="CD85" s="11"/>
      <c r="CE85" s="12"/>
      <c r="CF85" s="11"/>
      <c r="CG85" s="12"/>
      <c r="CH85" s="11"/>
      <c r="CI85" s="12"/>
      <c r="CJ85" s="11"/>
      <c r="CK85" s="12"/>
      <c r="CL85" s="11"/>
      <c r="CM85" s="11"/>
      <c r="CN85" s="11"/>
      <c r="CO85" s="11"/>
      <c r="CP85" s="11"/>
      <c r="CQ85" s="11"/>
      <c r="CR85" s="11"/>
      <c r="CS85" s="11"/>
      <c r="CT85" s="11"/>
      <c r="CU85" s="11"/>
    </row>
    <row r="86" spans="59:99" x14ac:dyDescent="0.3">
      <c r="BG86" s="14" t="s">
        <v>147</v>
      </c>
      <c r="BH86" s="13"/>
      <c r="BI86" s="12"/>
      <c r="BJ86" s="11"/>
      <c r="BK86" s="12"/>
      <c r="BL86" s="13"/>
      <c r="BM86" s="12"/>
      <c r="BN86" s="11"/>
      <c r="BO86" s="12"/>
      <c r="BP86" s="13"/>
      <c r="BQ86" s="12"/>
      <c r="BR86" s="11"/>
      <c r="BS86" s="12"/>
      <c r="BT86" s="11"/>
      <c r="BU86" s="12"/>
      <c r="BV86" s="11"/>
      <c r="BW86" s="12"/>
      <c r="BX86" s="11"/>
      <c r="BY86" s="12"/>
      <c r="BZ86" s="11"/>
      <c r="CA86" s="12"/>
      <c r="CB86" s="11"/>
      <c r="CC86" s="12"/>
      <c r="CD86" s="11"/>
      <c r="CE86" s="12"/>
      <c r="CF86" s="11"/>
      <c r="CG86" s="12"/>
      <c r="CH86" s="11"/>
      <c r="CI86" s="12"/>
      <c r="CJ86" s="11"/>
      <c r="CK86" s="12"/>
      <c r="CL86" s="11"/>
      <c r="CM86" s="11"/>
      <c r="CN86" s="11"/>
      <c r="CO86" s="11"/>
      <c r="CP86" s="11"/>
      <c r="CQ86" s="11"/>
      <c r="CR86" s="11"/>
      <c r="CS86" s="11"/>
      <c r="CT86" s="11"/>
      <c r="CU86" s="11"/>
    </row>
    <row r="87" spans="59:99" x14ac:dyDescent="0.3">
      <c r="BG87" s="14" t="s">
        <v>148</v>
      </c>
      <c r="BH87" s="13" t="s">
        <v>274</v>
      </c>
      <c r="BI87" s="12">
        <v>2</v>
      </c>
      <c r="BJ87" s="11" t="s">
        <v>275</v>
      </c>
      <c r="BK87" s="12">
        <v>2</v>
      </c>
      <c r="BL87" s="13" t="s">
        <v>175</v>
      </c>
      <c r="BM87" s="12">
        <v>2</v>
      </c>
      <c r="BN87" s="11" t="s">
        <v>191</v>
      </c>
      <c r="BO87" s="12">
        <v>2</v>
      </c>
      <c r="BP87" s="13" t="s">
        <v>309</v>
      </c>
      <c r="BQ87" s="12">
        <v>2</v>
      </c>
      <c r="BR87" s="11" t="s">
        <v>1594</v>
      </c>
      <c r="BS87" s="12">
        <v>2</v>
      </c>
      <c r="BT87" s="11" t="s">
        <v>286</v>
      </c>
      <c r="BU87" s="12">
        <v>2</v>
      </c>
      <c r="BV87" s="11"/>
      <c r="BW87" s="12"/>
      <c r="BX87" s="11"/>
      <c r="BY87" s="12"/>
      <c r="BZ87" s="11"/>
      <c r="CA87" s="12"/>
      <c r="CB87" s="11"/>
      <c r="CC87" s="12"/>
      <c r="CD87" s="11"/>
      <c r="CE87" s="12"/>
      <c r="CF87" s="11"/>
      <c r="CG87" s="12"/>
      <c r="CH87" s="11"/>
      <c r="CI87" s="12"/>
      <c r="CJ87" s="11"/>
      <c r="CK87" s="12"/>
      <c r="CL87" s="11"/>
      <c r="CM87" s="11"/>
      <c r="CN87" s="11"/>
      <c r="CO87" s="11"/>
      <c r="CP87" s="11"/>
      <c r="CQ87" s="11"/>
      <c r="CR87" s="11"/>
      <c r="CS87" s="11"/>
      <c r="CT87" s="11"/>
      <c r="CU87" s="11"/>
    </row>
    <row r="88" spans="59:99" x14ac:dyDescent="0.3">
      <c r="BG88" s="14" t="s">
        <v>92</v>
      </c>
      <c r="BH88" s="13" t="s">
        <v>318</v>
      </c>
      <c r="BI88" s="12">
        <v>2</v>
      </c>
      <c r="BJ88" s="11" t="s">
        <v>319</v>
      </c>
      <c r="BK88" s="12">
        <v>2</v>
      </c>
      <c r="BL88" s="13" t="s">
        <v>320</v>
      </c>
      <c r="BM88" s="12">
        <v>2</v>
      </c>
      <c r="BN88" s="11" t="s">
        <v>1595</v>
      </c>
      <c r="BO88" s="12">
        <v>1</v>
      </c>
      <c r="BP88" s="11" t="s">
        <v>314</v>
      </c>
      <c r="BQ88" s="12">
        <v>1</v>
      </c>
      <c r="BR88" s="11" t="s">
        <v>315</v>
      </c>
      <c r="BS88" s="12">
        <v>1</v>
      </c>
      <c r="BT88" s="11" t="s">
        <v>316</v>
      </c>
      <c r="BU88" s="12">
        <v>1</v>
      </c>
      <c r="BV88" s="11" t="s">
        <v>317</v>
      </c>
      <c r="BW88" s="12">
        <v>1</v>
      </c>
      <c r="BX88" s="11" t="s">
        <v>313</v>
      </c>
      <c r="BY88" s="12">
        <v>2</v>
      </c>
      <c r="BZ88" s="11" t="s">
        <v>312</v>
      </c>
      <c r="CA88" s="12">
        <v>1</v>
      </c>
      <c r="CB88" s="11" t="s">
        <v>310</v>
      </c>
      <c r="CC88" s="12">
        <v>1</v>
      </c>
      <c r="CD88" s="11" t="s">
        <v>311</v>
      </c>
      <c r="CE88" s="12">
        <v>1</v>
      </c>
      <c r="CF88" s="11"/>
      <c r="CG88" s="12"/>
      <c r="CH88" s="11"/>
      <c r="CI88" s="12"/>
      <c r="CJ88" s="11"/>
      <c r="CK88" s="12"/>
      <c r="CL88" s="11"/>
      <c r="CM88" s="11"/>
      <c r="CN88" s="11"/>
      <c r="CO88" s="11"/>
      <c r="CP88" s="11"/>
      <c r="CQ88" s="11"/>
      <c r="CR88" s="11"/>
      <c r="CS88" s="11"/>
      <c r="CT88" s="11"/>
      <c r="CU88" s="11"/>
    </row>
    <row r="89" spans="59:99" x14ac:dyDescent="0.3">
      <c r="BG89" s="14" t="s">
        <v>132</v>
      </c>
      <c r="BH89" s="11" t="s">
        <v>1402</v>
      </c>
      <c r="BI89" s="12">
        <v>1</v>
      </c>
      <c r="BJ89" s="13" t="s">
        <v>1596</v>
      </c>
      <c r="BK89" s="12">
        <v>1</v>
      </c>
      <c r="BL89" s="11" t="s">
        <v>1410</v>
      </c>
      <c r="BM89" s="12">
        <v>1</v>
      </c>
      <c r="BN89" s="11" t="s">
        <v>1446</v>
      </c>
      <c r="BO89" s="12">
        <v>1</v>
      </c>
      <c r="BP89" s="11" t="s">
        <v>1436</v>
      </c>
      <c r="BQ89" s="12">
        <v>1</v>
      </c>
      <c r="BR89" s="11" t="s">
        <v>1597</v>
      </c>
      <c r="BS89" s="12">
        <v>0</v>
      </c>
      <c r="BT89" s="11"/>
      <c r="BU89" s="12"/>
      <c r="BV89" s="11"/>
      <c r="BW89" s="12"/>
      <c r="BX89" s="11"/>
      <c r="BY89" s="12"/>
      <c r="BZ89" s="11"/>
      <c r="CA89" s="12"/>
      <c r="CB89" s="11"/>
      <c r="CC89" s="12"/>
      <c r="CD89" s="11"/>
      <c r="CE89" s="12"/>
      <c r="CF89" s="11"/>
      <c r="CG89" s="12"/>
      <c r="CH89" s="11"/>
      <c r="CI89" s="12"/>
      <c r="CJ89" s="11"/>
      <c r="CK89" s="12"/>
      <c r="CL89" s="11"/>
      <c r="CM89" s="11"/>
      <c r="CN89" s="11"/>
      <c r="CO89" s="11"/>
      <c r="CP89" s="11"/>
      <c r="CQ89" s="11"/>
      <c r="CR89" s="11"/>
      <c r="CS89" s="11"/>
      <c r="CT89" s="11"/>
      <c r="CU89" s="11"/>
    </row>
    <row r="90" spans="59:99" x14ac:dyDescent="0.3">
      <c r="BG90" s="14" t="s">
        <v>114</v>
      </c>
      <c r="BH90" s="13" t="s">
        <v>1402</v>
      </c>
      <c r="BI90" s="12">
        <v>1</v>
      </c>
      <c r="BJ90" s="11" t="s">
        <v>1596</v>
      </c>
      <c r="BK90" s="12">
        <v>1</v>
      </c>
      <c r="BL90" s="13" t="s">
        <v>1410</v>
      </c>
      <c r="BM90" s="12">
        <v>1</v>
      </c>
      <c r="BN90" s="11" t="s">
        <v>1446</v>
      </c>
      <c r="BO90" s="12">
        <v>1</v>
      </c>
      <c r="BP90" s="13" t="s">
        <v>1436</v>
      </c>
      <c r="BQ90" s="12">
        <v>1</v>
      </c>
      <c r="BR90" s="11"/>
      <c r="BS90" s="12"/>
      <c r="BT90" s="13"/>
      <c r="BU90" s="12"/>
      <c r="BV90" s="11"/>
      <c r="BW90" s="12"/>
      <c r="BX90" s="11"/>
      <c r="BY90" s="12"/>
      <c r="BZ90" s="11"/>
      <c r="CA90" s="12"/>
      <c r="CB90" s="11"/>
      <c r="CC90" s="12"/>
      <c r="CD90" s="11"/>
      <c r="CE90" s="12"/>
      <c r="CF90" s="11"/>
      <c r="CG90" s="12"/>
      <c r="CH90" s="11"/>
      <c r="CI90" s="12"/>
      <c r="CJ90" s="11"/>
      <c r="CK90" s="12"/>
      <c r="CL90" s="11"/>
      <c r="CM90" s="11"/>
      <c r="CN90" s="11"/>
      <c r="CO90" s="11"/>
      <c r="CP90" s="11"/>
      <c r="CQ90" s="11"/>
      <c r="CR90" s="11"/>
      <c r="CS90" s="11"/>
      <c r="CT90" s="11"/>
      <c r="CU90" s="11"/>
    </row>
    <row r="91" spans="59:99" x14ac:dyDescent="0.3">
      <c r="BG91" s="14" t="s">
        <v>136</v>
      </c>
      <c r="BH91" s="13" t="s">
        <v>1402</v>
      </c>
      <c r="BI91" s="12">
        <v>1</v>
      </c>
      <c r="BJ91" s="11" t="s">
        <v>1410</v>
      </c>
      <c r="BK91" s="12">
        <v>1</v>
      </c>
      <c r="BL91" s="13" t="s">
        <v>1436</v>
      </c>
      <c r="BM91" s="12">
        <v>1</v>
      </c>
      <c r="BN91" s="11"/>
      <c r="BO91" s="12"/>
      <c r="BP91" s="13"/>
      <c r="BQ91" s="12"/>
      <c r="BR91" s="11"/>
      <c r="BS91" s="12"/>
      <c r="BT91" s="11"/>
      <c r="BU91" s="12"/>
      <c r="BV91" s="11"/>
      <c r="BW91" s="12"/>
      <c r="BX91" s="11"/>
      <c r="BY91" s="12"/>
      <c r="BZ91" s="11"/>
      <c r="CA91" s="12"/>
      <c r="CB91" s="11"/>
      <c r="CC91" s="12"/>
      <c r="CD91" s="11"/>
      <c r="CE91" s="12"/>
      <c r="CF91" s="11"/>
      <c r="CG91" s="12"/>
      <c r="CH91" s="11"/>
      <c r="CI91" s="12"/>
      <c r="CJ91" s="11"/>
      <c r="CK91" s="12"/>
      <c r="CL91" s="11"/>
      <c r="CM91" s="11"/>
      <c r="CN91" s="11"/>
      <c r="CO91" s="11"/>
      <c r="CP91" s="11"/>
      <c r="CQ91" s="11"/>
      <c r="CR91" s="11"/>
      <c r="CS91" s="11"/>
      <c r="CT91" s="11"/>
      <c r="CU91" s="11"/>
    </row>
    <row r="92" spans="59:99" x14ac:dyDescent="0.3">
      <c r="BG92" s="14" t="s">
        <v>120</v>
      </c>
      <c r="BH92" s="11" t="s">
        <v>1464</v>
      </c>
      <c r="BI92" s="12">
        <v>2</v>
      </c>
      <c r="BJ92" s="13" t="s">
        <v>1598</v>
      </c>
      <c r="BK92" s="12">
        <v>1</v>
      </c>
      <c r="BL92" s="11" t="s">
        <v>1599</v>
      </c>
      <c r="BM92" s="12">
        <v>1</v>
      </c>
      <c r="BN92" s="11" t="s">
        <v>1600</v>
      </c>
      <c r="BO92" s="12">
        <v>1</v>
      </c>
      <c r="BP92" s="11"/>
      <c r="BQ92" s="12"/>
      <c r="BR92" s="11"/>
      <c r="BS92" s="12"/>
      <c r="BT92" s="11"/>
      <c r="BU92" s="12"/>
      <c r="BV92" s="11"/>
      <c r="BW92" s="12"/>
      <c r="BX92" s="11"/>
      <c r="BY92" s="12"/>
      <c r="BZ92" s="11"/>
      <c r="CA92" s="12"/>
      <c r="CB92" s="11"/>
      <c r="CC92" s="12"/>
      <c r="CD92" s="11"/>
      <c r="CE92" s="12"/>
      <c r="CF92" s="11"/>
      <c r="CG92" s="12"/>
      <c r="CH92" s="11"/>
      <c r="CI92" s="12"/>
      <c r="CJ92" s="11"/>
      <c r="CK92" s="12"/>
      <c r="CL92" s="11"/>
      <c r="CM92" s="11"/>
      <c r="CN92" s="11"/>
      <c r="CO92" s="11"/>
      <c r="CP92" s="11"/>
      <c r="CQ92" s="11"/>
      <c r="CR92" s="11"/>
      <c r="CS92" s="11"/>
      <c r="CT92" s="11"/>
      <c r="CU92" s="11"/>
    </row>
    <row r="96" spans="59:99" x14ac:dyDescent="0.3">
      <c r="BG96" s="14"/>
      <c r="BH96" s="13"/>
      <c r="BI96" s="12"/>
      <c r="BJ96" s="11"/>
      <c r="BK96" s="12"/>
      <c r="BL96" s="13"/>
      <c r="BM96" s="12"/>
      <c r="BN96" s="11"/>
      <c r="BO96" s="12"/>
      <c r="BP96" s="11"/>
      <c r="BQ96" s="12"/>
      <c r="BR96" s="11"/>
      <c r="BS96" s="12"/>
      <c r="BT96" s="11"/>
      <c r="BU96" s="12"/>
      <c r="BV96" s="11"/>
      <c r="BW96" s="12"/>
      <c r="BX96" s="11"/>
      <c r="BY96" s="12"/>
      <c r="BZ96" s="11"/>
      <c r="CA96" s="12"/>
      <c r="CB96" s="11"/>
      <c r="CC96" s="12"/>
      <c r="CD96" s="11"/>
      <c r="CE96" s="12"/>
      <c r="CF96" s="11"/>
      <c r="CG96" s="12"/>
      <c r="CH96" s="11"/>
      <c r="CI96" s="12"/>
      <c r="CJ96" s="11"/>
      <c r="CK96" s="12"/>
      <c r="CL96" s="11"/>
      <c r="CM96" s="11"/>
      <c r="CN96" s="11"/>
      <c r="CO96" s="11"/>
      <c r="CP96" s="11"/>
      <c r="CQ96" s="11"/>
      <c r="CR96" s="11"/>
      <c r="CS96" s="11"/>
      <c r="CT96" s="11"/>
      <c r="CU96" s="11"/>
    </row>
    <row r="97" spans="59:99" x14ac:dyDescent="0.3">
      <c r="BG97" s="14"/>
      <c r="BH97" s="11"/>
      <c r="BI97" s="12"/>
      <c r="BJ97" s="13"/>
      <c r="BK97" s="12"/>
      <c r="BL97" s="11"/>
      <c r="BM97" s="12"/>
      <c r="BN97" s="13"/>
      <c r="BO97" s="12"/>
      <c r="BP97" s="11"/>
      <c r="BQ97" s="12"/>
      <c r="BR97" s="13"/>
      <c r="BS97" s="12"/>
      <c r="BT97" s="11"/>
      <c r="BU97" s="12"/>
      <c r="BV97" s="11"/>
      <c r="BW97" s="12"/>
      <c r="BX97" s="11"/>
      <c r="BY97" s="12"/>
      <c r="BZ97" s="11"/>
      <c r="CA97" s="12"/>
      <c r="CB97" s="11"/>
      <c r="CC97" s="12"/>
      <c r="CD97" s="11"/>
      <c r="CE97" s="12"/>
      <c r="CF97" s="11"/>
      <c r="CG97" s="12"/>
      <c r="CH97" s="11"/>
      <c r="CI97" s="12"/>
      <c r="CJ97" s="11"/>
      <c r="CK97" s="12"/>
      <c r="CL97" s="11"/>
      <c r="CM97" s="11"/>
      <c r="CN97" s="11"/>
      <c r="CO97" s="11"/>
      <c r="CP97" s="11"/>
      <c r="CQ97" s="11"/>
      <c r="CR97" s="11"/>
      <c r="CS97" s="11"/>
      <c r="CT97" s="11"/>
      <c r="CU97" s="11"/>
    </row>
    <row r="98" spans="59:99" x14ac:dyDescent="0.3">
      <c r="BG98" s="14"/>
      <c r="BH98" s="11"/>
      <c r="BI98" s="12"/>
      <c r="BJ98" s="13"/>
      <c r="BK98" s="12"/>
      <c r="BL98" s="11"/>
      <c r="BM98" s="12"/>
      <c r="BN98" s="13"/>
      <c r="BO98" s="12"/>
      <c r="BP98" s="11"/>
      <c r="BQ98" s="12"/>
      <c r="BR98" s="13"/>
      <c r="BS98" s="12"/>
      <c r="BT98" s="11"/>
      <c r="BU98" s="12"/>
      <c r="BV98" s="11"/>
      <c r="BW98" s="12"/>
      <c r="BX98" s="11"/>
      <c r="BY98" s="12"/>
      <c r="BZ98" s="11"/>
      <c r="CA98" s="12"/>
      <c r="CB98" s="11"/>
      <c r="CC98" s="12"/>
      <c r="CD98" s="11"/>
      <c r="CE98" s="12"/>
      <c r="CF98" s="11"/>
      <c r="CG98" s="12"/>
      <c r="CH98" s="11"/>
      <c r="CI98" s="12"/>
      <c r="CJ98" s="11"/>
      <c r="CK98" s="12"/>
      <c r="CL98" s="11"/>
      <c r="CM98" s="11"/>
      <c r="CN98" s="11"/>
      <c r="CO98" s="11"/>
      <c r="CP98" s="11"/>
      <c r="CQ98" s="11"/>
      <c r="CR98" s="11"/>
      <c r="CS98" s="11"/>
      <c r="CT98" s="11"/>
      <c r="CU98" s="11"/>
    </row>
    <row r="99" spans="59:99" x14ac:dyDescent="0.3">
      <c r="BG99" s="14"/>
      <c r="BH99" s="13"/>
      <c r="BI99" s="12"/>
      <c r="BJ99" s="11"/>
      <c r="BK99" s="12"/>
      <c r="BL99" s="13"/>
      <c r="BM99" s="12"/>
      <c r="BN99" s="11"/>
      <c r="BO99" s="12"/>
      <c r="BP99" s="13"/>
      <c r="BQ99" s="12"/>
      <c r="BR99" s="11"/>
      <c r="BS99" s="12"/>
      <c r="BT99" s="13"/>
      <c r="BU99" s="12"/>
      <c r="BV99" s="11"/>
      <c r="BW99" s="12"/>
      <c r="BX99" s="11"/>
      <c r="BY99" s="12"/>
      <c r="BZ99" s="11"/>
      <c r="CA99" s="12"/>
      <c r="CB99" s="11"/>
      <c r="CC99" s="12"/>
      <c r="CD99" s="11"/>
      <c r="CE99" s="12"/>
      <c r="CF99" s="11"/>
      <c r="CG99" s="12"/>
      <c r="CH99" s="11"/>
      <c r="CI99" s="12"/>
      <c r="CJ99" s="11"/>
      <c r="CK99" s="12"/>
      <c r="CL99" s="11"/>
      <c r="CM99" s="11"/>
      <c r="CN99" s="11"/>
      <c r="CO99" s="11"/>
      <c r="CP99" s="11"/>
      <c r="CQ99" s="11"/>
      <c r="CR99" s="11"/>
      <c r="CS99" s="11"/>
      <c r="CT99" s="11"/>
      <c r="CU99" s="11"/>
    </row>
    <row r="100" spans="59:99" x14ac:dyDescent="0.3">
      <c r="BG100" s="14"/>
      <c r="BH100" s="13"/>
      <c r="BI100" s="12"/>
      <c r="BJ100" s="11"/>
      <c r="BK100" s="12"/>
      <c r="BL100" s="13"/>
      <c r="BM100" s="12"/>
      <c r="BN100" s="11"/>
      <c r="BO100" s="12"/>
      <c r="BP100" s="11"/>
      <c r="BQ100" s="12"/>
      <c r="BR100" s="11"/>
      <c r="BS100" s="12"/>
      <c r="BT100" s="11"/>
      <c r="BU100" s="12"/>
      <c r="BV100" s="11"/>
      <c r="BW100" s="12"/>
      <c r="BX100" s="11"/>
      <c r="BY100" s="12"/>
      <c r="BZ100" s="11"/>
      <c r="CA100" s="12"/>
      <c r="CB100" s="11"/>
      <c r="CC100" s="12"/>
      <c r="CD100" s="11"/>
      <c r="CE100" s="12"/>
      <c r="CF100" s="11"/>
      <c r="CG100" s="12"/>
      <c r="CH100" s="11"/>
      <c r="CI100" s="12"/>
      <c r="CJ100" s="11"/>
      <c r="CK100" s="12"/>
      <c r="CL100" s="11"/>
      <c r="CM100" s="11"/>
      <c r="CN100" s="11"/>
      <c r="CO100" s="11"/>
      <c r="CP100" s="11"/>
      <c r="CQ100" s="11"/>
      <c r="CR100" s="11"/>
      <c r="CS100" s="11"/>
      <c r="CT100" s="11"/>
      <c r="CU100" s="11"/>
    </row>
    <row r="101" spans="59:99" x14ac:dyDescent="0.3">
      <c r="BG101" s="14"/>
      <c r="BH101" s="11"/>
      <c r="BI101" s="12"/>
      <c r="BJ101" s="13"/>
      <c r="BK101" s="12"/>
      <c r="BL101" s="11"/>
      <c r="BM101" s="12"/>
      <c r="BN101" s="13"/>
      <c r="BO101" s="12"/>
      <c r="BP101" s="11"/>
      <c r="BQ101" s="12"/>
      <c r="BR101" s="11"/>
      <c r="BS101" s="12"/>
      <c r="BT101" s="11"/>
      <c r="BU101" s="12"/>
      <c r="BV101" s="11"/>
      <c r="BW101" s="12"/>
      <c r="BX101" s="11"/>
      <c r="BY101" s="12"/>
      <c r="BZ101" s="11"/>
      <c r="CA101" s="12"/>
      <c r="CB101" s="11"/>
      <c r="CC101" s="12"/>
      <c r="CD101" s="11"/>
      <c r="CE101" s="12"/>
      <c r="CF101" s="11"/>
      <c r="CG101" s="12"/>
      <c r="CH101" s="11"/>
      <c r="CI101" s="12"/>
      <c r="CJ101" s="11"/>
      <c r="CK101" s="12"/>
      <c r="CL101" s="11"/>
      <c r="CM101" s="11"/>
      <c r="CN101" s="11"/>
      <c r="CO101" s="11"/>
      <c r="CP101" s="11"/>
      <c r="CQ101" s="11"/>
      <c r="CR101" s="11"/>
      <c r="CS101" s="11"/>
      <c r="CT101" s="11"/>
      <c r="CU101" s="11"/>
    </row>
    <row r="102" spans="59:99" x14ac:dyDescent="0.3">
      <c r="BG102" s="14"/>
      <c r="BH102" s="13"/>
      <c r="BI102" s="12"/>
      <c r="BJ102" s="11"/>
      <c r="BK102" s="12"/>
      <c r="BL102" s="13"/>
      <c r="BM102" s="12"/>
      <c r="BN102" s="11"/>
      <c r="BO102" s="12"/>
      <c r="BP102" s="13"/>
      <c r="BQ102" s="12"/>
      <c r="BR102" s="11"/>
      <c r="BS102" s="12"/>
      <c r="BT102" s="11"/>
      <c r="BU102" s="12"/>
      <c r="BV102" s="11"/>
      <c r="BW102" s="12"/>
      <c r="BX102" s="11"/>
      <c r="BY102" s="12"/>
      <c r="BZ102" s="11"/>
      <c r="CA102" s="12"/>
      <c r="CB102" s="11"/>
      <c r="CC102" s="12"/>
      <c r="CD102" s="11"/>
      <c r="CE102" s="12"/>
      <c r="CF102" s="11"/>
      <c r="CG102" s="12"/>
      <c r="CH102" s="11"/>
      <c r="CI102" s="12"/>
      <c r="CJ102" s="11"/>
      <c r="CK102" s="12"/>
      <c r="CL102" s="11"/>
      <c r="CM102" s="11"/>
      <c r="CN102" s="11"/>
      <c r="CO102" s="11"/>
      <c r="CP102" s="11"/>
      <c r="CQ102" s="11"/>
      <c r="CR102" s="11"/>
      <c r="CS102" s="11"/>
      <c r="CT102" s="11"/>
      <c r="CU102" s="11"/>
    </row>
    <row r="103" spans="59:99" x14ac:dyDescent="0.3">
      <c r="BG103" s="14"/>
      <c r="BH103" s="11"/>
      <c r="BI103" s="12"/>
      <c r="BJ103" s="13"/>
      <c r="BK103" s="12"/>
      <c r="BL103" s="11"/>
      <c r="BM103" s="12"/>
      <c r="BN103" s="11"/>
      <c r="BO103" s="12"/>
      <c r="BP103" s="11"/>
      <c r="BQ103" s="12"/>
      <c r="BR103" s="11"/>
      <c r="BS103" s="12"/>
      <c r="BT103" s="11"/>
      <c r="BU103" s="12"/>
      <c r="BV103" s="11"/>
      <c r="BW103" s="12"/>
      <c r="BX103" s="11"/>
      <c r="BY103" s="12"/>
      <c r="BZ103" s="11"/>
      <c r="CA103" s="12"/>
      <c r="CB103" s="11"/>
      <c r="CC103" s="12"/>
      <c r="CD103" s="11"/>
      <c r="CE103" s="12"/>
      <c r="CF103" s="11"/>
      <c r="CG103" s="12"/>
      <c r="CH103" s="11"/>
      <c r="CI103" s="12"/>
      <c r="CJ103" s="11"/>
      <c r="CK103" s="12"/>
      <c r="CL103" s="11"/>
      <c r="CM103" s="11"/>
      <c r="CN103" s="11"/>
      <c r="CO103" s="11"/>
      <c r="CP103" s="11"/>
      <c r="CQ103" s="11"/>
      <c r="CR103" s="11"/>
      <c r="CS103" s="11"/>
      <c r="CT103" s="11"/>
      <c r="CU103" s="11"/>
    </row>
    <row r="104" spans="59:99" x14ac:dyDescent="0.3">
      <c r="BG104" s="14"/>
      <c r="BH104" s="11"/>
      <c r="BI104" s="12"/>
      <c r="BJ104" s="13"/>
      <c r="BK104" s="12"/>
      <c r="BL104" s="11"/>
      <c r="BM104" s="12"/>
      <c r="BN104" s="13"/>
      <c r="BO104" s="12"/>
      <c r="BP104" s="11"/>
      <c r="BQ104" s="12"/>
      <c r="BR104" s="11"/>
      <c r="BS104" s="12"/>
      <c r="BT104" s="11"/>
      <c r="BU104" s="12"/>
      <c r="BV104" s="11"/>
      <c r="BW104" s="12"/>
      <c r="BX104" s="11"/>
      <c r="BY104" s="12"/>
      <c r="BZ104" s="11"/>
      <c r="CA104" s="12"/>
      <c r="CB104" s="11"/>
      <c r="CC104" s="12"/>
      <c r="CD104" s="11"/>
      <c r="CE104" s="12"/>
      <c r="CF104" s="11"/>
      <c r="CG104" s="12"/>
      <c r="CH104" s="11"/>
      <c r="CI104" s="12"/>
      <c r="CJ104" s="11"/>
      <c r="CK104" s="12"/>
      <c r="CL104" s="11"/>
      <c r="CM104" s="11"/>
      <c r="CN104" s="11"/>
      <c r="CO104" s="11"/>
      <c r="CP104" s="11"/>
      <c r="CQ104" s="11"/>
      <c r="CR104" s="11"/>
      <c r="CS104" s="11"/>
      <c r="CT104" s="11"/>
      <c r="CU104" s="11"/>
    </row>
    <row r="105" spans="59:99" x14ac:dyDescent="0.3">
      <c r="BG105" s="14"/>
      <c r="BH105" s="11"/>
      <c r="BI105" s="12"/>
      <c r="BJ105" s="13"/>
      <c r="BK105" s="12"/>
      <c r="BL105" s="11"/>
      <c r="BM105" s="12"/>
      <c r="BN105" s="13"/>
      <c r="BO105" s="12"/>
      <c r="BP105" s="11"/>
      <c r="BQ105" s="12"/>
      <c r="BR105" s="13"/>
      <c r="BS105" s="12"/>
      <c r="BT105" s="11"/>
      <c r="BU105" s="12"/>
      <c r="BV105" s="11"/>
      <c r="BW105" s="12"/>
      <c r="BX105" s="11"/>
      <c r="BY105" s="12"/>
      <c r="BZ105" s="11"/>
      <c r="CA105" s="12"/>
      <c r="CB105" s="11"/>
      <c r="CC105" s="12"/>
      <c r="CD105" s="11"/>
      <c r="CE105" s="12"/>
      <c r="CF105" s="11"/>
      <c r="CG105" s="12"/>
      <c r="CH105" s="11"/>
      <c r="CI105" s="12"/>
      <c r="CJ105" s="11"/>
      <c r="CK105" s="12"/>
      <c r="CL105" s="11"/>
      <c r="CM105" s="11"/>
      <c r="CN105" s="11"/>
      <c r="CO105" s="11"/>
      <c r="CP105" s="11"/>
      <c r="CQ105" s="11"/>
      <c r="CR105" s="11"/>
      <c r="CS105" s="11"/>
      <c r="CT105" s="11"/>
      <c r="CU105" s="11"/>
    </row>
    <row r="106" spans="59:99" x14ac:dyDescent="0.3">
      <c r="BG106" s="14"/>
      <c r="BH106" s="11"/>
      <c r="BI106" s="12"/>
      <c r="BJ106" s="13"/>
      <c r="BK106" s="12"/>
      <c r="BL106" s="11"/>
      <c r="BM106" s="12"/>
      <c r="BN106" s="13"/>
      <c r="BO106" s="12"/>
      <c r="BP106" s="11"/>
      <c r="BQ106" s="12"/>
      <c r="BR106" s="11"/>
      <c r="BS106" s="12"/>
      <c r="BT106" s="11"/>
      <c r="BU106" s="12"/>
      <c r="BV106" s="11"/>
      <c r="BW106" s="12"/>
      <c r="BX106" s="11"/>
      <c r="BY106" s="12"/>
      <c r="BZ106" s="11"/>
      <c r="CA106" s="12"/>
      <c r="CB106" s="11"/>
      <c r="CC106" s="12"/>
      <c r="CD106" s="11"/>
      <c r="CE106" s="12"/>
      <c r="CF106" s="11"/>
      <c r="CG106" s="12"/>
      <c r="CH106" s="11"/>
      <c r="CI106" s="12"/>
      <c r="CJ106" s="11"/>
      <c r="CK106" s="12"/>
      <c r="CL106" s="11"/>
      <c r="CM106" s="11"/>
      <c r="CN106" s="11"/>
      <c r="CO106" s="11"/>
      <c r="CP106" s="11"/>
      <c r="CQ106" s="11"/>
      <c r="CR106" s="11"/>
      <c r="CS106" s="11"/>
      <c r="CT106" s="11"/>
      <c r="CU106" s="11"/>
    </row>
    <row r="107" spans="59:99" x14ac:dyDescent="0.3">
      <c r="BG107" s="14"/>
      <c r="BH107" s="11"/>
      <c r="BI107" s="12"/>
      <c r="BJ107" s="13"/>
      <c r="BK107" s="12"/>
      <c r="BL107" s="11"/>
      <c r="BM107" s="12"/>
      <c r="BN107" s="11"/>
      <c r="BO107" s="12"/>
      <c r="BP107" s="11"/>
      <c r="BQ107" s="12"/>
      <c r="BR107" s="11"/>
      <c r="BS107" s="12"/>
      <c r="BT107" s="11"/>
      <c r="BU107" s="12"/>
      <c r="BV107" s="11"/>
      <c r="BW107" s="12"/>
      <c r="BX107" s="11"/>
      <c r="BY107" s="12"/>
      <c r="BZ107" s="11"/>
      <c r="CA107" s="12"/>
      <c r="CB107" s="11"/>
      <c r="CC107" s="12"/>
      <c r="CD107" s="11"/>
      <c r="CE107" s="12"/>
      <c r="CF107" s="11"/>
      <c r="CG107" s="12"/>
      <c r="CH107" s="11"/>
      <c r="CI107" s="12"/>
      <c r="CJ107" s="11"/>
      <c r="CK107" s="12"/>
      <c r="CL107" s="11"/>
      <c r="CM107" s="11"/>
      <c r="CN107" s="11"/>
      <c r="CO107" s="11"/>
      <c r="CP107" s="11"/>
      <c r="CQ107" s="11"/>
      <c r="CR107" s="11"/>
      <c r="CS107" s="11"/>
      <c r="CT107" s="11"/>
      <c r="CU107" s="11"/>
    </row>
    <row r="108" spans="59:99" x14ac:dyDescent="0.3">
      <c r="BG108" s="14"/>
      <c r="BH108" s="11"/>
      <c r="BI108" s="12"/>
      <c r="BJ108" s="13"/>
      <c r="BK108" s="12"/>
      <c r="BL108" s="11"/>
      <c r="BM108" s="12"/>
      <c r="BN108" s="13"/>
      <c r="BO108" s="12"/>
      <c r="BP108" s="11"/>
      <c r="BQ108" s="12"/>
      <c r="BR108" s="11"/>
      <c r="BS108" s="12"/>
      <c r="BT108" s="11"/>
      <c r="BU108" s="12"/>
      <c r="BV108" s="11"/>
      <c r="BW108" s="12"/>
      <c r="BX108" s="11"/>
      <c r="BY108" s="12"/>
      <c r="BZ108" s="11"/>
      <c r="CA108" s="12"/>
      <c r="CB108" s="11"/>
      <c r="CC108" s="12"/>
      <c r="CD108" s="11"/>
      <c r="CE108" s="12"/>
      <c r="CF108" s="11"/>
      <c r="CG108" s="12"/>
      <c r="CH108" s="11"/>
      <c r="CI108" s="12"/>
      <c r="CJ108" s="11"/>
      <c r="CK108" s="12"/>
      <c r="CL108" s="11"/>
      <c r="CM108" s="11"/>
      <c r="CN108" s="11"/>
      <c r="CO108" s="11"/>
      <c r="CP108" s="11"/>
      <c r="CQ108" s="11"/>
      <c r="CR108" s="11"/>
      <c r="CS108" s="11"/>
      <c r="CT108" s="11"/>
      <c r="CU108" s="11"/>
    </row>
    <row r="109" spans="59:99" x14ac:dyDescent="0.3">
      <c r="BG109" s="14"/>
      <c r="BH109" s="11"/>
      <c r="BI109" s="12"/>
      <c r="BJ109" s="13"/>
      <c r="BK109" s="12"/>
      <c r="BL109" s="11"/>
      <c r="BM109" s="12"/>
      <c r="BN109" s="13"/>
      <c r="BO109" s="12"/>
      <c r="BP109" s="11"/>
      <c r="BQ109" s="12"/>
      <c r="BR109" s="13"/>
      <c r="BS109" s="12"/>
      <c r="BT109" s="11"/>
      <c r="BU109" s="12"/>
      <c r="BV109" s="11"/>
      <c r="BW109" s="12"/>
      <c r="BX109" s="11"/>
      <c r="BY109" s="12"/>
      <c r="BZ109" s="11"/>
      <c r="CA109" s="12"/>
      <c r="CB109" s="11"/>
      <c r="CC109" s="12"/>
      <c r="CD109" s="11"/>
      <c r="CE109" s="12"/>
      <c r="CF109" s="11"/>
      <c r="CG109" s="12"/>
      <c r="CH109" s="11"/>
      <c r="CI109" s="12"/>
      <c r="CJ109" s="11"/>
      <c r="CK109" s="12"/>
      <c r="CL109" s="11"/>
      <c r="CM109" s="11"/>
      <c r="CN109" s="11"/>
      <c r="CO109" s="11"/>
      <c r="CP109" s="11"/>
      <c r="CQ109" s="11"/>
      <c r="CR109" s="11"/>
      <c r="CS109" s="11"/>
      <c r="CT109" s="11"/>
      <c r="CU109" s="11"/>
    </row>
    <row r="110" spans="59:99" x14ac:dyDescent="0.3">
      <c r="BG110" s="14"/>
      <c r="BH110" s="11"/>
      <c r="BI110" s="12"/>
      <c r="BJ110" s="13"/>
      <c r="BK110" s="12"/>
      <c r="BL110" s="11"/>
      <c r="BM110" s="12"/>
      <c r="BN110" s="11"/>
      <c r="BO110" s="12"/>
      <c r="BP110" s="11"/>
      <c r="BQ110" s="12"/>
      <c r="BR110" s="11"/>
      <c r="BS110" s="12"/>
      <c r="BT110" s="11"/>
      <c r="BU110" s="12"/>
      <c r="BV110" s="11"/>
      <c r="BW110" s="12"/>
      <c r="BX110" s="11"/>
      <c r="BY110" s="12"/>
      <c r="BZ110" s="11"/>
      <c r="CA110" s="12"/>
      <c r="CB110" s="11"/>
      <c r="CC110" s="12"/>
      <c r="CD110" s="11"/>
      <c r="CE110" s="12"/>
      <c r="CF110" s="11"/>
      <c r="CG110" s="12"/>
      <c r="CH110" s="11"/>
      <c r="CI110" s="12"/>
      <c r="CJ110" s="11"/>
      <c r="CK110" s="12"/>
      <c r="CL110" s="11"/>
      <c r="CM110" s="11"/>
      <c r="CN110" s="11"/>
      <c r="CO110" s="11"/>
      <c r="CP110" s="11"/>
      <c r="CQ110" s="11"/>
      <c r="CR110" s="11"/>
      <c r="CS110" s="11"/>
      <c r="CT110" s="11"/>
      <c r="CU110" s="11"/>
    </row>
    <row r="111" spans="59:99" x14ac:dyDescent="0.3">
      <c r="BG111" s="14"/>
      <c r="BH111" s="13"/>
      <c r="BI111" s="12"/>
      <c r="BJ111" s="11"/>
      <c r="BK111" s="12"/>
      <c r="BL111" s="13"/>
      <c r="BM111" s="12"/>
      <c r="BN111" s="11"/>
      <c r="BO111" s="12"/>
      <c r="BP111" s="11"/>
      <c r="BQ111" s="12"/>
      <c r="BR111" s="11"/>
      <c r="BS111" s="12"/>
      <c r="BT111" s="11"/>
      <c r="BU111" s="12"/>
      <c r="BV111" s="11"/>
      <c r="BW111" s="12"/>
      <c r="BX111" s="11"/>
      <c r="BY111" s="12"/>
      <c r="BZ111" s="11"/>
      <c r="CA111" s="12"/>
      <c r="CB111" s="11"/>
      <c r="CC111" s="12"/>
      <c r="CD111" s="11"/>
      <c r="CE111" s="12"/>
      <c r="CF111" s="11"/>
      <c r="CG111" s="12"/>
      <c r="CH111" s="11"/>
      <c r="CI111" s="12"/>
      <c r="CJ111" s="11"/>
      <c r="CK111" s="12"/>
      <c r="CL111" s="11"/>
      <c r="CM111" s="11"/>
      <c r="CN111" s="11"/>
      <c r="CO111" s="11"/>
      <c r="CP111" s="11"/>
      <c r="CQ111" s="11"/>
      <c r="CR111" s="11"/>
      <c r="CS111" s="11"/>
      <c r="CT111" s="11"/>
      <c r="CU111" s="11"/>
    </row>
    <row r="112" spans="59:99" x14ac:dyDescent="0.3">
      <c r="BG112" s="14"/>
      <c r="BH112" s="11"/>
      <c r="BI112" s="12"/>
      <c r="BJ112" s="13"/>
      <c r="BK112" s="12"/>
      <c r="BL112" s="11"/>
      <c r="BM112" s="12"/>
      <c r="BN112" s="13"/>
      <c r="BO112" s="12"/>
      <c r="BP112" s="11"/>
      <c r="BQ112" s="12"/>
      <c r="BR112" s="13"/>
      <c r="BS112" s="12"/>
      <c r="BT112" s="11"/>
      <c r="BU112" s="12"/>
      <c r="BV112" s="11"/>
      <c r="BW112" s="12"/>
      <c r="BX112" s="11"/>
      <c r="BY112" s="12"/>
      <c r="BZ112" s="11"/>
      <c r="CA112" s="12"/>
      <c r="CB112" s="11"/>
      <c r="CC112" s="12"/>
      <c r="CD112" s="11"/>
      <c r="CE112" s="12"/>
      <c r="CF112" s="11"/>
      <c r="CG112" s="12"/>
      <c r="CH112" s="11"/>
      <c r="CI112" s="12"/>
      <c r="CJ112" s="11"/>
      <c r="CK112" s="12"/>
      <c r="CL112" s="11"/>
      <c r="CM112" s="11"/>
      <c r="CN112" s="11"/>
      <c r="CO112" s="11"/>
      <c r="CP112" s="11"/>
      <c r="CQ112" s="11"/>
      <c r="CR112" s="11"/>
      <c r="CS112" s="11"/>
      <c r="CT112" s="11"/>
      <c r="CU112" s="11"/>
    </row>
    <row r="113" spans="59:99" x14ac:dyDescent="0.3">
      <c r="BG113" s="14"/>
      <c r="BH113" s="13"/>
      <c r="BI113" s="12"/>
      <c r="BJ113" s="11"/>
      <c r="BK113" s="12"/>
      <c r="BL113" s="13"/>
      <c r="BM113" s="12"/>
      <c r="BN113" s="11"/>
      <c r="BO113" s="12"/>
      <c r="BP113" s="13"/>
      <c r="BQ113" s="12"/>
      <c r="BR113" s="11"/>
      <c r="BS113" s="12"/>
      <c r="BT113" s="13"/>
      <c r="BU113" s="12"/>
      <c r="BV113" s="11"/>
      <c r="BW113" s="12"/>
      <c r="BX113" s="11"/>
      <c r="BY113" s="12"/>
      <c r="BZ113" s="11"/>
      <c r="CA113" s="12"/>
      <c r="CB113" s="11"/>
      <c r="CC113" s="12"/>
      <c r="CD113" s="11"/>
      <c r="CE113" s="12"/>
      <c r="CF113" s="11"/>
      <c r="CG113" s="12"/>
      <c r="CH113" s="11"/>
      <c r="CI113" s="12"/>
      <c r="CJ113" s="11"/>
      <c r="CK113" s="12"/>
      <c r="CL113" s="11"/>
      <c r="CM113" s="11"/>
      <c r="CN113" s="11"/>
      <c r="CO113" s="11"/>
      <c r="CP113" s="11"/>
      <c r="CQ113" s="11"/>
      <c r="CR113" s="11"/>
      <c r="CS113" s="11"/>
      <c r="CT113" s="11"/>
      <c r="CU113" s="11"/>
    </row>
    <row r="114" spans="59:99" x14ac:dyDescent="0.3">
      <c r="BG114" s="14"/>
      <c r="BH114" s="13"/>
      <c r="BI114" s="12"/>
      <c r="BJ114" s="11"/>
      <c r="BK114" s="12"/>
      <c r="BL114" s="13"/>
      <c r="BM114" s="12"/>
      <c r="BN114" s="11"/>
      <c r="BO114" s="12"/>
      <c r="BP114" s="13"/>
      <c r="BQ114" s="12"/>
      <c r="BR114" s="11"/>
      <c r="BS114" s="12"/>
      <c r="BT114" s="13"/>
      <c r="BU114" s="12"/>
      <c r="BV114" s="11"/>
      <c r="BW114" s="12"/>
      <c r="BX114" s="13"/>
      <c r="BY114" s="12"/>
      <c r="BZ114" s="11"/>
      <c r="CA114" s="12"/>
      <c r="CB114" s="13"/>
      <c r="CC114" s="12"/>
      <c r="CD114" s="11"/>
      <c r="CE114" s="12"/>
      <c r="CF114" s="11"/>
      <c r="CG114" s="12"/>
      <c r="CH114" s="11"/>
      <c r="CI114" s="12"/>
      <c r="CJ114" s="11"/>
      <c r="CK114" s="12"/>
      <c r="CL114" s="11"/>
      <c r="CM114" s="11"/>
      <c r="CN114" s="11"/>
      <c r="CO114" s="11"/>
      <c r="CP114" s="11"/>
      <c r="CQ114" s="11"/>
      <c r="CR114" s="11"/>
      <c r="CS114" s="11"/>
      <c r="CT114" s="11"/>
      <c r="CU114" s="11"/>
    </row>
    <row r="115" spans="59:99" x14ac:dyDescent="0.3">
      <c r="BG115" s="14"/>
      <c r="BH115" s="11"/>
      <c r="BI115" s="12"/>
      <c r="BJ115" s="13"/>
      <c r="BK115" s="12"/>
      <c r="BL115" s="11"/>
      <c r="BM115" s="12"/>
      <c r="BN115" s="13"/>
      <c r="BO115" s="12"/>
      <c r="BP115" s="11"/>
      <c r="BQ115" s="12"/>
      <c r="BR115" s="11"/>
      <c r="BS115" s="12"/>
      <c r="BT115" s="11"/>
      <c r="BU115" s="12"/>
      <c r="BV115" s="11"/>
      <c r="BW115" s="12"/>
      <c r="BX115" s="11"/>
      <c r="BY115" s="12"/>
      <c r="BZ115" s="11"/>
      <c r="CA115" s="12"/>
      <c r="CB115" s="11"/>
      <c r="CC115" s="12"/>
      <c r="CD115" s="11"/>
      <c r="CE115" s="12"/>
      <c r="CF115" s="11"/>
      <c r="CG115" s="12"/>
      <c r="CH115" s="11"/>
      <c r="CI115" s="12"/>
      <c r="CJ115" s="11"/>
      <c r="CK115" s="12"/>
      <c r="CL115" s="11"/>
      <c r="CM115" s="11"/>
      <c r="CN115" s="11"/>
      <c r="CO115" s="11"/>
      <c r="CP115" s="11"/>
      <c r="CQ115" s="11"/>
      <c r="CR115" s="11"/>
      <c r="CS115" s="11"/>
      <c r="CT115" s="11"/>
      <c r="CU115" s="11"/>
    </row>
    <row r="116" spans="59:99" x14ac:dyDescent="0.3">
      <c r="BG116" s="14"/>
      <c r="BH116" s="11"/>
      <c r="BI116" s="12"/>
      <c r="BJ116" s="13"/>
      <c r="BK116" s="12"/>
      <c r="BL116" s="11"/>
      <c r="BM116" s="12"/>
      <c r="BN116" s="13"/>
      <c r="BO116" s="12"/>
      <c r="BP116" s="11"/>
      <c r="BQ116" s="12"/>
      <c r="BR116" s="11"/>
      <c r="BS116" s="12"/>
      <c r="BT116" s="11"/>
      <c r="BU116" s="12"/>
      <c r="BV116" s="11"/>
      <c r="BW116" s="12"/>
      <c r="BX116" s="11"/>
      <c r="BY116" s="12"/>
      <c r="BZ116" s="11"/>
      <c r="CA116" s="12"/>
      <c r="CB116" s="11"/>
      <c r="CC116" s="12"/>
      <c r="CD116" s="11"/>
      <c r="CE116" s="12"/>
      <c r="CF116" s="11"/>
      <c r="CG116" s="12"/>
      <c r="CH116" s="11"/>
      <c r="CI116" s="12"/>
      <c r="CJ116" s="11"/>
      <c r="CK116" s="12"/>
      <c r="CL116" s="11"/>
      <c r="CM116" s="11"/>
      <c r="CN116" s="11"/>
      <c r="CO116" s="11"/>
      <c r="CP116" s="11"/>
      <c r="CQ116" s="11"/>
      <c r="CR116" s="11"/>
      <c r="CS116" s="11"/>
      <c r="CT116" s="11"/>
      <c r="CU116" s="11"/>
    </row>
    <row r="117" spans="59:99" x14ac:dyDescent="0.3">
      <c r="BG117" s="14"/>
      <c r="BH117" s="13"/>
      <c r="BI117" s="12"/>
      <c r="BJ117" s="11"/>
      <c r="BK117" s="12"/>
      <c r="BL117" s="13"/>
      <c r="BM117" s="12"/>
      <c r="BN117" s="11"/>
      <c r="BO117" s="12"/>
      <c r="BP117" s="11"/>
      <c r="BQ117" s="12"/>
      <c r="BR117" s="11"/>
      <c r="BS117" s="12"/>
      <c r="BT117" s="11"/>
      <c r="BU117" s="12"/>
      <c r="BV117" s="11"/>
      <c r="BW117" s="12"/>
      <c r="BX117" s="11"/>
      <c r="BY117" s="12"/>
      <c r="BZ117" s="11"/>
      <c r="CA117" s="12"/>
      <c r="CB117" s="11"/>
      <c r="CC117" s="12"/>
      <c r="CD117" s="11"/>
      <c r="CE117" s="12"/>
      <c r="CF117" s="11"/>
      <c r="CG117" s="12"/>
      <c r="CH117" s="11"/>
      <c r="CI117" s="12"/>
      <c r="CJ117" s="11"/>
      <c r="CK117" s="12"/>
      <c r="CL117" s="11"/>
      <c r="CM117" s="11"/>
      <c r="CN117" s="11"/>
      <c r="CO117" s="11"/>
      <c r="CP117" s="11"/>
      <c r="CQ117" s="11"/>
      <c r="CR117" s="11"/>
      <c r="CS117" s="11"/>
      <c r="CT117" s="11"/>
      <c r="CU117" s="11"/>
    </row>
    <row r="118" spans="59:99" x14ac:dyDescent="0.3">
      <c r="BG118" s="14"/>
      <c r="BH118" s="11"/>
      <c r="BI118" s="12"/>
      <c r="BJ118" s="13"/>
      <c r="BK118" s="12"/>
      <c r="BL118" s="11"/>
      <c r="BM118" s="12"/>
      <c r="BN118" s="11"/>
      <c r="BO118" s="12"/>
      <c r="BP118" s="11"/>
      <c r="BQ118" s="12"/>
      <c r="BR118" s="11"/>
      <c r="BS118" s="12"/>
      <c r="BT118" s="11"/>
      <c r="BU118" s="12"/>
      <c r="BV118" s="11"/>
      <c r="BW118" s="12"/>
      <c r="BX118" s="11"/>
      <c r="BY118" s="12"/>
      <c r="BZ118" s="11"/>
      <c r="CA118" s="12"/>
      <c r="CB118" s="11"/>
      <c r="CC118" s="12"/>
      <c r="CD118" s="11"/>
      <c r="CE118" s="12"/>
      <c r="CF118" s="11"/>
      <c r="CG118" s="12"/>
      <c r="CH118" s="11"/>
      <c r="CI118" s="12"/>
      <c r="CJ118" s="11"/>
      <c r="CK118" s="12"/>
      <c r="CL118" s="11"/>
      <c r="CM118" s="11"/>
      <c r="CN118" s="11"/>
      <c r="CO118" s="11"/>
      <c r="CP118" s="11"/>
      <c r="CQ118" s="11"/>
      <c r="CR118" s="11"/>
      <c r="CS118" s="11"/>
      <c r="CT118" s="11"/>
      <c r="CU118" s="11"/>
    </row>
    <row r="119" spans="59:99" x14ac:dyDescent="0.3">
      <c r="BG119" s="14"/>
      <c r="BH119" s="13"/>
      <c r="BI119" s="12"/>
      <c r="BJ119" s="11"/>
      <c r="BK119" s="12"/>
      <c r="BL119" s="13"/>
      <c r="BM119" s="12"/>
      <c r="BN119" s="11"/>
      <c r="BO119" s="12"/>
      <c r="BP119" s="11"/>
      <c r="BQ119" s="12"/>
      <c r="BR119" s="11"/>
      <c r="BS119" s="12"/>
      <c r="BT119" s="11"/>
      <c r="BU119" s="12"/>
      <c r="BV119" s="11"/>
      <c r="BW119" s="12"/>
      <c r="BX119" s="11"/>
      <c r="BY119" s="12"/>
      <c r="BZ119" s="11"/>
      <c r="CA119" s="12"/>
      <c r="CB119" s="11"/>
      <c r="CC119" s="12"/>
      <c r="CD119" s="11"/>
      <c r="CE119" s="12"/>
      <c r="CF119" s="11"/>
      <c r="CG119" s="12"/>
      <c r="CH119" s="11"/>
      <c r="CI119" s="12"/>
      <c r="CJ119" s="11"/>
      <c r="CK119" s="12"/>
      <c r="CL119" s="11"/>
      <c r="CM119" s="11"/>
      <c r="CN119" s="11"/>
      <c r="CO119" s="11"/>
      <c r="CP119" s="11"/>
      <c r="CQ119" s="11"/>
      <c r="CR119" s="11"/>
      <c r="CS119" s="11"/>
      <c r="CT119" s="11"/>
      <c r="CU119" s="11"/>
    </row>
  </sheetData>
  <autoFilter ref="BG1:CU120" xr:uid="{17C8F500-F572-48F8-85FA-E2911D642D60}"/>
  <mergeCells count="4">
    <mergeCell ref="J1:M1"/>
    <mergeCell ref="E7:F7"/>
    <mergeCell ref="A2:B2"/>
    <mergeCell ref="C1:H1"/>
  </mergeCells>
  <conditionalFormatting sqref="H10:AL10">
    <cfRule type="cellIs" dxfId="56" priority="13" operator="equal">
      <formula>0</formula>
    </cfRule>
    <cfRule type="cellIs" dxfId="55" priority="14" operator="lessThan">
      <formula>0</formula>
    </cfRule>
  </conditionalFormatting>
  <conditionalFormatting sqref="H11:AL11 H16:AL16 H21:AL21 H26:AL26 H31:AL31 H45:AL45">
    <cfRule type="cellIs" dxfId="54" priority="19" operator="equal">
      <formula>0</formula>
    </cfRule>
    <cfRule type="cellIs" dxfId="53" priority="20" operator="lessThan">
      <formula>0</formula>
    </cfRule>
  </conditionalFormatting>
  <conditionalFormatting sqref="H15:AL15">
    <cfRule type="cellIs" dxfId="52" priority="11" operator="equal">
      <formula>0</formula>
    </cfRule>
    <cfRule type="cellIs" dxfId="51" priority="12" operator="lessThan">
      <formula>0</formula>
    </cfRule>
  </conditionalFormatting>
  <conditionalFormatting sqref="H20:AL20">
    <cfRule type="cellIs" dxfId="50" priority="9" operator="equal">
      <formula>0</formula>
    </cfRule>
    <cfRule type="cellIs" dxfId="49" priority="10" operator="lessThan">
      <formula>0</formula>
    </cfRule>
  </conditionalFormatting>
  <conditionalFormatting sqref="H25:AL25">
    <cfRule type="cellIs" dxfId="48" priority="7" operator="equal">
      <formula>0</formula>
    </cfRule>
    <cfRule type="cellIs" dxfId="47" priority="8" operator="lessThan">
      <formula>0</formula>
    </cfRule>
  </conditionalFormatting>
  <conditionalFormatting sqref="H30:AL30">
    <cfRule type="cellIs" dxfId="46" priority="5" operator="equal">
      <formula>0</formula>
    </cfRule>
    <cfRule type="cellIs" dxfId="45" priority="6" operator="lessThan">
      <formula>0</formula>
    </cfRule>
  </conditionalFormatting>
  <conditionalFormatting sqref="H35:AL35">
    <cfRule type="cellIs" dxfId="44" priority="3" operator="equal">
      <formula>0</formula>
    </cfRule>
    <cfRule type="cellIs" dxfId="43" priority="4" operator="lessThan">
      <formula>0</formula>
    </cfRule>
  </conditionalFormatting>
  <conditionalFormatting sqref="H36:AL36">
    <cfRule type="cellIs" dxfId="42" priority="17" operator="equal">
      <formula>0</formula>
    </cfRule>
    <cfRule type="cellIs" dxfId="41" priority="18" operator="lessThan">
      <formula>0</formula>
    </cfRule>
  </conditionalFormatting>
  <conditionalFormatting sqref="H40:AL40">
    <cfRule type="cellIs" dxfId="40" priority="1" operator="equal">
      <formula>0</formula>
    </cfRule>
    <cfRule type="cellIs" dxfId="39" priority="2" operator="lessThan">
      <formula>0</formula>
    </cfRule>
  </conditionalFormatting>
  <conditionalFormatting sqref="H41:AL41">
    <cfRule type="cellIs" dxfId="38" priority="15" operator="equal">
      <formula>0</formula>
    </cfRule>
    <cfRule type="cellIs" dxfId="37" priority="16" operator="lessThan">
      <formula>0</formula>
    </cfRule>
  </conditionalFormatting>
  <dataValidations count="1">
    <dataValidation type="list" allowBlank="1" showInputMessage="1" showErrorMessage="1" sqref="C1" xr:uid="{00000000-0002-0000-0100-000000000000}">
      <formula1>$BG$2:$BG$119</formula1>
    </dataValidation>
  </dataValidations>
  <pageMargins left="0.3" right="0.3" top="0.5" bottom="0.5" header="0.3" footer="0.3"/>
  <pageSetup scale="74" fitToHeight="0" orientation="landscape" r:id="rId1"/>
  <headerFooter>
    <oddHeader>&amp;C&amp;"Calibri,Bold"&amp;14Materialization - THE THREE CORNERS FAYROUZ PLAZA BEACH RESORT (RMF)</oddHeader>
  </headerFooter>
  <colBreaks count="1" manualBreakCount="1">
    <brk id="38" max="1048575" man="1"/>
  </col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33DDB7-9D03-426C-A075-D78D1993A7A8}">
  <sheetPr codeName="Sheet9">
    <tabColor theme="5" tint="-0.249977111117893"/>
    <pageSetUpPr fitToPage="1"/>
  </sheetPr>
  <dimension ref="A1:I1053"/>
  <sheetViews>
    <sheetView zoomScaleNormal="100" zoomScalePageLayoutView="70" workbookViewId="0">
      <selection activeCell="C11" sqref="C11"/>
    </sheetView>
  </sheetViews>
  <sheetFormatPr defaultColWidth="9.88671875" defaultRowHeight="15.6" x14ac:dyDescent="0.3"/>
  <cols>
    <col min="1" max="1" width="12.109375" style="78" bestFit="1" customWidth="1"/>
    <col min="2" max="2" width="17.33203125" style="78" customWidth="1"/>
    <col min="3" max="3" width="13.44140625" style="79" bestFit="1" customWidth="1"/>
    <col min="4" max="4" width="38.33203125" style="78" bestFit="1" customWidth="1"/>
    <col min="5" max="5" width="31.33203125" style="78" bestFit="1" customWidth="1"/>
    <col min="6" max="6" width="5.88671875" style="75" customWidth="1"/>
    <col min="7" max="7" width="6.44140625" style="79" customWidth="1"/>
    <col min="8" max="8" width="9.88671875" style="77" customWidth="1"/>
    <col min="9" max="9" width="12" style="76" customWidth="1"/>
    <col min="10" max="10" width="9.88671875" style="75" customWidth="1"/>
    <col min="11" max="16384" width="9.88671875" style="75"/>
  </cols>
  <sheetData>
    <row r="1" spans="1:9" x14ac:dyDescent="0.3">
      <c r="A1" s="94" t="s">
        <v>228</v>
      </c>
      <c r="B1" s="93" t="s">
        <v>229</v>
      </c>
      <c r="C1" s="89"/>
      <c r="D1" s="87"/>
      <c r="E1" s="87"/>
      <c r="F1" s="92"/>
      <c r="G1" s="89"/>
      <c r="H1" s="86"/>
      <c r="I1" s="91"/>
    </row>
    <row r="2" spans="1:9" x14ac:dyDescent="0.3">
      <c r="A2" s="90">
        <v>46062</v>
      </c>
      <c r="B2" s="90">
        <f>A2</f>
        <v>46062</v>
      </c>
      <c r="C2" s="89"/>
      <c r="D2" s="87"/>
      <c r="E2" s="87"/>
      <c r="F2" s="110"/>
      <c r="G2" s="109" t="s">
        <v>1366</v>
      </c>
      <c r="H2" s="81" t="s">
        <v>1366</v>
      </c>
      <c r="I2" s="111"/>
    </row>
    <row r="3" spans="1:9" x14ac:dyDescent="0.3">
      <c r="A3" s="87"/>
      <c r="B3" s="87"/>
      <c r="C3" s="89"/>
      <c r="D3" s="87"/>
      <c r="E3" s="87"/>
      <c r="F3" s="88"/>
      <c r="G3" s="89"/>
      <c r="H3" s="86"/>
      <c r="I3" s="85"/>
    </row>
    <row r="4" spans="1:9" x14ac:dyDescent="0.3">
      <c r="A4" s="83" t="s">
        <v>10</v>
      </c>
      <c r="B4" s="84" t="s">
        <v>34</v>
      </c>
      <c r="C4" s="83" t="s">
        <v>35</v>
      </c>
      <c r="D4" s="84" t="s">
        <v>8</v>
      </c>
      <c r="E4" s="84" t="s">
        <v>19</v>
      </c>
      <c r="F4" s="83" t="s">
        <v>15</v>
      </c>
      <c r="G4" s="83" t="s">
        <v>16</v>
      </c>
      <c r="H4" s="83" t="s">
        <v>17</v>
      </c>
      <c r="I4" s="83" t="s">
        <v>3</v>
      </c>
    </row>
    <row r="5" spans="1:9" x14ac:dyDescent="0.3">
      <c r="A5" s="82" t="str" cm="1">
        <f t="array" ref="A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5" s="79" t="str" cm="1">
        <f t="array" ref="B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5" s="108" t="str" cm="1">
        <f t="array" ref="C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5" s="79" t="str" cm="1">
        <f t="array" ref="D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5" s="79" t="str" cm="1">
        <f t="array" ref="E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5" s="80" t="str" cm="1">
        <f t="array" ref="F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5" s="80" t="str" cm="1">
        <f t="array" ref="G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5" s="80" t="str" cm="1">
        <f t="array" ref="H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5" s="78" t="str" cm="1">
        <f t="array" ref="I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6" spans="1:9" hidden="1" x14ac:dyDescent="0.3">
      <c r="A6" s="82" t="str" cm="1">
        <f t="array" ref="A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6" s="79" t="str" cm="1">
        <f t="array" ref="B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6" s="108" t="str" cm="1">
        <f t="array" ref="C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6" s="79" t="str" cm="1">
        <f t="array" ref="D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6" s="79" t="str" cm="1">
        <f t="array" ref="E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6" s="80" t="str" cm="1">
        <f t="array" ref="F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6" s="80" t="str" cm="1">
        <f t="array" ref="G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6" s="80" t="str" cm="1">
        <f t="array" ref="H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6" s="78" t="str" cm="1">
        <f t="array" ref="I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7" spans="1:9" hidden="1" x14ac:dyDescent="0.3">
      <c r="A7" s="82" t="str" cm="1">
        <f t="array" ref="A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7" s="79" t="str" cm="1">
        <f t="array" ref="B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7" s="108" t="str" cm="1">
        <f t="array" ref="C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7" s="79" t="str" cm="1">
        <f t="array" ref="D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7" s="79" t="str" cm="1">
        <f t="array" ref="E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7" s="80" t="str" cm="1">
        <f t="array" ref="F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7" s="80" t="str" cm="1">
        <f t="array" ref="G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7" s="80" t="str" cm="1">
        <f t="array" ref="H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7" s="78" t="str" cm="1">
        <f t="array" ref="I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8" spans="1:9" hidden="1" x14ac:dyDescent="0.3">
      <c r="A8" s="82" t="str" cm="1">
        <f t="array" ref="A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8" s="79" t="str" cm="1">
        <f t="array" ref="B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8" s="108" t="str" cm="1">
        <f t="array" ref="C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8" s="79" t="str" cm="1">
        <f t="array" ref="D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8" s="79" t="str" cm="1">
        <f t="array" ref="E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8" s="80" t="str" cm="1">
        <f t="array" ref="F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8" s="80" t="str" cm="1">
        <f t="array" ref="G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8" s="80" t="str" cm="1">
        <f t="array" ref="H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8" s="78" t="str" cm="1">
        <f t="array" ref="I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9" spans="1:9" hidden="1" x14ac:dyDescent="0.3">
      <c r="A9" s="82" t="str" cm="1">
        <f t="array" ref="A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9" s="79" t="str" cm="1">
        <f t="array" ref="B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9" s="108" t="str" cm="1">
        <f t="array" ref="C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9" s="79" t="str" cm="1">
        <f t="array" ref="D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9" s="79" t="str" cm="1">
        <f t="array" ref="E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9" s="80" t="str" cm="1">
        <f t="array" ref="F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9" s="80" t="str" cm="1">
        <f t="array" ref="G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9" s="80" t="str" cm="1">
        <f t="array" ref="H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9" s="78" t="str" cm="1">
        <f t="array" ref="I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10" spans="1:9" hidden="1" x14ac:dyDescent="0.3">
      <c r="A10" s="82" t="str" cm="1">
        <f t="array" ref="A1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10" s="79" t="str" cm="1">
        <f t="array" ref="B1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10" s="108" t="str" cm="1">
        <f t="array" ref="C1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10" s="79" t="str" cm="1">
        <f t="array" ref="D1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10" s="79" t="str" cm="1">
        <f t="array" ref="E1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10" s="80" t="str" cm="1">
        <f t="array" ref="F1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10" s="80" t="str" cm="1">
        <f t="array" ref="G1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10" s="80" t="str" cm="1">
        <f t="array" ref="H1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10" s="78" t="str" cm="1">
        <f t="array" ref="I1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11" spans="1:9" hidden="1" x14ac:dyDescent="0.3">
      <c r="A11" s="82" t="str" cm="1">
        <f t="array" ref="A1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11" s="79" t="str" cm="1">
        <f t="array" ref="B1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11" s="108" t="str" cm="1">
        <f t="array" ref="C1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11" s="79" t="str" cm="1">
        <f t="array" ref="D1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11" s="79" t="str" cm="1">
        <f t="array" ref="E1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11" s="80" t="str" cm="1">
        <f t="array" ref="F1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11" s="80" t="str" cm="1">
        <f t="array" ref="G1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11" s="80" t="str" cm="1">
        <f t="array" ref="H1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11" s="78" t="str" cm="1">
        <f t="array" ref="I1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12" spans="1:9" hidden="1" x14ac:dyDescent="0.3">
      <c r="A12" s="82" t="str" cm="1">
        <f t="array" ref="A1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12" s="79" t="str" cm="1">
        <f t="array" ref="B1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12" s="108" t="str" cm="1">
        <f t="array" ref="C1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12" s="79" t="str" cm="1">
        <f t="array" ref="D1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12" s="79" t="str" cm="1">
        <f t="array" ref="E1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12" s="80" t="str" cm="1">
        <f t="array" ref="F1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12" s="80" t="str" cm="1">
        <f t="array" ref="G1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12" s="80" t="str" cm="1">
        <f t="array" ref="H1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12" s="78" t="str" cm="1">
        <f t="array" ref="I1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13" spans="1:9" hidden="1" x14ac:dyDescent="0.3">
      <c r="A13" s="82" t="str" cm="1">
        <f t="array" ref="A1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13" s="79" t="str" cm="1">
        <f t="array" ref="B1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13" s="108" t="str" cm="1">
        <f t="array" ref="C1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13" s="79" t="str" cm="1">
        <f t="array" ref="D1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13" s="79" t="str" cm="1">
        <f t="array" ref="E1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13" s="80" t="str" cm="1">
        <f t="array" ref="F1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13" s="80" t="str" cm="1">
        <f t="array" ref="G1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13" s="80" t="str" cm="1">
        <f t="array" ref="H1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13" s="78" t="str" cm="1">
        <f t="array" ref="I1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14" spans="1:9" hidden="1" x14ac:dyDescent="0.3">
      <c r="A14" s="82" t="str" cm="1">
        <f t="array" ref="A1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14" s="79" t="str" cm="1">
        <f t="array" ref="B1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14" s="108" t="str" cm="1">
        <f t="array" ref="C1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14" s="79" t="str" cm="1">
        <f t="array" ref="D1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14" s="79" t="str" cm="1">
        <f t="array" ref="E1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14" s="80" t="str" cm="1">
        <f t="array" ref="F1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14" s="80" t="str" cm="1">
        <f t="array" ref="G1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14" s="80" t="str" cm="1">
        <f t="array" ref="H1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14" s="78" t="str" cm="1">
        <f t="array" ref="I1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15" spans="1:9" hidden="1" x14ac:dyDescent="0.3">
      <c r="A15" s="82" t="str" cm="1">
        <f t="array" ref="A1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15" s="79" t="str" cm="1">
        <f t="array" ref="B1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15" s="108" t="str" cm="1">
        <f t="array" ref="C1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15" s="79" t="str" cm="1">
        <f t="array" ref="D1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15" s="79" t="str" cm="1">
        <f t="array" ref="E1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15" s="80" t="str" cm="1">
        <f t="array" ref="F1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15" s="80" t="str" cm="1">
        <f t="array" ref="G1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15" s="80" t="str" cm="1">
        <f t="array" ref="H1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15" s="78" t="str" cm="1">
        <f t="array" ref="I1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16" spans="1:9" hidden="1" x14ac:dyDescent="0.3">
      <c r="A16" s="82" t="str" cm="1">
        <f t="array" ref="A1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16" s="79" t="str" cm="1">
        <f t="array" ref="B1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16" s="108" t="str" cm="1">
        <f t="array" ref="C1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16" s="79" t="str" cm="1">
        <f t="array" ref="D1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16" s="79" t="str" cm="1">
        <f t="array" ref="E1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16" s="80" t="str" cm="1">
        <f t="array" ref="F1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16" s="80" t="str" cm="1">
        <f t="array" ref="G1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16" s="80" t="str" cm="1">
        <f t="array" ref="H1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16" s="78" t="str" cm="1">
        <f t="array" ref="I1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17" spans="1:9" hidden="1" x14ac:dyDescent="0.3">
      <c r="A17" s="82" t="str" cm="1">
        <f t="array" ref="A1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17" s="79" t="str" cm="1">
        <f t="array" ref="B1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17" s="108" t="str" cm="1">
        <f t="array" ref="C1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17" s="79" t="str" cm="1">
        <f t="array" ref="D1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17" s="79" t="str" cm="1">
        <f t="array" ref="E1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17" s="80" t="str" cm="1">
        <f t="array" ref="F1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17" s="80" t="str" cm="1">
        <f t="array" ref="G1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17" s="80" t="str" cm="1">
        <f t="array" ref="H1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17" s="78" t="str" cm="1">
        <f t="array" ref="I1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18" spans="1:9" hidden="1" x14ac:dyDescent="0.3">
      <c r="A18" s="82" t="str" cm="1">
        <f t="array" ref="A1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18" s="79" t="str" cm="1">
        <f t="array" ref="B1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18" s="108" t="str" cm="1">
        <f t="array" ref="C1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18" s="79" t="str" cm="1">
        <f t="array" ref="D1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18" s="79" t="str" cm="1">
        <f t="array" ref="E1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18" s="80" t="str" cm="1">
        <f t="array" ref="F1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18" s="80" t="str" cm="1">
        <f t="array" ref="G1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18" s="80" t="str" cm="1">
        <f t="array" ref="H1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18" s="78" t="str" cm="1">
        <f t="array" ref="I1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19" spans="1:9" hidden="1" x14ac:dyDescent="0.3">
      <c r="A19" s="82" t="str" cm="1">
        <f t="array" ref="A1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19" s="79" t="str" cm="1">
        <f t="array" ref="B1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19" s="108" t="str" cm="1">
        <f t="array" ref="C1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19" s="79" t="str" cm="1">
        <f t="array" ref="D1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19" s="79" t="str" cm="1">
        <f t="array" ref="E1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19" s="80" t="str" cm="1">
        <f t="array" ref="F1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19" s="80" t="str" cm="1">
        <f t="array" ref="G1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19" s="80" t="str" cm="1">
        <f t="array" ref="H1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19" s="78" t="str" cm="1">
        <f t="array" ref="I1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20" spans="1:9" hidden="1" x14ac:dyDescent="0.3">
      <c r="A20" s="82" t="str" cm="1">
        <f t="array" ref="A2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20" s="79" t="str" cm="1">
        <f t="array" ref="B2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20" s="108" t="str" cm="1">
        <f t="array" ref="C2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20" s="79" t="str" cm="1">
        <f t="array" ref="D2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20" s="79" t="str" cm="1">
        <f t="array" ref="E2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20" s="80" t="str" cm="1">
        <f t="array" ref="F2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20" s="80" t="str" cm="1">
        <f t="array" ref="G2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20" s="80" t="str" cm="1">
        <f t="array" ref="H2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20" s="78" t="str" cm="1">
        <f t="array" ref="I2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21" spans="1:9" hidden="1" x14ac:dyDescent="0.3">
      <c r="A21" s="82" t="str" cm="1">
        <f t="array" ref="A2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21" s="79" t="str" cm="1">
        <f t="array" ref="B2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21" s="108" t="str" cm="1">
        <f t="array" ref="C2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21" s="79" t="str" cm="1">
        <f t="array" ref="D2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21" s="79" t="str" cm="1">
        <f t="array" ref="E2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21" s="80" t="str" cm="1">
        <f t="array" ref="F2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21" s="80" t="str" cm="1">
        <f t="array" ref="G2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21" s="80" t="str" cm="1">
        <f t="array" ref="H2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21" s="78" t="str" cm="1">
        <f t="array" ref="I2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22" spans="1:9" hidden="1" x14ac:dyDescent="0.3">
      <c r="A22" s="82" t="str" cm="1">
        <f t="array" ref="A2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22" s="79" t="str" cm="1">
        <f t="array" ref="B2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22" s="108" t="str" cm="1">
        <f t="array" ref="C2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22" s="79" t="str" cm="1">
        <f t="array" ref="D2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22" s="79" t="str" cm="1">
        <f t="array" ref="E2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22" s="80" t="str" cm="1">
        <f t="array" ref="F2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22" s="80" t="str" cm="1">
        <f t="array" ref="G2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22" s="80" t="str" cm="1">
        <f t="array" ref="H2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22" s="78" t="str" cm="1">
        <f t="array" ref="I2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23" spans="1:9" hidden="1" x14ac:dyDescent="0.3">
      <c r="A23" s="82" t="str" cm="1">
        <f t="array" ref="A2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23" s="79" t="str" cm="1">
        <f t="array" ref="B2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23" s="108" t="str" cm="1">
        <f t="array" ref="C2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23" s="79" t="str" cm="1">
        <f t="array" ref="D2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23" s="79" t="str" cm="1">
        <f t="array" ref="E2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23" s="80" t="str" cm="1">
        <f t="array" ref="F2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23" s="80" t="str" cm="1">
        <f t="array" ref="G2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23" s="80" t="str" cm="1">
        <f t="array" ref="H2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23" s="78" t="str" cm="1">
        <f t="array" ref="I2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24" spans="1:9" hidden="1" x14ac:dyDescent="0.3">
      <c r="A24" s="82" t="str" cm="1">
        <f t="array" ref="A2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24" s="79" t="str" cm="1">
        <f t="array" ref="B2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24" s="108" t="str" cm="1">
        <f t="array" ref="C2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24" s="79" t="str" cm="1">
        <f t="array" ref="D2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24" s="79" t="str" cm="1">
        <f t="array" ref="E2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24" s="80" t="str" cm="1">
        <f t="array" ref="F2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24" s="80" t="str" cm="1">
        <f t="array" ref="G2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24" s="80" t="str" cm="1">
        <f t="array" ref="H2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24" s="78" t="str" cm="1">
        <f t="array" ref="I2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25" spans="1:9" hidden="1" x14ac:dyDescent="0.3">
      <c r="A25" s="82" t="str" cm="1">
        <f t="array" ref="A2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25" s="79" t="str" cm="1">
        <f t="array" ref="B2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25" s="108" t="str" cm="1">
        <f t="array" ref="C2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25" s="79" t="str" cm="1">
        <f t="array" ref="D2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25" s="79" t="str" cm="1">
        <f t="array" ref="E2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25" s="80" t="str" cm="1">
        <f t="array" ref="F2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25" s="80" t="str" cm="1">
        <f t="array" ref="G2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25" s="80" t="str" cm="1">
        <f t="array" ref="H2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25" s="78" t="str" cm="1">
        <f t="array" ref="I2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26" spans="1:9" hidden="1" x14ac:dyDescent="0.3">
      <c r="A26" s="82" t="str" cm="1">
        <f t="array" ref="A2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26" s="79" t="str" cm="1">
        <f t="array" ref="B2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26" s="108" t="str" cm="1">
        <f t="array" ref="C2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26" s="79" t="str" cm="1">
        <f t="array" ref="D2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26" s="79" t="str" cm="1">
        <f t="array" ref="E2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26" s="80" t="str" cm="1">
        <f t="array" ref="F2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26" s="80" t="str" cm="1">
        <f t="array" ref="G2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26" s="80" t="str" cm="1">
        <f t="array" ref="H2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26" s="78" t="str" cm="1">
        <f t="array" ref="I2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27" spans="1:9" hidden="1" x14ac:dyDescent="0.3">
      <c r="A27" s="82" t="str" cm="1">
        <f t="array" ref="A2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27" s="79" t="str" cm="1">
        <f t="array" ref="B2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27" s="108" t="str" cm="1">
        <f t="array" ref="C2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27" s="79" t="str" cm="1">
        <f t="array" ref="D2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27" s="79" t="str" cm="1">
        <f t="array" ref="E2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27" s="80" t="str" cm="1">
        <f t="array" ref="F2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27" s="80" t="str" cm="1">
        <f t="array" ref="G2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27" s="80" t="str" cm="1">
        <f t="array" ref="H2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27" s="78" t="str" cm="1">
        <f t="array" ref="I2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28" spans="1:9" hidden="1" x14ac:dyDescent="0.3">
      <c r="A28" s="82" t="str" cm="1">
        <f t="array" ref="A2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28" s="79" t="str" cm="1">
        <f t="array" ref="B2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28" s="108" t="str" cm="1">
        <f t="array" ref="C2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28" s="79" t="str" cm="1">
        <f t="array" ref="D2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28" s="79" t="str" cm="1">
        <f t="array" ref="E2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28" s="80" t="str" cm="1">
        <f t="array" ref="F2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28" s="80" t="str" cm="1">
        <f t="array" ref="G2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28" s="80" t="str" cm="1">
        <f t="array" ref="H2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28" s="78" t="str" cm="1">
        <f t="array" ref="I2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29" spans="1:9" hidden="1" x14ac:dyDescent="0.3">
      <c r="A29" s="82" t="str" cm="1">
        <f t="array" ref="A2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29" s="79" t="str" cm="1">
        <f t="array" ref="B2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29" s="108" t="str" cm="1">
        <f t="array" ref="C2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29" s="79" t="str" cm="1">
        <f t="array" ref="D2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29" s="79" t="str" cm="1">
        <f t="array" ref="E2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29" s="80" t="str" cm="1">
        <f t="array" ref="F2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29" s="80" t="str" cm="1">
        <f t="array" ref="G2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29" s="80" t="str" cm="1">
        <f t="array" ref="H2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29" s="78" t="str" cm="1">
        <f t="array" ref="I2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30" spans="1:9" hidden="1" x14ac:dyDescent="0.3">
      <c r="A30" s="82" t="str" cm="1">
        <f t="array" ref="A3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30" s="79" t="str" cm="1">
        <f t="array" ref="B3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30" s="108" t="str" cm="1">
        <f t="array" ref="C3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30" s="79" t="str" cm="1">
        <f t="array" ref="D3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30" s="79" t="str" cm="1">
        <f t="array" ref="E3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30" s="80" t="str" cm="1">
        <f t="array" ref="F3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30" s="80" t="str" cm="1">
        <f t="array" ref="G3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30" s="80" t="str" cm="1">
        <f t="array" ref="H3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30" s="78" t="str" cm="1">
        <f t="array" ref="I3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31" spans="1:9" hidden="1" x14ac:dyDescent="0.3">
      <c r="A31" s="82" t="str" cm="1">
        <f t="array" ref="A3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31" s="79" t="str" cm="1">
        <f t="array" ref="B3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31" s="108" t="str" cm="1">
        <f t="array" ref="C3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31" s="79" t="str" cm="1">
        <f t="array" ref="D3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31" s="79" t="str" cm="1">
        <f t="array" ref="E3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31" s="80" t="str" cm="1">
        <f t="array" ref="F3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31" s="80" t="str" cm="1">
        <f t="array" ref="G3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31" s="80" t="str" cm="1">
        <f t="array" ref="H3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31" s="78" t="str" cm="1">
        <f t="array" ref="I3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32" spans="1:9" hidden="1" x14ac:dyDescent="0.3">
      <c r="A32" s="82" t="str" cm="1">
        <f t="array" ref="A3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32" s="79" t="str" cm="1">
        <f t="array" ref="B3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32" s="108" t="str" cm="1">
        <f t="array" ref="C3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32" s="79" t="str" cm="1">
        <f t="array" ref="D3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32" s="79" t="str" cm="1">
        <f t="array" ref="E3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32" s="80" t="str" cm="1">
        <f t="array" ref="F3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32" s="80" t="str" cm="1">
        <f t="array" ref="G3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32" s="80" t="str" cm="1">
        <f t="array" ref="H3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32" s="78" t="str" cm="1">
        <f t="array" ref="I3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33" spans="1:9" hidden="1" x14ac:dyDescent="0.3">
      <c r="A33" s="82" t="str" cm="1">
        <f t="array" ref="A3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33" s="79" t="str" cm="1">
        <f t="array" ref="B3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33" s="108" t="str" cm="1">
        <f t="array" ref="C3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33" s="79" t="str" cm="1">
        <f t="array" ref="D3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33" s="79" t="str" cm="1">
        <f t="array" ref="E3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33" s="80" t="str" cm="1">
        <f t="array" ref="F3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33" s="80" t="str" cm="1">
        <f t="array" ref="G3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33" s="80" t="str" cm="1">
        <f t="array" ref="H3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33" s="78" t="str" cm="1">
        <f t="array" ref="I3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34" spans="1:9" hidden="1" x14ac:dyDescent="0.3">
      <c r="A34" s="82" t="str" cm="1">
        <f t="array" ref="A3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34" s="79" t="str" cm="1">
        <f t="array" ref="B3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34" s="108" t="str" cm="1">
        <f t="array" ref="C3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34" s="79" t="str" cm="1">
        <f t="array" ref="D3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34" s="79" t="str" cm="1">
        <f t="array" ref="E3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34" s="80" t="str" cm="1">
        <f t="array" ref="F3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34" s="80" t="str" cm="1">
        <f t="array" ref="G3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34" s="80" t="str" cm="1">
        <f t="array" ref="H3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34" s="78" t="str" cm="1">
        <f t="array" ref="I3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35" spans="1:9" hidden="1" x14ac:dyDescent="0.3">
      <c r="A35" s="82" t="str" cm="1">
        <f t="array" ref="A3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35" s="79" t="str" cm="1">
        <f t="array" ref="B3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35" s="108" t="str" cm="1">
        <f t="array" ref="C3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35" s="79" t="str" cm="1">
        <f t="array" ref="D3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35" s="79" t="str" cm="1">
        <f t="array" ref="E3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35" s="80" t="str" cm="1">
        <f t="array" ref="F3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35" s="80" t="str" cm="1">
        <f t="array" ref="G3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35" s="80" t="str" cm="1">
        <f t="array" ref="H3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35" s="78" t="str" cm="1">
        <f t="array" ref="I3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36" spans="1:9" hidden="1" x14ac:dyDescent="0.3">
      <c r="A36" s="82" t="str" cm="1">
        <f t="array" ref="A3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36" s="79" t="str" cm="1">
        <f t="array" ref="B3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36" s="108" t="str" cm="1">
        <f t="array" ref="C3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36" s="79" t="str" cm="1">
        <f t="array" ref="D3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36" s="79" t="str" cm="1">
        <f t="array" ref="E3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36" s="80" t="str" cm="1">
        <f t="array" ref="F3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36" s="80" t="str" cm="1">
        <f t="array" ref="G3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36" s="80" t="str" cm="1">
        <f t="array" ref="H3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36" s="78" t="str" cm="1">
        <f t="array" ref="I3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37" spans="1:9" hidden="1" x14ac:dyDescent="0.3">
      <c r="A37" s="82" t="str" cm="1">
        <f t="array" ref="A3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37" s="79" t="str" cm="1">
        <f t="array" ref="B3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37" s="108" t="str" cm="1">
        <f t="array" ref="C3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37" s="79" t="str" cm="1">
        <f t="array" ref="D3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37" s="79" t="str" cm="1">
        <f t="array" ref="E3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37" s="80" t="str" cm="1">
        <f t="array" ref="F3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37" s="80" t="str" cm="1">
        <f t="array" ref="G3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37" s="80" t="str" cm="1">
        <f t="array" ref="H3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37" s="78" t="str" cm="1">
        <f t="array" ref="I3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38" spans="1:9" hidden="1" x14ac:dyDescent="0.3">
      <c r="A38" s="82" t="str" cm="1">
        <f t="array" ref="A3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38" s="79" t="str" cm="1">
        <f t="array" ref="B3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38" s="108" t="str" cm="1">
        <f t="array" ref="C3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38" s="79" t="str" cm="1">
        <f t="array" ref="D3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38" s="79" t="str" cm="1">
        <f t="array" ref="E3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38" s="80" t="str" cm="1">
        <f t="array" ref="F3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38" s="80" t="str" cm="1">
        <f t="array" ref="G3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38" s="80" t="str" cm="1">
        <f t="array" ref="H3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38" s="78" t="str" cm="1">
        <f t="array" ref="I3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39" spans="1:9" hidden="1" x14ac:dyDescent="0.3">
      <c r="A39" s="82" t="str" cm="1">
        <f t="array" ref="A3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39" s="79" t="str" cm="1">
        <f t="array" ref="B3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39" s="108" t="str" cm="1">
        <f t="array" ref="C3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39" s="79" t="str" cm="1">
        <f t="array" ref="D3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39" s="79" t="str" cm="1">
        <f t="array" ref="E3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39" s="80" t="str" cm="1">
        <f t="array" ref="F3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39" s="80" t="str" cm="1">
        <f t="array" ref="G3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39" s="80" t="str" cm="1">
        <f t="array" ref="H3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39" s="78" t="str" cm="1">
        <f t="array" ref="I3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40" spans="1:9" hidden="1" x14ac:dyDescent="0.3">
      <c r="A40" s="82" t="str" cm="1">
        <f t="array" ref="A4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40" s="79" t="str" cm="1">
        <f t="array" ref="B4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40" s="108" t="str" cm="1">
        <f t="array" ref="C4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40" s="79" t="str" cm="1">
        <f t="array" ref="D4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40" s="79" t="str" cm="1">
        <f t="array" ref="E4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40" s="80" t="str" cm="1">
        <f t="array" ref="F4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40" s="80" t="str" cm="1">
        <f t="array" ref="G4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40" s="80" t="str" cm="1">
        <f t="array" ref="H4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40" s="78" t="str" cm="1">
        <f t="array" ref="I4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41" spans="1:9" hidden="1" x14ac:dyDescent="0.3">
      <c r="A41" s="82" t="str" cm="1">
        <f t="array" ref="A4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41" s="79" t="str" cm="1">
        <f t="array" ref="B4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41" s="108" t="str" cm="1">
        <f t="array" ref="C4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41" s="79" t="str" cm="1">
        <f t="array" ref="D4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41" s="79" t="str" cm="1">
        <f t="array" ref="E4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41" s="80" t="str" cm="1">
        <f t="array" ref="F4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41" s="80" t="str" cm="1">
        <f t="array" ref="G4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41" s="80" t="str" cm="1">
        <f t="array" ref="H4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41" s="78" t="str" cm="1">
        <f t="array" ref="I4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42" spans="1:9" hidden="1" x14ac:dyDescent="0.3">
      <c r="A42" s="82" t="str" cm="1">
        <f t="array" ref="A4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42" s="79" t="str" cm="1">
        <f t="array" ref="B4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42" s="108" t="str" cm="1">
        <f t="array" ref="C4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42" s="79" t="str" cm="1">
        <f t="array" ref="D4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42" s="79" t="str" cm="1">
        <f t="array" ref="E4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42" s="80" t="str" cm="1">
        <f t="array" ref="F4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42" s="80" t="str" cm="1">
        <f t="array" ref="G4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42" s="80" t="str" cm="1">
        <f t="array" ref="H4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42" s="78" t="str" cm="1">
        <f t="array" ref="I4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43" spans="1:9" hidden="1" x14ac:dyDescent="0.3">
      <c r="A43" s="82" t="str" cm="1">
        <f t="array" ref="A4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43" s="79" t="str" cm="1">
        <f t="array" ref="B4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43" s="108" t="str" cm="1">
        <f t="array" ref="C4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43" s="79" t="str" cm="1">
        <f t="array" ref="D4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43" s="79" t="str" cm="1">
        <f t="array" ref="E4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43" s="80" t="str" cm="1">
        <f t="array" ref="F4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43" s="80" t="str" cm="1">
        <f t="array" ref="G4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43" s="80" t="str" cm="1">
        <f t="array" ref="H4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43" s="78" t="str" cm="1">
        <f t="array" ref="I4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44" spans="1:9" hidden="1" x14ac:dyDescent="0.3">
      <c r="A44" s="82" t="str" cm="1">
        <f t="array" ref="A4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44" s="79" t="str" cm="1">
        <f t="array" ref="B4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44" s="108" t="str" cm="1">
        <f t="array" ref="C4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44" s="79" t="str" cm="1">
        <f t="array" ref="D4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44" s="79" t="str" cm="1">
        <f t="array" ref="E4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44" s="80" t="str" cm="1">
        <f t="array" ref="F4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44" s="80" t="str" cm="1">
        <f t="array" ref="G4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44" s="80" t="str" cm="1">
        <f t="array" ref="H4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44" s="78" t="str" cm="1">
        <f t="array" ref="I4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45" spans="1:9" hidden="1" x14ac:dyDescent="0.3">
      <c r="A45" s="82" t="str" cm="1">
        <f t="array" ref="A4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45" s="79" t="str" cm="1">
        <f t="array" ref="B4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45" s="108" t="str" cm="1">
        <f t="array" ref="C4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45" s="79" t="str" cm="1">
        <f t="array" ref="D4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45" s="79" t="str" cm="1">
        <f t="array" ref="E4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45" s="80" t="str" cm="1">
        <f t="array" ref="F4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45" s="80" t="str" cm="1">
        <f t="array" ref="G4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45" s="80" t="str" cm="1">
        <f t="array" ref="H4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45" s="78" t="str" cm="1">
        <f t="array" ref="I4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46" spans="1:9" hidden="1" x14ac:dyDescent="0.3">
      <c r="A46" s="82" t="str" cm="1">
        <f t="array" ref="A4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46" s="79" t="str" cm="1">
        <f t="array" ref="B4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46" s="108" t="str" cm="1">
        <f t="array" ref="C4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46" s="79" t="str" cm="1">
        <f t="array" ref="D4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46" s="79" t="str" cm="1">
        <f t="array" ref="E4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46" s="80" t="str" cm="1">
        <f t="array" ref="F4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46" s="80" t="str" cm="1">
        <f t="array" ref="G4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46" s="80" t="str" cm="1">
        <f t="array" ref="H4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46" s="78" t="str" cm="1">
        <f t="array" ref="I4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47" spans="1:9" hidden="1" x14ac:dyDescent="0.3">
      <c r="A47" s="82" t="str" cm="1">
        <f t="array" ref="A4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47" s="79" t="str" cm="1">
        <f t="array" ref="B4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47" s="108" t="str" cm="1">
        <f t="array" ref="C4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47" s="79" t="str" cm="1">
        <f t="array" ref="D4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47" s="79" t="str" cm="1">
        <f t="array" ref="E4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47" s="80" t="str" cm="1">
        <f t="array" ref="F4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47" s="80" t="str" cm="1">
        <f t="array" ref="G4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47" s="80" t="str" cm="1">
        <f t="array" ref="H4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47" s="78" t="str" cm="1">
        <f t="array" ref="I4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48" spans="1:9" hidden="1" x14ac:dyDescent="0.3">
      <c r="A48" s="82" t="str" cm="1">
        <f t="array" ref="A4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48" s="79" t="str" cm="1">
        <f t="array" ref="B4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48" s="108" t="str" cm="1">
        <f t="array" ref="C4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48" s="79" t="str" cm="1">
        <f t="array" ref="D4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48" s="79" t="str" cm="1">
        <f t="array" ref="E4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48" s="80" t="str" cm="1">
        <f t="array" ref="F4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48" s="80" t="str" cm="1">
        <f t="array" ref="G4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48" s="80" t="str" cm="1">
        <f t="array" ref="H4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48" s="78" t="str" cm="1">
        <f t="array" ref="I4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49" spans="1:9" hidden="1" x14ac:dyDescent="0.3">
      <c r="A49" s="82" t="str" cm="1">
        <f t="array" ref="A4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49" s="79" t="str" cm="1">
        <f t="array" ref="B4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49" s="108" t="str" cm="1">
        <f t="array" ref="C4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49" s="79" t="str" cm="1">
        <f t="array" ref="D4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49" s="79" t="str" cm="1">
        <f t="array" ref="E4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49" s="80" t="str" cm="1">
        <f t="array" ref="F4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49" s="80" t="str" cm="1">
        <f t="array" ref="G4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49" s="80" t="str" cm="1">
        <f t="array" ref="H4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49" s="78" t="str" cm="1">
        <f t="array" ref="I4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50" spans="1:9" hidden="1" x14ac:dyDescent="0.3">
      <c r="A50" s="82" t="str" cm="1">
        <f t="array" ref="A5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50" s="79" t="str" cm="1">
        <f t="array" ref="B5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50" s="108" t="str" cm="1">
        <f t="array" ref="C5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50" s="79" t="str" cm="1">
        <f t="array" ref="D5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50" s="79" t="str" cm="1">
        <f t="array" ref="E5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50" s="80" t="str" cm="1">
        <f t="array" ref="F5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50" s="80" t="str" cm="1">
        <f t="array" ref="G5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50" s="80" t="str" cm="1">
        <f t="array" ref="H5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50" s="78" t="str" cm="1">
        <f t="array" ref="I5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51" spans="1:9" hidden="1" x14ac:dyDescent="0.3">
      <c r="A51" s="82" t="str" cm="1">
        <f t="array" ref="A5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51" s="79" t="str" cm="1">
        <f t="array" ref="B5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51" s="108" t="str" cm="1">
        <f t="array" ref="C5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51" s="79" t="str" cm="1">
        <f t="array" ref="D5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51" s="79" t="str" cm="1">
        <f t="array" ref="E5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51" s="80" t="str" cm="1">
        <f t="array" ref="F5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51" s="80" t="str" cm="1">
        <f t="array" ref="G5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51" s="80" t="str" cm="1">
        <f t="array" ref="H5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51" s="78" t="str" cm="1">
        <f t="array" ref="I5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52" spans="1:9" hidden="1" x14ac:dyDescent="0.3">
      <c r="A52" s="82" t="str" cm="1">
        <f t="array" ref="A5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52" s="79" t="str" cm="1">
        <f t="array" ref="B5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52" s="108" t="str" cm="1">
        <f t="array" ref="C5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52" s="79" t="str" cm="1">
        <f t="array" ref="D5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52" s="79" t="str" cm="1">
        <f t="array" ref="E5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52" s="80" t="str" cm="1">
        <f t="array" ref="F5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52" s="80" t="str" cm="1">
        <f t="array" ref="G5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52" s="80" t="str" cm="1">
        <f t="array" ref="H5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52" s="78" t="str" cm="1">
        <f t="array" ref="I5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53" spans="1:9" hidden="1" x14ac:dyDescent="0.3">
      <c r="A53" s="82" t="str" cm="1">
        <f t="array" ref="A5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53" s="79" t="str" cm="1">
        <f t="array" ref="B5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53" s="108" t="str" cm="1">
        <f t="array" ref="C5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53" s="79" t="str" cm="1">
        <f t="array" ref="D5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53" s="79" t="str" cm="1">
        <f t="array" ref="E5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53" s="80" t="str" cm="1">
        <f t="array" ref="F5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53" s="80" t="str" cm="1">
        <f t="array" ref="G5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53" s="80" t="str" cm="1">
        <f t="array" ref="H5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53" s="78" t="str" cm="1">
        <f t="array" ref="I5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54" spans="1:9" hidden="1" x14ac:dyDescent="0.3">
      <c r="A54" s="82" t="str" cm="1">
        <f t="array" ref="A5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54" s="79" t="str" cm="1">
        <f t="array" ref="B5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54" s="108" t="str" cm="1">
        <f t="array" ref="C5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54" s="79" t="str" cm="1">
        <f t="array" ref="D5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54" s="79" t="str" cm="1">
        <f t="array" ref="E5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54" s="80" t="str" cm="1">
        <f t="array" ref="F5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54" s="80" t="str" cm="1">
        <f t="array" ref="G5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54" s="80" t="str" cm="1">
        <f t="array" ref="H5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54" s="78" t="str" cm="1">
        <f t="array" ref="I5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55" spans="1:9" hidden="1" x14ac:dyDescent="0.3">
      <c r="A55" s="82" t="str" cm="1">
        <f t="array" ref="A5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55" s="79" t="str" cm="1">
        <f t="array" ref="B5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55" s="108" t="str" cm="1">
        <f t="array" ref="C5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55" s="79" t="str" cm="1">
        <f t="array" ref="D5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55" s="79" t="str" cm="1">
        <f t="array" ref="E5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55" s="80" t="str" cm="1">
        <f t="array" ref="F5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55" s="80" t="str" cm="1">
        <f t="array" ref="G5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55" s="80" t="str" cm="1">
        <f t="array" ref="H5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55" s="78" t="str" cm="1">
        <f t="array" ref="I5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56" spans="1:9" hidden="1" x14ac:dyDescent="0.3">
      <c r="A56" s="82" t="str" cm="1">
        <f t="array" ref="A5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56" s="79" t="str" cm="1">
        <f t="array" ref="B5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56" s="108" t="str" cm="1">
        <f t="array" ref="C5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56" s="79" t="str" cm="1">
        <f t="array" ref="D5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56" s="79" t="str" cm="1">
        <f t="array" ref="E5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56" s="80" t="str" cm="1">
        <f t="array" ref="F5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56" s="80" t="str" cm="1">
        <f t="array" ref="G5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56" s="80" t="str" cm="1">
        <f t="array" ref="H5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56" s="78" t="str" cm="1">
        <f t="array" ref="I5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57" spans="1:9" hidden="1" x14ac:dyDescent="0.3">
      <c r="A57" s="82" t="str" cm="1">
        <f t="array" ref="A5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57" s="79" t="str" cm="1">
        <f t="array" ref="B5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57" s="108" t="str" cm="1">
        <f t="array" ref="C5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57" s="79" t="str" cm="1">
        <f t="array" ref="D5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57" s="79" t="str" cm="1">
        <f t="array" ref="E5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57" s="80" t="str" cm="1">
        <f t="array" ref="F5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57" s="80" t="str" cm="1">
        <f t="array" ref="G5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57" s="80" t="str" cm="1">
        <f t="array" ref="H5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57" s="78" t="str" cm="1">
        <f t="array" ref="I5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58" spans="1:9" hidden="1" x14ac:dyDescent="0.3">
      <c r="A58" s="82" t="str" cm="1">
        <f t="array" ref="A5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58" s="79" t="str" cm="1">
        <f t="array" ref="B5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58" s="108" t="str" cm="1">
        <f t="array" ref="C5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58" s="79" t="str" cm="1">
        <f t="array" ref="D5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58" s="79" t="str" cm="1">
        <f t="array" ref="E5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58" s="80" t="str" cm="1">
        <f t="array" ref="F5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58" s="80" t="str" cm="1">
        <f t="array" ref="G5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58" s="80" t="str" cm="1">
        <f t="array" ref="H5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58" s="78" t="str" cm="1">
        <f t="array" ref="I5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59" spans="1:9" hidden="1" x14ac:dyDescent="0.3">
      <c r="A59" s="82" t="str" cm="1">
        <f t="array" ref="A5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59" s="79" t="str" cm="1">
        <f t="array" ref="B5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59" s="108" t="str" cm="1">
        <f t="array" ref="C5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59" s="79" t="str" cm="1">
        <f t="array" ref="D5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59" s="79" t="str" cm="1">
        <f t="array" ref="E5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59" s="80" t="str" cm="1">
        <f t="array" ref="F5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59" s="80" t="str" cm="1">
        <f t="array" ref="G5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59" s="80" t="str" cm="1">
        <f t="array" ref="H5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59" s="78" t="str" cm="1">
        <f t="array" ref="I5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60" spans="1:9" hidden="1" x14ac:dyDescent="0.3">
      <c r="A60" s="82" t="str" cm="1">
        <f t="array" ref="A6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60" s="79" t="str" cm="1">
        <f t="array" ref="B6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60" s="108" t="str" cm="1">
        <f t="array" ref="C6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60" s="79" t="str" cm="1">
        <f t="array" ref="D6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60" s="79" t="str" cm="1">
        <f t="array" ref="E6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60" s="80" t="str" cm="1">
        <f t="array" ref="F6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60" s="80" t="str" cm="1">
        <f t="array" ref="G6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60" s="80" t="str" cm="1">
        <f t="array" ref="H6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60" s="78" t="str" cm="1">
        <f t="array" ref="I6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61" spans="1:9" hidden="1" x14ac:dyDescent="0.3">
      <c r="A61" s="82" t="str" cm="1">
        <f t="array" ref="A6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61" s="79" t="str" cm="1">
        <f t="array" ref="B6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61" s="108" t="str" cm="1">
        <f t="array" ref="C6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61" s="79" t="str" cm="1">
        <f t="array" ref="D6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61" s="79" t="str" cm="1">
        <f t="array" ref="E6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61" s="80" t="str" cm="1">
        <f t="array" ref="F6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61" s="80" t="str" cm="1">
        <f t="array" ref="G6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61" s="80" t="str" cm="1">
        <f t="array" ref="H6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61" s="78" t="str" cm="1">
        <f t="array" ref="I6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62" spans="1:9" hidden="1" x14ac:dyDescent="0.3">
      <c r="A62" s="82" t="str" cm="1">
        <f t="array" ref="A6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62" s="79" t="str" cm="1">
        <f t="array" ref="B6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62" s="108" t="str" cm="1">
        <f t="array" ref="C6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62" s="79" t="str" cm="1">
        <f t="array" ref="D6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62" s="79" t="str" cm="1">
        <f t="array" ref="E6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62" s="80" t="str" cm="1">
        <f t="array" ref="F6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62" s="80" t="str" cm="1">
        <f t="array" ref="G6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62" s="80" t="str" cm="1">
        <f t="array" ref="H6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62" s="78" t="str" cm="1">
        <f t="array" ref="I6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63" spans="1:9" hidden="1" x14ac:dyDescent="0.3">
      <c r="A63" s="82" t="str" cm="1">
        <f t="array" ref="A6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63" s="79" t="str" cm="1">
        <f t="array" ref="B6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63" s="108" t="str" cm="1">
        <f t="array" ref="C6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63" s="79" t="str" cm="1">
        <f t="array" ref="D6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63" s="79" t="str" cm="1">
        <f t="array" ref="E6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63" s="80" t="str" cm="1">
        <f t="array" ref="F6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63" s="80" t="str" cm="1">
        <f t="array" ref="G6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63" s="80" t="str" cm="1">
        <f t="array" ref="H6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63" s="78" t="str" cm="1">
        <f t="array" ref="I6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64" spans="1:9" hidden="1" x14ac:dyDescent="0.3">
      <c r="A64" s="82" t="str" cm="1">
        <f t="array" ref="A6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64" s="79" t="str" cm="1">
        <f t="array" ref="B6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64" s="108" t="str" cm="1">
        <f t="array" ref="C6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64" s="79" t="str" cm="1">
        <f t="array" ref="D6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64" s="79" t="str" cm="1">
        <f t="array" ref="E6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64" s="80" t="str" cm="1">
        <f t="array" ref="F6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64" s="80" t="str" cm="1">
        <f t="array" ref="G6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64" s="80" t="str" cm="1">
        <f t="array" ref="H6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64" s="78" t="str" cm="1">
        <f t="array" ref="I6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65" spans="1:9" hidden="1" x14ac:dyDescent="0.3">
      <c r="A65" s="82" t="str" cm="1">
        <f t="array" ref="A6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65" s="79" t="str" cm="1">
        <f t="array" ref="B6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65" s="108" t="str" cm="1">
        <f t="array" ref="C6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65" s="79" t="str" cm="1">
        <f t="array" ref="D6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65" s="79" t="str" cm="1">
        <f t="array" ref="E6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65" s="80" t="str" cm="1">
        <f t="array" ref="F6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65" s="80" t="str" cm="1">
        <f t="array" ref="G6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65" s="80" t="str" cm="1">
        <f t="array" ref="H6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65" s="78" t="str" cm="1">
        <f t="array" ref="I6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66" spans="1:9" hidden="1" x14ac:dyDescent="0.3">
      <c r="A66" s="82" t="str" cm="1">
        <f t="array" ref="A6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66" s="79" t="str" cm="1">
        <f t="array" ref="B6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66" s="108" t="str" cm="1">
        <f t="array" ref="C6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66" s="79" t="str" cm="1">
        <f t="array" ref="D6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66" s="79" t="str" cm="1">
        <f t="array" ref="E6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66" s="80" t="str" cm="1">
        <f t="array" ref="F6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66" s="80" t="str" cm="1">
        <f t="array" ref="G6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66" s="80" t="str" cm="1">
        <f t="array" ref="H6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66" s="78" t="str" cm="1">
        <f t="array" ref="I6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67" spans="1:9" hidden="1" x14ac:dyDescent="0.3">
      <c r="A67" s="82" t="str" cm="1">
        <f t="array" ref="A6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67" s="79" t="str" cm="1">
        <f t="array" ref="B6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67" s="108" t="str" cm="1">
        <f t="array" ref="C6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67" s="79" t="str" cm="1">
        <f t="array" ref="D6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67" s="79" t="str" cm="1">
        <f t="array" ref="E6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67" s="80" t="str" cm="1">
        <f t="array" ref="F6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67" s="80" t="str" cm="1">
        <f t="array" ref="G6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67" s="80" t="str" cm="1">
        <f t="array" ref="H6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67" s="78" t="str" cm="1">
        <f t="array" ref="I6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68" spans="1:9" hidden="1" x14ac:dyDescent="0.3">
      <c r="A68" s="82" t="str" cm="1">
        <f t="array" ref="A6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68" s="79" t="str" cm="1">
        <f t="array" ref="B6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68" s="108" t="str" cm="1">
        <f t="array" ref="C6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68" s="79" t="str" cm="1">
        <f t="array" ref="D6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68" s="79" t="str" cm="1">
        <f t="array" ref="E6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68" s="80" t="str" cm="1">
        <f t="array" ref="F6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68" s="80" t="str" cm="1">
        <f t="array" ref="G6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68" s="80" t="str" cm="1">
        <f t="array" ref="H6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68" s="78" t="str" cm="1">
        <f t="array" ref="I6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69" spans="1:9" hidden="1" x14ac:dyDescent="0.3">
      <c r="A69" s="82" t="str" cm="1">
        <f t="array" ref="A6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69" s="79" t="str" cm="1">
        <f t="array" ref="B6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69" s="108" t="str" cm="1">
        <f t="array" ref="C6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69" s="79" t="str" cm="1">
        <f t="array" ref="D6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69" s="79" t="str" cm="1">
        <f t="array" ref="E6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69" s="80" t="str" cm="1">
        <f t="array" ref="F6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69" s="80" t="str" cm="1">
        <f t="array" ref="G6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69" s="80" t="str" cm="1">
        <f t="array" ref="H6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69" s="78" t="str" cm="1">
        <f t="array" ref="I6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70" spans="1:9" hidden="1" x14ac:dyDescent="0.3">
      <c r="A70" s="82" t="str" cm="1">
        <f t="array" ref="A7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70" s="79" t="str" cm="1">
        <f t="array" ref="B7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70" s="108" t="str" cm="1">
        <f t="array" ref="C7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70" s="79" t="str" cm="1">
        <f t="array" ref="D7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70" s="79" t="str" cm="1">
        <f t="array" ref="E7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70" s="80" t="str" cm="1">
        <f t="array" ref="F7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70" s="80" t="str" cm="1">
        <f t="array" ref="G7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70" s="80" t="str" cm="1">
        <f t="array" ref="H7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70" s="78" t="str" cm="1">
        <f t="array" ref="I7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71" spans="1:9" hidden="1" x14ac:dyDescent="0.3">
      <c r="A71" s="82" t="str" cm="1">
        <f t="array" ref="A7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71" s="79" t="str" cm="1">
        <f t="array" ref="B7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71" s="108" t="str" cm="1">
        <f t="array" ref="C7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71" s="79" t="str" cm="1">
        <f t="array" ref="D7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71" s="79" t="str" cm="1">
        <f t="array" ref="E7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71" s="80" t="str" cm="1">
        <f t="array" ref="F7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71" s="80" t="str" cm="1">
        <f t="array" ref="G7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71" s="80" t="str" cm="1">
        <f t="array" ref="H7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71" s="78" t="str" cm="1">
        <f t="array" ref="I7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72" spans="1:9" hidden="1" x14ac:dyDescent="0.3">
      <c r="A72" s="82" t="str" cm="1">
        <f t="array" ref="A7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72" s="79" t="str" cm="1">
        <f t="array" ref="B7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72" s="108" t="str" cm="1">
        <f t="array" ref="C7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72" s="79" t="str" cm="1">
        <f t="array" ref="D7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72" s="79" t="str" cm="1">
        <f t="array" ref="E7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72" s="80" t="str" cm="1">
        <f t="array" ref="F7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72" s="80" t="str" cm="1">
        <f t="array" ref="G7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72" s="80" t="str" cm="1">
        <f t="array" ref="H7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72" s="78" t="str" cm="1">
        <f t="array" ref="I7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73" spans="1:9" hidden="1" x14ac:dyDescent="0.3">
      <c r="A73" s="82" t="str" cm="1">
        <f t="array" ref="A7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73" s="79" t="str" cm="1">
        <f t="array" ref="B7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73" s="108" t="str" cm="1">
        <f t="array" ref="C7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73" s="79" t="str" cm="1">
        <f t="array" ref="D7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73" s="79" t="str" cm="1">
        <f t="array" ref="E7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73" s="80" t="str" cm="1">
        <f t="array" ref="F7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73" s="80" t="str" cm="1">
        <f t="array" ref="G7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73" s="80" t="str" cm="1">
        <f t="array" ref="H7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73" s="78" t="str" cm="1">
        <f t="array" ref="I7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74" spans="1:9" hidden="1" x14ac:dyDescent="0.3">
      <c r="A74" s="82" t="str" cm="1">
        <f t="array" ref="A7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74" s="79" t="str" cm="1">
        <f t="array" ref="B7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74" s="108" t="str" cm="1">
        <f t="array" ref="C7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74" s="79" t="str" cm="1">
        <f t="array" ref="D7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74" s="79" t="str" cm="1">
        <f t="array" ref="E7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74" s="80" t="str" cm="1">
        <f t="array" ref="F7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74" s="80" t="str" cm="1">
        <f t="array" ref="G7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74" s="80" t="str" cm="1">
        <f t="array" ref="H7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74" s="78" t="str" cm="1">
        <f t="array" ref="I7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75" spans="1:9" hidden="1" x14ac:dyDescent="0.3">
      <c r="A75" s="82" t="str" cm="1">
        <f t="array" ref="A7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75" s="79" t="str" cm="1">
        <f t="array" ref="B7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75" s="108" t="str" cm="1">
        <f t="array" ref="C7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75" s="79" t="str" cm="1">
        <f t="array" ref="D7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75" s="79" t="str" cm="1">
        <f t="array" ref="E7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75" s="80" t="str" cm="1">
        <f t="array" ref="F7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75" s="80" t="str" cm="1">
        <f t="array" ref="G7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75" s="80" t="str" cm="1">
        <f t="array" ref="H7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75" s="78" t="str" cm="1">
        <f t="array" ref="I7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76" spans="1:9" hidden="1" x14ac:dyDescent="0.3">
      <c r="A76" s="82" t="str" cm="1">
        <f t="array" ref="A7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76" s="79" t="str" cm="1">
        <f t="array" ref="B7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76" s="108" t="str" cm="1">
        <f t="array" ref="C7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76" s="79" t="str" cm="1">
        <f t="array" ref="D7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76" s="79" t="str" cm="1">
        <f t="array" ref="E7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76" s="80" t="str" cm="1">
        <f t="array" ref="F7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76" s="80" t="str" cm="1">
        <f t="array" ref="G7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76" s="80" t="str" cm="1">
        <f t="array" ref="H7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76" s="78" t="str" cm="1">
        <f t="array" ref="I7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77" spans="1:9" hidden="1" x14ac:dyDescent="0.3">
      <c r="A77" s="82" t="str" cm="1">
        <f t="array" ref="A7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77" s="79" t="str" cm="1">
        <f t="array" ref="B7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77" s="108" t="str" cm="1">
        <f t="array" ref="C7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77" s="79" t="str" cm="1">
        <f t="array" ref="D7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77" s="79" t="str" cm="1">
        <f t="array" ref="E7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77" s="80" t="str" cm="1">
        <f t="array" ref="F7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77" s="80" t="str" cm="1">
        <f t="array" ref="G7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77" s="80" t="str" cm="1">
        <f t="array" ref="H7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77" s="78" t="str" cm="1">
        <f t="array" ref="I7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78" spans="1:9" hidden="1" x14ac:dyDescent="0.3">
      <c r="A78" s="82" t="str" cm="1">
        <f t="array" ref="A7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78" s="79" t="str" cm="1">
        <f t="array" ref="B7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78" s="108" t="str" cm="1">
        <f t="array" ref="C7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78" s="79" t="str" cm="1">
        <f t="array" ref="D7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78" s="79" t="str" cm="1">
        <f t="array" ref="E7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78" s="80" t="str" cm="1">
        <f t="array" ref="F7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78" s="80" t="str" cm="1">
        <f t="array" ref="G7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78" s="80" t="str" cm="1">
        <f t="array" ref="H7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78" s="78" t="str" cm="1">
        <f t="array" ref="I7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79" spans="1:9" hidden="1" x14ac:dyDescent="0.3">
      <c r="A79" s="82" t="str" cm="1">
        <f t="array" ref="A7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79" s="79" t="str" cm="1">
        <f t="array" ref="B7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79" s="108" t="str" cm="1">
        <f t="array" ref="C7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79" s="79" t="str" cm="1">
        <f t="array" ref="D7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79" s="79" t="str" cm="1">
        <f t="array" ref="E7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79" s="80" t="str" cm="1">
        <f t="array" ref="F7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79" s="80" t="str" cm="1">
        <f t="array" ref="G7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79" s="80" t="str" cm="1">
        <f t="array" ref="H7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79" s="78" t="str" cm="1">
        <f t="array" ref="I7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80" spans="1:9" hidden="1" x14ac:dyDescent="0.3">
      <c r="A80" s="82" t="str" cm="1">
        <f t="array" ref="A8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80" s="79" t="str" cm="1">
        <f t="array" ref="B8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80" s="108" t="str" cm="1">
        <f t="array" ref="C8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80" s="79" t="str" cm="1">
        <f t="array" ref="D8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80" s="79" t="str" cm="1">
        <f t="array" ref="E8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80" s="80" t="str" cm="1">
        <f t="array" ref="F8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80" s="80" t="str" cm="1">
        <f t="array" ref="G8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80" s="80" t="str" cm="1">
        <f t="array" ref="H8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80" s="78" t="str" cm="1">
        <f t="array" ref="I8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81" spans="1:9" hidden="1" x14ac:dyDescent="0.3">
      <c r="A81" s="82" t="str" cm="1">
        <f t="array" ref="A8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81" s="79" t="str" cm="1">
        <f t="array" ref="B8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81" s="108" t="str" cm="1">
        <f t="array" ref="C8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81" s="79" t="str" cm="1">
        <f t="array" ref="D8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81" s="79" t="str" cm="1">
        <f t="array" ref="E8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81" s="80" t="str" cm="1">
        <f t="array" ref="F8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81" s="80" t="str" cm="1">
        <f t="array" ref="G8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81" s="80" t="str" cm="1">
        <f t="array" ref="H8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81" s="78" t="str" cm="1">
        <f t="array" ref="I8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82" spans="1:9" hidden="1" x14ac:dyDescent="0.3">
      <c r="A82" s="82" t="str" cm="1">
        <f t="array" ref="A8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82" s="79" t="str" cm="1">
        <f t="array" ref="B8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82" s="108" t="str" cm="1">
        <f t="array" ref="C8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82" s="79" t="str" cm="1">
        <f t="array" ref="D8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82" s="79" t="str" cm="1">
        <f t="array" ref="E8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82" s="80" t="str" cm="1">
        <f t="array" ref="F8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82" s="80" t="str" cm="1">
        <f t="array" ref="G8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82" s="80" t="str" cm="1">
        <f t="array" ref="H8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82" s="78" t="str" cm="1">
        <f t="array" ref="I8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83" spans="1:9" hidden="1" x14ac:dyDescent="0.3">
      <c r="A83" s="82" t="str" cm="1">
        <f t="array" ref="A8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83" s="79" t="str" cm="1">
        <f t="array" ref="B8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83" s="108" t="str" cm="1">
        <f t="array" ref="C8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83" s="79" t="str" cm="1">
        <f t="array" ref="D8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83" s="79" t="str" cm="1">
        <f t="array" ref="E8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83" s="80" t="str" cm="1">
        <f t="array" ref="F8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83" s="80" t="str" cm="1">
        <f t="array" ref="G8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83" s="80" t="str" cm="1">
        <f t="array" ref="H8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83" s="78" t="str" cm="1">
        <f t="array" ref="I8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84" spans="1:9" hidden="1" x14ac:dyDescent="0.3">
      <c r="A84" s="82" t="str" cm="1">
        <f t="array" ref="A8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84" s="79" t="str" cm="1">
        <f t="array" ref="B8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84" s="108" t="str" cm="1">
        <f t="array" ref="C8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84" s="79" t="str" cm="1">
        <f t="array" ref="D8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84" s="79" t="str" cm="1">
        <f t="array" ref="E8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84" s="80" t="str" cm="1">
        <f t="array" ref="F8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84" s="80" t="str" cm="1">
        <f t="array" ref="G8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84" s="80" t="str" cm="1">
        <f t="array" ref="H8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84" s="78" t="str" cm="1">
        <f t="array" ref="I8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85" spans="1:9" hidden="1" x14ac:dyDescent="0.3">
      <c r="A85" s="82" t="str" cm="1">
        <f t="array" ref="A8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85" s="79" t="str" cm="1">
        <f t="array" ref="B8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85" s="108" t="str" cm="1">
        <f t="array" ref="C8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85" s="79" t="str" cm="1">
        <f t="array" ref="D8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85" s="79" t="str" cm="1">
        <f t="array" ref="E8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85" s="80" t="str" cm="1">
        <f t="array" ref="F8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85" s="80" t="str" cm="1">
        <f t="array" ref="G8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85" s="80" t="str" cm="1">
        <f t="array" ref="H8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85" s="78" t="str" cm="1">
        <f t="array" ref="I8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86" spans="1:9" hidden="1" x14ac:dyDescent="0.3">
      <c r="A86" s="82" t="str" cm="1">
        <f t="array" ref="A8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86" s="79" t="str" cm="1">
        <f t="array" ref="B8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86" s="108" t="str" cm="1">
        <f t="array" ref="C8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86" s="79" t="str" cm="1">
        <f t="array" ref="D8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86" s="79" t="str" cm="1">
        <f t="array" ref="E8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86" s="80" t="str" cm="1">
        <f t="array" ref="F8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86" s="80" t="str" cm="1">
        <f t="array" ref="G8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86" s="80" t="str" cm="1">
        <f t="array" ref="H8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86" s="78" t="str" cm="1">
        <f t="array" ref="I8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87" spans="1:9" hidden="1" x14ac:dyDescent="0.3">
      <c r="A87" s="82" t="str" cm="1">
        <f t="array" ref="A8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87" s="79" t="str" cm="1">
        <f t="array" ref="B8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87" s="108" t="str" cm="1">
        <f t="array" ref="C8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87" s="79" t="str" cm="1">
        <f t="array" ref="D8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87" s="79" t="str" cm="1">
        <f t="array" ref="E8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87" s="80" t="str" cm="1">
        <f t="array" ref="F8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87" s="80" t="str" cm="1">
        <f t="array" ref="G8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87" s="80" t="str" cm="1">
        <f t="array" ref="H8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87" s="78" t="str" cm="1">
        <f t="array" ref="I8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88" spans="1:9" hidden="1" x14ac:dyDescent="0.3">
      <c r="A88" s="82" t="str" cm="1">
        <f t="array" ref="A8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88" s="79" t="str" cm="1">
        <f t="array" ref="B8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88" s="108" t="str" cm="1">
        <f t="array" ref="C8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88" s="79" t="str" cm="1">
        <f t="array" ref="D8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88" s="79" t="str" cm="1">
        <f t="array" ref="E8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88" s="80" t="str" cm="1">
        <f t="array" ref="F8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88" s="80" t="str" cm="1">
        <f t="array" ref="G8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88" s="80" t="str" cm="1">
        <f t="array" ref="H8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88" s="78" t="str" cm="1">
        <f t="array" ref="I8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89" spans="1:9" hidden="1" x14ac:dyDescent="0.3">
      <c r="A89" s="82" t="str" cm="1">
        <f t="array" ref="A8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89" s="79" t="str" cm="1">
        <f t="array" ref="B8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89" s="108" t="str" cm="1">
        <f t="array" ref="C8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89" s="79" t="str" cm="1">
        <f t="array" ref="D8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89" s="79" t="str" cm="1">
        <f t="array" ref="E8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89" s="80" t="str" cm="1">
        <f t="array" ref="F8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89" s="80" t="str" cm="1">
        <f t="array" ref="G8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89" s="80" t="str" cm="1">
        <f t="array" ref="H8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89" s="78" t="str" cm="1">
        <f t="array" ref="I8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90" spans="1:9" hidden="1" x14ac:dyDescent="0.3">
      <c r="A90" s="82" t="str" cm="1">
        <f t="array" ref="A9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90" s="79" t="str" cm="1">
        <f t="array" ref="B9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90" s="108" t="str" cm="1">
        <f t="array" ref="C9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90" s="79" t="str" cm="1">
        <f t="array" ref="D9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90" s="79" t="str" cm="1">
        <f t="array" ref="E9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90" s="80" t="str" cm="1">
        <f t="array" ref="F9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90" s="80" t="str" cm="1">
        <f t="array" ref="G9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90" s="80" t="str" cm="1">
        <f t="array" ref="H9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90" s="78" t="str" cm="1">
        <f t="array" ref="I9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91" spans="1:9" hidden="1" x14ac:dyDescent="0.3">
      <c r="A91" s="82" t="str" cm="1">
        <f t="array" ref="A9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91" s="79" t="str" cm="1">
        <f t="array" ref="B9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91" s="108" t="str" cm="1">
        <f t="array" ref="C9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91" s="79" t="str" cm="1">
        <f t="array" ref="D9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91" s="79" t="str" cm="1">
        <f t="array" ref="E9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91" s="80" t="str" cm="1">
        <f t="array" ref="F9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91" s="80" t="str" cm="1">
        <f t="array" ref="G9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91" s="80" t="str" cm="1">
        <f t="array" ref="H9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91" s="78" t="str" cm="1">
        <f t="array" ref="I9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92" spans="1:9" hidden="1" x14ac:dyDescent="0.3">
      <c r="A92" s="82" t="str" cm="1">
        <f t="array" ref="A9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92" s="79" t="str" cm="1">
        <f t="array" ref="B9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92" s="108" t="str" cm="1">
        <f t="array" ref="C9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92" s="79" t="str" cm="1">
        <f t="array" ref="D9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92" s="79" t="str" cm="1">
        <f t="array" ref="E9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92" s="80" t="str" cm="1">
        <f t="array" ref="F9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92" s="80" t="str" cm="1">
        <f t="array" ref="G9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92" s="80" t="str" cm="1">
        <f t="array" ref="H9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92" s="78" t="str" cm="1">
        <f t="array" ref="I9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93" spans="1:9" hidden="1" x14ac:dyDescent="0.3">
      <c r="A93" s="82" t="str" cm="1">
        <f t="array" ref="A9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93" s="79" t="str" cm="1">
        <f t="array" ref="B9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93" s="108" t="str" cm="1">
        <f t="array" ref="C9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93" s="79" t="str" cm="1">
        <f t="array" ref="D9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93" s="79" t="str" cm="1">
        <f t="array" ref="E9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93" s="80" t="str" cm="1">
        <f t="array" ref="F9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93" s="80" t="str" cm="1">
        <f t="array" ref="G9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93" s="80" t="str" cm="1">
        <f t="array" ref="H9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93" s="78" t="str" cm="1">
        <f t="array" ref="I9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94" spans="1:9" hidden="1" x14ac:dyDescent="0.3">
      <c r="A94" s="82" t="str" cm="1">
        <f t="array" ref="A9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94" s="79" t="str" cm="1">
        <f t="array" ref="B9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94" s="108" t="str" cm="1">
        <f t="array" ref="C9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94" s="79" t="str" cm="1">
        <f t="array" ref="D9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94" s="79" t="str" cm="1">
        <f t="array" ref="E9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94" s="80" t="str" cm="1">
        <f t="array" ref="F9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94" s="80" t="str" cm="1">
        <f t="array" ref="G9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94" s="80" t="str" cm="1">
        <f t="array" ref="H9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94" s="78" t="str" cm="1">
        <f t="array" ref="I9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95" spans="1:9" hidden="1" x14ac:dyDescent="0.3">
      <c r="A95" s="82" t="str" cm="1">
        <f t="array" ref="A9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95" s="79" t="str" cm="1">
        <f t="array" ref="B9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95" s="108" t="str" cm="1">
        <f t="array" ref="C9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95" s="79" t="str" cm="1">
        <f t="array" ref="D9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95" s="79" t="str" cm="1">
        <f t="array" ref="E9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95" s="80" t="str" cm="1">
        <f t="array" ref="F9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95" s="80" t="str" cm="1">
        <f t="array" ref="G9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95" s="80" t="str" cm="1">
        <f t="array" ref="H9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95" s="78" t="str" cm="1">
        <f t="array" ref="I9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96" spans="1:9" hidden="1" x14ac:dyDescent="0.3">
      <c r="A96" s="82" t="str" cm="1">
        <f t="array" ref="A9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96" s="79" t="str" cm="1">
        <f t="array" ref="B9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96" s="108" t="str" cm="1">
        <f t="array" ref="C9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96" s="79" t="str" cm="1">
        <f t="array" ref="D9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96" s="79" t="str" cm="1">
        <f t="array" ref="E9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96" s="80" t="str" cm="1">
        <f t="array" ref="F9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96" s="80" t="str" cm="1">
        <f t="array" ref="G9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96" s="80" t="str" cm="1">
        <f t="array" ref="H9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96" s="78" t="str" cm="1">
        <f t="array" ref="I9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97" spans="1:9" hidden="1" x14ac:dyDescent="0.3">
      <c r="A97" s="82" t="str" cm="1">
        <f t="array" ref="A9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97" s="79" t="str" cm="1">
        <f t="array" ref="B9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97" s="108" t="str" cm="1">
        <f t="array" ref="C9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97" s="79" t="str" cm="1">
        <f t="array" ref="D9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97" s="79" t="str" cm="1">
        <f t="array" ref="E9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97" s="80" t="str" cm="1">
        <f t="array" ref="F9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97" s="80" t="str" cm="1">
        <f t="array" ref="G9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97" s="80" t="str" cm="1">
        <f t="array" ref="H9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97" s="78" t="str" cm="1">
        <f t="array" ref="I9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98" spans="1:9" hidden="1" x14ac:dyDescent="0.3">
      <c r="A98" s="82" t="str" cm="1">
        <f t="array" ref="A9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98" s="79" t="str" cm="1">
        <f t="array" ref="B9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98" s="108" t="str" cm="1">
        <f t="array" ref="C9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98" s="79" t="str" cm="1">
        <f t="array" ref="D9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98" s="79" t="str" cm="1">
        <f t="array" ref="E9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98" s="80" t="str" cm="1">
        <f t="array" ref="F9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98" s="80" t="str" cm="1">
        <f t="array" ref="G9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98" s="80" t="str" cm="1">
        <f t="array" ref="H9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98" s="78" t="str" cm="1">
        <f t="array" ref="I9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99" spans="1:9" hidden="1" x14ac:dyDescent="0.3">
      <c r="A99" s="82" t="str" cm="1">
        <f t="array" ref="A9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99" s="79" t="str" cm="1">
        <f t="array" ref="B9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99" s="108" t="str" cm="1">
        <f t="array" ref="C9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99" s="79" t="str" cm="1">
        <f t="array" ref="D9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99" s="79" t="str" cm="1">
        <f t="array" ref="E9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99" s="80" t="str" cm="1">
        <f t="array" ref="F9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99" s="80" t="str" cm="1">
        <f t="array" ref="G9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99" s="80" t="str" cm="1">
        <f t="array" ref="H9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99" s="78" t="str" cm="1">
        <f t="array" ref="I9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100" spans="1:9" hidden="1" x14ac:dyDescent="0.3">
      <c r="A100" s="82" t="str" cm="1">
        <f t="array" ref="A10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100" s="79" t="str" cm="1">
        <f t="array" ref="B10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100" s="108" t="str" cm="1">
        <f t="array" ref="C10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100" s="79" t="str" cm="1">
        <f t="array" ref="D10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100" s="79" t="str" cm="1">
        <f t="array" ref="E10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100" s="80" t="str" cm="1">
        <f t="array" ref="F10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100" s="80" t="str" cm="1">
        <f t="array" ref="G10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100" s="80" t="str" cm="1">
        <f t="array" ref="H10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100" s="78" t="str" cm="1">
        <f t="array" ref="I10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101" spans="1:9" hidden="1" x14ac:dyDescent="0.3">
      <c r="A101" s="82" t="str" cm="1">
        <f t="array" ref="A10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101" s="79" t="str" cm="1">
        <f t="array" ref="B10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101" s="108" t="str" cm="1">
        <f t="array" ref="C10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101" s="79" t="str" cm="1">
        <f t="array" ref="D10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101" s="79" t="str" cm="1">
        <f t="array" ref="E10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101" s="80" t="str" cm="1">
        <f t="array" ref="F10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101" s="80" t="str" cm="1">
        <f t="array" ref="G10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101" s="80" t="str" cm="1">
        <f t="array" ref="H10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101" s="78" t="str" cm="1">
        <f t="array" ref="I10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102" spans="1:9" hidden="1" x14ac:dyDescent="0.3">
      <c r="A102" s="82" t="str" cm="1">
        <f t="array" ref="A10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102" s="79" t="str" cm="1">
        <f t="array" ref="B10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102" s="108" t="str" cm="1">
        <f t="array" ref="C10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102" s="79" t="str" cm="1">
        <f t="array" ref="D10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102" s="79" t="str" cm="1">
        <f t="array" ref="E10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102" s="80" t="str" cm="1">
        <f t="array" ref="F10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102" s="80" t="str" cm="1">
        <f t="array" ref="G10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102" s="80" t="str" cm="1">
        <f t="array" ref="H10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102" s="78" t="str" cm="1">
        <f t="array" ref="I10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103" spans="1:9" hidden="1" x14ac:dyDescent="0.3">
      <c r="A103" s="82" t="str" cm="1">
        <f t="array" ref="A10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103" s="79" t="str" cm="1">
        <f t="array" ref="B10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103" s="108" t="str" cm="1">
        <f t="array" ref="C10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103" s="79" t="str" cm="1">
        <f t="array" ref="D10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103" s="79" t="str" cm="1">
        <f t="array" ref="E10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103" s="80" t="str" cm="1">
        <f t="array" ref="F10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103" s="80" t="str" cm="1">
        <f t="array" ref="G10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103" s="80" t="str" cm="1">
        <f t="array" ref="H10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103" s="78" t="str" cm="1">
        <f t="array" ref="I10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104" spans="1:9" hidden="1" x14ac:dyDescent="0.3">
      <c r="A104" s="82" t="str" cm="1">
        <f t="array" ref="A10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104" s="79" t="str" cm="1">
        <f t="array" ref="B10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104" s="108" t="str" cm="1">
        <f t="array" ref="C10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104" s="79" t="str" cm="1">
        <f t="array" ref="D10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104" s="79" t="str" cm="1">
        <f t="array" ref="E10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104" s="80" t="str" cm="1">
        <f t="array" ref="F10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104" s="80" t="str" cm="1">
        <f t="array" ref="G10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104" s="80" t="str" cm="1">
        <f t="array" ref="H10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104" s="78" t="str" cm="1">
        <f t="array" ref="I10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105" spans="1:9" hidden="1" x14ac:dyDescent="0.3">
      <c r="A105" s="82" t="str" cm="1">
        <f t="array" ref="A10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105" s="79" t="str" cm="1">
        <f t="array" ref="B10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105" s="108" t="str" cm="1">
        <f t="array" ref="C10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105" s="79" t="str" cm="1">
        <f t="array" ref="D10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105" s="79" t="str" cm="1">
        <f t="array" ref="E10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105" s="80" t="str" cm="1">
        <f t="array" ref="F10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105" s="80" t="str" cm="1">
        <f t="array" ref="G10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105" s="80" t="str" cm="1">
        <f t="array" ref="H10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105" s="78" t="str" cm="1">
        <f t="array" ref="I10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106" spans="1:9" hidden="1" x14ac:dyDescent="0.3">
      <c r="A106" s="82" t="str" cm="1">
        <f t="array" ref="A10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106" s="79" t="str" cm="1">
        <f t="array" ref="B10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106" s="108" t="str" cm="1">
        <f t="array" ref="C10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106" s="79" t="str" cm="1">
        <f t="array" ref="D10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106" s="79" t="str" cm="1">
        <f t="array" ref="E10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106" s="80" t="str" cm="1">
        <f t="array" ref="F10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106" s="80" t="str" cm="1">
        <f t="array" ref="G10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106" s="80" t="str" cm="1">
        <f t="array" ref="H10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106" s="78" t="str" cm="1">
        <f t="array" ref="I10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107" spans="1:9" hidden="1" x14ac:dyDescent="0.3">
      <c r="A107" s="82" t="str" cm="1">
        <f t="array" ref="A10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107" s="79" t="str" cm="1">
        <f t="array" ref="B10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107" s="108" t="str" cm="1">
        <f t="array" ref="C10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107" s="79" t="str" cm="1">
        <f t="array" ref="D10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107" s="79" t="str" cm="1">
        <f t="array" ref="E10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107" s="80" t="str" cm="1">
        <f t="array" ref="F10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107" s="80" t="str" cm="1">
        <f t="array" ref="G10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107" s="80" t="str" cm="1">
        <f t="array" ref="H10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107" s="78" t="str" cm="1">
        <f t="array" ref="I10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108" spans="1:9" hidden="1" x14ac:dyDescent="0.3">
      <c r="A108" s="82" t="str" cm="1">
        <f t="array" ref="A10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108" s="79" t="str" cm="1">
        <f t="array" ref="B10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108" s="108" t="str" cm="1">
        <f t="array" ref="C10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108" s="79" t="str" cm="1">
        <f t="array" ref="D10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108" s="79" t="str" cm="1">
        <f t="array" ref="E10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108" s="80" t="str" cm="1">
        <f t="array" ref="F10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108" s="80" t="str" cm="1">
        <f t="array" ref="G10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108" s="80" t="str" cm="1">
        <f t="array" ref="H10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108" s="78" t="str" cm="1">
        <f t="array" ref="I10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109" spans="1:9" hidden="1" x14ac:dyDescent="0.3">
      <c r="A109" s="82" t="str" cm="1">
        <f t="array" ref="A10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109" s="79" t="str" cm="1">
        <f t="array" ref="B10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109" s="108" t="str" cm="1">
        <f t="array" ref="C10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109" s="79" t="str" cm="1">
        <f t="array" ref="D10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109" s="79" t="str" cm="1">
        <f t="array" ref="E10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109" s="80" t="str" cm="1">
        <f t="array" ref="F10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109" s="80" t="str" cm="1">
        <f t="array" ref="G10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109" s="80" t="str" cm="1">
        <f t="array" ref="H10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109" s="78" t="str" cm="1">
        <f t="array" ref="I10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110" spans="1:9" hidden="1" x14ac:dyDescent="0.3">
      <c r="A110" s="82" t="str" cm="1">
        <f t="array" ref="A11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110" s="79" t="str" cm="1">
        <f t="array" ref="B11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110" s="108" t="str" cm="1">
        <f t="array" ref="C11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110" s="79" t="str" cm="1">
        <f t="array" ref="D11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110" s="79" t="str" cm="1">
        <f t="array" ref="E11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110" s="80" t="str" cm="1">
        <f t="array" ref="F11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110" s="80" t="str" cm="1">
        <f t="array" ref="G11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110" s="80" t="str" cm="1">
        <f t="array" ref="H11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110" s="78" t="str" cm="1">
        <f t="array" ref="I11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111" spans="1:9" hidden="1" x14ac:dyDescent="0.3">
      <c r="A111" s="82" t="str" cm="1">
        <f t="array" ref="A11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111" s="79" t="str" cm="1">
        <f t="array" ref="B11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111" s="108" t="str" cm="1">
        <f t="array" ref="C11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111" s="79" t="str" cm="1">
        <f t="array" ref="D11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111" s="79" t="str" cm="1">
        <f t="array" ref="E11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111" s="80" t="str" cm="1">
        <f t="array" ref="F11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111" s="80" t="str" cm="1">
        <f t="array" ref="G11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111" s="80" t="str" cm="1">
        <f t="array" ref="H11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111" s="78" t="str" cm="1">
        <f t="array" ref="I11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112" spans="1:9" hidden="1" x14ac:dyDescent="0.3">
      <c r="A112" s="82" t="str" cm="1">
        <f t="array" ref="A11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112" s="79" t="str" cm="1">
        <f t="array" ref="B11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112" s="108" t="str" cm="1">
        <f t="array" ref="C11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112" s="79" t="str" cm="1">
        <f t="array" ref="D11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112" s="79" t="str" cm="1">
        <f t="array" ref="E11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112" s="80" t="str" cm="1">
        <f t="array" ref="F11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112" s="80" t="str" cm="1">
        <f t="array" ref="G11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112" s="80" t="str" cm="1">
        <f t="array" ref="H11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112" s="78" t="str" cm="1">
        <f t="array" ref="I11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113" spans="1:9" hidden="1" x14ac:dyDescent="0.3">
      <c r="A113" s="82" t="str" cm="1">
        <f t="array" ref="A11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113" s="79" t="str" cm="1">
        <f t="array" ref="B11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113" s="108" t="str" cm="1">
        <f t="array" ref="C11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113" s="79" t="str" cm="1">
        <f t="array" ref="D11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113" s="79" t="str" cm="1">
        <f t="array" ref="E11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113" s="80" t="str" cm="1">
        <f t="array" ref="F11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113" s="80" t="str" cm="1">
        <f t="array" ref="G11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113" s="80" t="str" cm="1">
        <f t="array" ref="H11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113" s="78" t="str" cm="1">
        <f t="array" ref="I11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114" spans="1:9" hidden="1" x14ac:dyDescent="0.3">
      <c r="A114" s="82" t="str" cm="1">
        <f t="array" ref="A11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114" s="79" t="str" cm="1">
        <f t="array" ref="B11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114" s="108" t="str" cm="1">
        <f t="array" ref="C11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114" s="79" t="str" cm="1">
        <f t="array" ref="D11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114" s="79" t="str" cm="1">
        <f t="array" ref="E11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114" s="80" t="str" cm="1">
        <f t="array" ref="F11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114" s="80" t="str" cm="1">
        <f t="array" ref="G11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114" s="80" t="str" cm="1">
        <f t="array" ref="H11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114" s="78" t="str" cm="1">
        <f t="array" ref="I11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115" spans="1:9" hidden="1" x14ac:dyDescent="0.3">
      <c r="A115" s="82" t="str" cm="1">
        <f t="array" ref="A11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115" s="79" t="str" cm="1">
        <f t="array" ref="B11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115" s="108" t="str" cm="1">
        <f t="array" ref="C11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115" s="79" t="str" cm="1">
        <f t="array" ref="D11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115" s="79" t="str" cm="1">
        <f t="array" ref="E11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115" s="80" t="str" cm="1">
        <f t="array" ref="F11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115" s="80" t="str" cm="1">
        <f t="array" ref="G11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115" s="80" t="str" cm="1">
        <f t="array" ref="H11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115" s="78" t="str" cm="1">
        <f t="array" ref="I11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116" spans="1:9" hidden="1" x14ac:dyDescent="0.3">
      <c r="A116" s="82" t="str" cm="1">
        <f t="array" ref="A11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116" s="79" t="str" cm="1">
        <f t="array" ref="B11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116" s="108" t="str" cm="1">
        <f t="array" ref="C11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116" s="79" t="str" cm="1">
        <f t="array" ref="D11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116" s="79" t="str" cm="1">
        <f t="array" ref="E11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116" s="80" t="str" cm="1">
        <f t="array" ref="F11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116" s="80" t="str" cm="1">
        <f t="array" ref="G11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116" s="80" t="str" cm="1">
        <f t="array" ref="H11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116" s="78" t="str" cm="1">
        <f t="array" ref="I11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117" spans="1:9" hidden="1" x14ac:dyDescent="0.3">
      <c r="A117" s="82" t="str" cm="1">
        <f t="array" ref="A11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117" s="79" t="str" cm="1">
        <f t="array" ref="B11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117" s="108" t="str" cm="1">
        <f t="array" ref="C11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117" s="79" t="str" cm="1">
        <f t="array" ref="D11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117" s="79" t="str" cm="1">
        <f t="array" ref="E11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117" s="80" t="str" cm="1">
        <f t="array" ref="F11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117" s="80" t="str" cm="1">
        <f t="array" ref="G11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117" s="80" t="str" cm="1">
        <f t="array" ref="H11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117" s="78" t="str" cm="1">
        <f t="array" ref="I11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118" spans="1:9" hidden="1" x14ac:dyDescent="0.3">
      <c r="A118" s="82" t="str" cm="1">
        <f t="array" ref="A11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118" s="79" t="str" cm="1">
        <f t="array" ref="B11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118" s="108" t="str" cm="1">
        <f t="array" ref="C11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118" s="79" t="str" cm="1">
        <f t="array" ref="D11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118" s="79" t="str" cm="1">
        <f t="array" ref="E11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118" s="80" t="str" cm="1">
        <f t="array" ref="F11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118" s="80" t="str" cm="1">
        <f t="array" ref="G11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118" s="80" t="str" cm="1">
        <f t="array" ref="H11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118" s="78" t="str" cm="1">
        <f t="array" ref="I11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119" spans="1:9" hidden="1" x14ac:dyDescent="0.3">
      <c r="A119" s="82" t="str" cm="1">
        <f t="array" ref="A11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119" s="79" t="str" cm="1">
        <f t="array" ref="B11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119" s="108" t="str" cm="1">
        <f t="array" ref="C11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119" s="79" t="str" cm="1">
        <f t="array" ref="D11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119" s="79" t="str" cm="1">
        <f t="array" ref="E11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119" s="80" t="str" cm="1">
        <f t="array" ref="F11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119" s="80" t="str" cm="1">
        <f t="array" ref="G11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119" s="80" t="str" cm="1">
        <f t="array" ref="H11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119" s="78" t="str" cm="1">
        <f t="array" ref="I11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120" spans="1:9" hidden="1" x14ac:dyDescent="0.3">
      <c r="A120" s="82" t="str" cm="1">
        <f t="array" ref="A12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120" s="79" t="str" cm="1">
        <f t="array" ref="B12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120" s="108" t="str" cm="1">
        <f t="array" ref="C12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120" s="79" t="str" cm="1">
        <f t="array" ref="D12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120" s="79" t="str" cm="1">
        <f t="array" ref="E12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120" s="80" t="str" cm="1">
        <f t="array" ref="F12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120" s="80" t="str" cm="1">
        <f t="array" ref="G12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120" s="80" t="str" cm="1">
        <f t="array" ref="H12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120" s="78" t="str" cm="1">
        <f t="array" ref="I12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121" spans="1:9" hidden="1" x14ac:dyDescent="0.3">
      <c r="A121" s="82" t="str" cm="1">
        <f t="array" ref="A12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121" s="79" t="str" cm="1">
        <f t="array" ref="B12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121" s="108" t="str" cm="1">
        <f t="array" ref="C12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121" s="79" t="str" cm="1">
        <f t="array" ref="D12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121" s="79" t="str" cm="1">
        <f t="array" ref="E12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121" s="80" t="str" cm="1">
        <f t="array" ref="F12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121" s="80" t="str" cm="1">
        <f t="array" ref="G12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121" s="80" t="str" cm="1">
        <f t="array" ref="H12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121" s="78" t="str" cm="1">
        <f t="array" ref="I12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122" spans="1:9" hidden="1" x14ac:dyDescent="0.3">
      <c r="A122" s="82" t="str" cm="1">
        <f t="array" ref="A12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122" s="79" t="str" cm="1">
        <f t="array" ref="B12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122" s="108" t="str" cm="1">
        <f t="array" ref="C12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122" s="79" t="str" cm="1">
        <f t="array" ref="D12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122" s="79" t="str" cm="1">
        <f t="array" ref="E12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122" s="80" t="str" cm="1">
        <f t="array" ref="F12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122" s="80" t="str" cm="1">
        <f t="array" ref="G12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122" s="80" t="str" cm="1">
        <f t="array" ref="H12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122" s="78" t="str" cm="1">
        <f t="array" ref="I12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123" spans="1:9" hidden="1" x14ac:dyDescent="0.3">
      <c r="A123" s="82" t="str" cm="1">
        <f t="array" ref="A12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123" s="79" t="str" cm="1">
        <f t="array" ref="B12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123" s="108" t="str" cm="1">
        <f t="array" ref="C12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123" s="79" t="str" cm="1">
        <f t="array" ref="D12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123" s="79" t="str" cm="1">
        <f t="array" ref="E12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123" s="80" t="str" cm="1">
        <f t="array" ref="F12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123" s="80" t="str" cm="1">
        <f t="array" ref="G12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123" s="80" t="str" cm="1">
        <f t="array" ref="H12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123" s="78" t="str" cm="1">
        <f t="array" ref="I12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124" spans="1:9" hidden="1" x14ac:dyDescent="0.3">
      <c r="A124" s="82" t="str" cm="1">
        <f t="array" ref="A12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124" s="79" t="str" cm="1">
        <f t="array" ref="B12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124" s="108" t="str" cm="1">
        <f t="array" ref="C12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124" s="79" t="str" cm="1">
        <f t="array" ref="D12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124" s="79" t="str" cm="1">
        <f t="array" ref="E12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124" s="80" t="str" cm="1">
        <f t="array" ref="F12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124" s="80" t="str" cm="1">
        <f t="array" ref="G12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124" s="80" t="str" cm="1">
        <f t="array" ref="H12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124" s="78" t="str" cm="1">
        <f t="array" ref="I12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125" spans="1:9" hidden="1" x14ac:dyDescent="0.3">
      <c r="A125" s="82" t="str" cm="1">
        <f t="array" ref="A12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125" s="79" t="str" cm="1">
        <f t="array" ref="B12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125" s="108" t="str" cm="1">
        <f t="array" ref="C12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125" s="79" t="str" cm="1">
        <f t="array" ref="D12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125" s="79" t="str" cm="1">
        <f t="array" ref="E12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125" s="80" t="str" cm="1">
        <f t="array" ref="F12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125" s="80" t="str" cm="1">
        <f t="array" ref="G12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125" s="80" t="str" cm="1">
        <f t="array" ref="H12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125" s="78" t="str" cm="1">
        <f t="array" ref="I12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126" spans="1:9" hidden="1" x14ac:dyDescent="0.3">
      <c r="A126" s="82" t="str" cm="1">
        <f t="array" ref="A12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126" s="79" t="str" cm="1">
        <f t="array" ref="B12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126" s="108" t="str" cm="1">
        <f t="array" ref="C12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126" s="79" t="str" cm="1">
        <f t="array" ref="D12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126" s="79" t="str" cm="1">
        <f t="array" ref="E12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126" s="80" t="str" cm="1">
        <f t="array" ref="F12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126" s="80" t="str" cm="1">
        <f t="array" ref="G12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126" s="80" t="str" cm="1">
        <f t="array" ref="H12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126" s="78" t="str" cm="1">
        <f t="array" ref="I12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127" spans="1:9" hidden="1" x14ac:dyDescent="0.3">
      <c r="A127" s="82" t="str" cm="1">
        <f t="array" ref="A12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127" s="79" t="str" cm="1">
        <f t="array" ref="B12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127" s="108" t="str" cm="1">
        <f t="array" ref="C12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127" s="79" t="str" cm="1">
        <f t="array" ref="D12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127" s="79" t="str" cm="1">
        <f t="array" ref="E12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127" s="80" t="str" cm="1">
        <f t="array" ref="F12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127" s="80" t="str" cm="1">
        <f t="array" ref="G12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127" s="80" t="str" cm="1">
        <f t="array" ref="H12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127" s="78" t="str" cm="1">
        <f t="array" ref="I12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128" spans="1:9" hidden="1" x14ac:dyDescent="0.3">
      <c r="A128" s="82" t="str" cm="1">
        <f t="array" ref="A12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128" s="79" t="str" cm="1">
        <f t="array" ref="B12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128" s="108" t="str" cm="1">
        <f t="array" ref="C12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128" s="79" t="str" cm="1">
        <f t="array" ref="D12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128" s="79" t="str" cm="1">
        <f t="array" ref="E12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128" s="80" t="str" cm="1">
        <f t="array" ref="F12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128" s="80" t="str" cm="1">
        <f t="array" ref="G12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128" s="80" t="str" cm="1">
        <f t="array" ref="H12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128" s="78" t="str" cm="1">
        <f t="array" ref="I12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129" spans="1:9" hidden="1" x14ac:dyDescent="0.3">
      <c r="A129" s="82" t="str" cm="1">
        <f t="array" ref="A12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129" s="79" t="str" cm="1">
        <f t="array" ref="B12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129" s="108" t="str" cm="1">
        <f t="array" ref="C12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129" s="79" t="str" cm="1">
        <f t="array" ref="D12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129" s="79" t="str" cm="1">
        <f t="array" ref="E12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129" s="80" t="str" cm="1">
        <f t="array" ref="F12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129" s="80" t="str" cm="1">
        <f t="array" ref="G12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129" s="80" t="str" cm="1">
        <f t="array" ref="H12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129" s="78" t="str" cm="1">
        <f t="array" ref="I12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130" spans="1:9" hidden="1" x14ac:dyDescent="0.3">
      <c r="A130" s="82" t="str" cm="1">
        <f t="array" ref="A13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130" s="79" t="str" cm="1">
        <f t="array" ref="B13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130" s="108" t="str" cm="1">
        <f t="array" ref="C13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130" s="79" t="str" cm="1">
        <f t="array" ref="D13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130" s="79" t="str" cm="1">
        <f t="array" ref="E13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130" s="80" t="str" cm="1">
        <f t="array" ref="F13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130" s="80" t="str" cm="1">
        <f t="array" ref="G13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130" s="80" t="str" cm="1">
        <f t="array" ref="H13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130" s="78" t="str" cm="1">
        <f t="array" ref="I13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131" spans="1:9" hidden="1" x14ac:dyDescent="0.3">
      <c r="A131" s="82" t="str" cm="1">
        <f t="array" ref="A13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131" s="79" t="str" cm="1">
        <f t="array" ref="B13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131" s="108" t="str" cm="1">
        <f t="array" ref="C13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131" s="79" t="str" cm="1">
        <f t="array" ref="D13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131" s="79" t="str" cm="1">
        <f t="array" ref="E13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131" s="80" t="str" cm="1">
        <f t="array" ref="F13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131" s="80" t="str" cm="1">
        <f t="array" ref="G13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131" s="80" t="str" cm="1">
        <f t="array" ref="H13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131" s="78" t="str" cm="1">
        <f t="array" ref="I13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132" spans="1:9" hidden="1" x14ac:dyDescent="0.3">
      <c r="A132" s="82" t="str" cm="1">
        <f t="array" ref="A13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132" s="79" t="str" cm="1">
        <f t="array" ref="B13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132" s="108" t="str" cm="1">
        <f t="array" ref="C13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132" s="79" t="str" cm="1">
        <f t="array" ref="D13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132" s="79" t="str" cm="1">
        <f t="array" ref="E13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132" s="80" t="str" cm="1">
        <f t="array" ref="F13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132" s="80" t="str" cm="1">
        <f t="array" ref="G13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132" s="80" t="str" cm="1">
        <f t="array" ref="H13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132" s="78" t="str" cm="1">
        <f t="array" ref="I13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133" spans="1:9" hidden="1" x14ac:dyDescent="0.3">
      <c r="A133" s="82" t="str" cm="1">
        <f t="array" ref="A13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133" s="79" t="str" cm="1">
        <f t="array" ref="B13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133" s="108" t="str" cm="1">
        <f t="array" ref="C13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133" s="79" t="str" cm="1">
        <f t="array" ref="D13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133" s="79" t="str" cm="1">
        <f t="array" ref="E13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133" s="80" t="str" cm="1">
        <f t="array" ref="F13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133" s="80" t="str" cm="1">
        <f t="array" ref="G13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133" s="80" t="str" cm="1">
        <f t="array" ref="H13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133" s="78" t="str" cm="1">
        <f t="array" ref="I13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134" spans="1:9" hidden="1" x14ac:dyDescent="0.3">
      <c r="A134" s="82" t="str" cm="1">
        <f t="array" ref="A13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134" s="79" t="str" cm="1">
        <f t="array" ref="B13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134" s="108" t="str" cm="1">
        <f t="array" ref="C13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134" s="79" t="str" cm="1">
        <f t="array" ref="D13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134" s="79" t="str" cm="1">
        <f t="array" ref="E13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134" s="80" t="str" cm="1">
        <f t="array" ref="F13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134" s="80" t="str" cm="1">
        <f t="array" ref="G13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134" s="80" t="str" cm="1">
        <f t="array" ref="H13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134" s="78" t="str" cm="1">
        <f t="array" ref="I13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135" spans="1:9" hidden="1" x14ac:dyDescent="0.3">
      <c r="A135" s="82" t="str" cm="1">
        <f t="array" ref="A13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135" s="79" t="str" cm="1">
        <f t="array" ref="B13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135" s="108" t="str" cm="1">
        <f t="array" ref="C13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135" s="79" t="str" cm="1">
        <f t="array" ref="D13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135" s="79" t="str" cm="1">
        <f t="array" ref="E13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135" s="80" t="str" cm="1">
        <f t="array" ref="F13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135" s="80" t="str" cm="1">
        <f t="array" ref="G13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135" s="80" t="str" cm="1">
        <f t="array" ref="H13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135" s="78" t="str" cm="1">
        <f t="array" ref="I13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136" spans="1:9" hidden="1" x14ac:dyDescent="0.3">
      <c r="A136" s="82" t="str" cm="1">
        <f t="array" ref="A13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136" s="79" t="str" cm="1">
        <f t="array" ref="B13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136" s="108" t="str" cm="1">
        <f t="array" ref="C13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136" s="79" t="str" cm="1">
        <f t="array" ref="D13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136" s="79" t="str" cm="1">
        <f t="array" ref="E13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136" s="80" t="str" cm="1">
        <f t="array" ref="F13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136" s="80" t="str" cm="1">
        <f t="array" ref="G13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136" s="80" t="str" cm="1">
        <f t="array" ref="H13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136" s="78" t="str" cm="1">
        <f t="array" ref="I13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137" spans="1:9" hidden="1" x14ac:dyDescent="0.3">
      <c r="A137" s="82" t="str" cm="1">
        <f t="array" ref="A13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137" s="79" t="str" cm="1">
        <f t="array" ref="B13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137" s="108" t="str" cm="1">
        <f t="array" ref="C13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137" s="79" t="str" cm="1">
        <f t="array" ref="D13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137" s="79" t="str" cm="1">
        <f t="array" ref="E13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137" s="80" t="str" cm="1">
        <f t="array" ref="F13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137" s="80" t="str" cm="1">
        <f t="array" ref="G13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137" s="80" t="str" cm="1">
        <f t="array" ref="H13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137" s="78" t="str" cm="1">
        <f t="array" ref="I13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138" spans="1:9" hidden="1" x14ac:dyDescent="0.3">
      <c r="A138" s="82" t="str" cm="1">
        <f t="array" ref="A13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138" s="79" t="str" cm="1">
        <f t="array" ref="B13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138" s="108" t="str" cm="1">
        <f t="array" ref="C13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138" s="79" t="str" cm="1">
        <f t="array" ref="D13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138" s="79" t="str" cm="1">
        <f t="array" ref="E13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138" s="80" t="str" cm="1">
        <f t="array" ref="F13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138" s="80" t="str" cm="1">
        <f t="array" ref="G13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138" s="80" t="str" cm="1">
        <f t="array" ref="H13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138" s="78" t="str" cm="1">
        <f t="array" ref="I13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139" spans="1:9" hidden="1" x14ac:dyDescent="0.3">
      <c r="A139" s="82" t="str" cm="1">
        <f t="array" ref="A13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139" s="79" t="str" cm="1">
        <f t="array" ref="B13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139" s="108" t="str" cm="1">
        <f t="array" ref="C13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139" s="79" t="str" cm="1">
        <f t="array" ref="D13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139" s="79" t="str" cm="1">
        <f t="array" ref="E13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139" s="80" t="str" cm="1">
        <f t="array" ref="F13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139" s="80" t="str" cm="1">
        <f t="array" ref="G13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139" s="80" t="str" cm="1">
        <f t="array" ref="H13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139" s="78" t="str" cm="1">
        <f t="array" ref="I13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140" spans="1:9" hidden="1" x14ac:dyDescent="0.3">
      <c r="A140" s="82" t="str" cm="1">
        <f t="array" ref="A14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140" s="79" t="str" cm="1">
        <f t="array" ref="B14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140" s="108" t="str" cm="1">
        <f t="array" ref="C14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140" s="79" t="str" cm="1">
        <f t="array" ref="D14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140" s="79" t="str" cm="1">
        <f t="array" ref="E14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140" s="80" t="str" cm="1">
        <f t="array" ref="F14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140" s="80" t="str" cm="1">
        <f t="array" ref="G14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140" s="80" t="str" cm="1">
        <f t="array" ref="H14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140" s="78" t="str" cm="1">
        <f t="array" ref="I14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141" spans="1:9" hidden="1" x14ac:dyDescent="0.3">
      <c r="A141" s="82" t="str" cm="1">
        <f t="array" ref="A14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141" s="79" t="str" cm="1">
        <f t="array" ref="B14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141" s="108" t="str" cm="1">
        <f t="array" ref="C14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141" s="79" t="str" cm="1">
        <f t="array" ref="D14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141" s="79" t="str" cm="1">
        <f t="array" ref="E14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141" s="80" t="str" cm="1">
        <f t="array" ref="F14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141" s="80" t="str" cm="1">
        <f t="array" ref="G14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141" s="80" t="str" cm="1">
        <f t="array" ref="H14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141" s="78" t="str" cm="1">
        <f t="array" ref="I14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142" spans="1:9" hidden="1" x14ac:dyDescent="0.3">
      <c r="A142" s="82" t="str" cm="1">
        <f t="array" ref="A14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142" s="79" t="str" cm="1">
        <f t="array" ref="B14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142" s="108" t="str" cm="1">
        <f t="array" ref="C14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142" s="79" t="str" cm="1">
        <f t="array" ref="D14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142" s="79" t="str" cm="1">
        <f t="array" ref="E14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142" s="80" t="str" cm="1">
        <f t="array" ref="F14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142" s="80" t="str" cm="1">
        <f t="array" ref="G14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142" s="80" t="str" cm="1">
        <f t="array" ref="H14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142" s="78" t="str" cm="1">
        <f t="array" ref="I14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143" spans="1:9" hidden="1" x14ac:dyDescent="0.3">
      <c r="A143" s="82" t="str" cm="1">
        <f t="array" ref="A14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143" s="79" t="str" cm="1">
        <f t="array" ref="B14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143" s="108" t="str" cm="1">
        <f t="array" ref="C14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143" s="79" t="str" cm="1">
        <f t="array" ref="D14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143" s="79" t="str" cm="1">
        <f t="array" ref="E14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143" s="80" t="str" cm="1">
        <f t="array" ref="F14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143" s="80" t="str" cm="1">
        <f t="array" ref="G14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143" s="80" t="str" cm="1">
        <f t="array" ref="H14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143" s="78" t="str" cm="1">
        <f t="array" ref="I14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144" spans="1:9" hidden="1" x14ac:dyDescent="0.3">
      <c r="A144" s="82" t="str" cm="1">
        <f t="array" ref="A14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144" s="79" t="str" cm="1">
        <f t="array" ref="B14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144" s="108" t="str" cm="1">
        <f t="array" ref="C14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144" s="79" t="str" cm="1">
        <f t="array" ref="D14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144" s="79" t="str" cm="1">
        <f t="array" ref="E14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144" s="80" t="str" cm="1">
        <f t="array" ref="F14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144" s="80" t="str" cm="1">
        <f t="array" ref="G14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144" s="80" t="str" cm="1">
        <f t="array" ref="H14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144" s="78" t="str" cm="1">
        <f t="array" ref="I14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145" spans="1:9" hidden="1" x14ac:dyDescent="0.3">
      <c r="A145" s="82" t="str" cm="1">
        <f t="array" ref="A14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145" s="79" t="str" cm="1">
        <f t="array" ref="B14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145" s="108" t="str" cm="1">
        <f t="array" ref="C14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145" s="79" t="str" cm="1">
        <f t="array" ref="D14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145" s="79" t="str" cm="1">
        <f t="array" ref="E14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145" s="80" t="str" cm="1">
        <f t="array" ref="F14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145" s="80" t="str" cm="1">
        <f t="array" ref="G14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145" s="80" t="str" cm="1">
        <f t="array" ref="H14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145" s="78" t="str" cm="1">
        <f t="array" ref="I14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146" spans="1:9" hidden="1" x14ac:dyDescent="0.3">
      <c r="A146" s="82" t="str" cm="1">
        <f t="array" ref="A14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146" s="79" t="str" cm="1">
        <f t="array" ref="B14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146" s="108" t="str" cm="1">
        <f t="array" ref="C14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146" s="79" t="str" cm="1">
        <f t="array" ref="D14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146" s="79" t="str" cm="1">
        <f t="array" ref="E14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146" s="80" t="str" cm="1">
        <f t="array" ref="F14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146" s="80" t="str" cm="1">
        <f t="array" ref="G14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146" s="80" t="str" cm="1">
        <f t="array" ref="H14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146" s="78" t="str" cm="1">
        <f t="array" ref="I14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147" spans="1:9" hidden="1" x14ac:dyDescent="0.3">
      <c r="A147" s="82" t="str" cm="1">
        <f t="array" ref="A14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147" s="79" t="str" cm="1">
        <f t="array" ref="B14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147" s="108" t="str" cm="1">
        <f t="array" ref="C14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147" s="79" t="str" cm="1">
        <f t="array" ref="D14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147" s="79" t="str" cm="1">
        <f t="array" ref="E14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147" s="80" t="str" cm="1">
        <f t="array" ref="F14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147" s="80" t="str" cm="1">
        <f t="array" ref="G14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147" s="80" t="str" cm="1">
        <f t="array" ref="H14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147" s="78" t="str" cm="1">
        <f t="array" ref="I14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148" spans="1:9" hidden="1" x14ac:dyDescent="0.3">
      <c r="A148" s="82" t="str" cm="1">
        <f t="array" ref="A14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148" s="79" t="str" cm="1">
        <f t="array" ref="B14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148" s="108" t="str" cm="1">
        <f t="array" ref="C14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148" s="79" t="str" cm="1">
        <f t="array" ref="D14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148" s="79" t="str" cm="1">
        <f t="array" ref="E14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148" s="80" t="str" cm="1">
        <f t="array" ref="F14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148" s="80" t="str" cm="1">
        <f t="array" ref="G14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148" s="80" t="str" cm="1">
        <f t="array" ref="H14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148" s="78" t="str" cm="1">
        <f t="array" ref="I14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149" spans="1:9" hidden="1" x14ac:dyDescent="0.3">
      <c r="A149" s="82" t="str" cm="1">
        <f t="array" ref="A14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149" s="79" t="str" cm="1">
        <f t="array" ref="B14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149" s="108" t="str" cm="1">
        <f t="array" ref="C14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149" s="79" t="str" cm="1">
        <f t="array" ref="D14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149" s="79" t="str" cm="1">
        <f t="array" ref="E14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149" s="80" t="str" cm="1">
        <f t="array" ref="F14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149" s="80" t="str" cm="1">
        <f t="array" ref="G14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149" s="80" t="str" cm="1">
        <f t="array" ref="H14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149" s="78" t="str" cm="1">
        <f t="array" ref="I14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150" spans="1:9" hidden="1" x14ac:dyDescent="0.3">
      <c r="A150" s="82" t="str" cm="1">
        <f t="array" ref="A15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150" s="79" t="str" cm="1">
        <f t="array" ref="B15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150" s="108" t="str" cm="1">
        <f t="array" ref="C15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150" s="79" t="str" cm="1">
        <f t="array" ref="D15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150" s="79" t="str" cm="1">
        <f t="array" ref="E15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150" s="80" t="str" cm="1">
        <f t="array" ref="F15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150" s="80" t="str" cm="1">
        <f t="array" ref="G15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150" s="80" t="str" cm="1">
        <f t="array" ref="H15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150" s="78" t="str" cm="1">
        <f t="array" ref="I15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151" spans="1:9" hidden="1" x14ac:dyDescent="0.3">
      <c r="A151" s="82" t="str" cm="1">
        <f t="array" ref="A15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151" s="79" t="str" cm="1">
        <f t="array" ref="B15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151" s="108" t="str" cm="1">
        <f t="array" ref="C15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151" s="79" t="str" cm="1">
        <f t="array" ref="D15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151" s="79" t="str" cm="1">
        <f t="array" ref="E15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151" s="80" t="str" cm="1">
        <f t="array" ref="F15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151" s="80" t="str" cm="1">
        <f t="array" ref="G15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151" s="80" t="str" cm="1">
        <f t="array" ref="H15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151" s="78" t="str" cm="1">
        <f t="array" ref="I15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152" spans="1:9" hidden="1" x14ac:dyDescent="0.3">
      <c r="A152" s="82" t="str" cm="1">
        <f t="array" ref="A15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152" s="79" t="str" cm="1">
        <f t="array" ref="B15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152" s="108" t="str" cm="1">
        <f t="array" ref="C15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152" s="79" t="str" cm="1">
        <f t="array" ref="D15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152" s="79" t="str" cm="1">
        <f t="array" ref="E15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152" s="80" t="str" cm="1">
        <f t="array" ref="F15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152" s="80" t="str" cm="1">
        <f t="array" ref="G15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152" s="80" t="str" cm="1">
        <f t="array" ref="H15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152" s="78" t="str" cm="1">
        <f t="array" ref="I15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153" spans="1:9" hidden="1" x14ac:dyDescent="0.3">
      <c r="A153" s="82" t="str" cm="1">
        <f t="array" ref="A15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153" s="79" t="str" cm="1">
        <f t="array" ref="B15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153" s="108" t="str" cm="1">
        <f t="array" ref="C15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153" s="79" t="str" cm="1">
        <f t="array" ref="D15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153" s="79" t="str" cm="1">
        <f t="array" ref="E15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153" s="80" t="str" cm="1">
        <f t="array" ref="F15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153" s="80" t="str" cm="1">
        <f t="array" ref="G15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153" s="80" t="str" cm="1">
        <f t="array" ref="H15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153" s="78" t="str" cm="1">
        <f t="array" ref="I15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154" spans="1:9" hidden="1" x14ac:dyDescent="0.3">
      <c r="A154" s="82" t="str" cm="1">
        <f t="array" ref="A15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154" s="79" t="str" cm="1">
        <f t="array" ref="B15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154" s="108" t="str" cm="1">
        <f t="array" ref="C15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154" s="79" t="str" cm="1">
        <f t="array" ref="D15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154" s="79" t="str" cm="1">
        <f t="array" ref="E15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154" s="80" t="str" cm="1">
        <f t="array" ref="F15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154" s="80" t="str" cm="1">
        <f t="array" ref="G15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154" s="80" t="str" cm="1">
        <f t="array" ref="H15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154" s="78" t="str" cm="1">
        <f t="array" ref="I15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155" spans="1:9" hidden="1" x14ac:dyDescent="0.3">
      <c r="A155" s="82" t="str" cm="1">
        <f t="array" ref="A15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155" s="79" t="str" cm="1">
        <f t="array" ref="B15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155" s="108" t="str" cm="1">
        <f t="array" ref="C15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155" s="79" t="str" cm="1">
        <f t="array" ref="D15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155" s="79" t="str" cm="1">
        <f t="array" ref="E15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155" s="80" t="str" cm="1">
        <f t="array" ref="F15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155" s="80" t="str" cm="1">
        <f t="array" ref="G15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155" s="80" t="str" cm="1">
        <f t="array" ref="H15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155" s="78" t="str" cm="1">
        <f t="array" ref="I15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156" spans="1:9" hidden="1" x14ac:dyDescent="0.3">
      <c r="A156" s="82" t="str" cm="1">
        <f t="array" ref="A15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156" s="79" t="str" cm="1">
        <f t="array" ref="B15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156" s="108" t="str" cm="1">
        <f t="array" ref="C15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156" s="79" t="str" cm="1">
        <f t="array" ref="D15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156" s="79" t="str" cm="1">
        <f t="array" ref="E15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156" s="80" t="str" cm="1">
        <f t="array" ref="F15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156" s="80" t="str" cm="1">
        <f t="array" ref="G15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156" s="80" t="str" cm="1">
        <f t="array" ref="H15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156" s="78" t="str" cm="1">
        <f t="array" ref="I15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157" spans="1:9" hidden="1" x14ac:dyDescent="0.3">
      <c r="A157" s="82" t="str" cm="1">
        <f t="array" ref="A15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157" s="79" t="str" cm="1">
        <f t="array" ref="B15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157" s="108" t="str" cm="1">
        <f t="array" ref="C15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157" s="79" t="str" cm="1">
        <f t="array" ref="D15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157" s="79" t="str" cm="1">
        <f t="array" ref="E15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157" s="80" t="str" cm="1">
        <f t="array" ref="F15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157" s="80" t="str" cm="1">
        <f t="array" ref="G15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157" s="80" t="str" cm="1">
        <f t="array" ref="H15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157" s="78" t="str" cm="1">
        <f t="array" ref="I15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158" spans="1:9" hidden="1" x14ac:dyDescent="0.3">
      <c r="A158" s="82" t="str" cm="1">
        <f t="array" ref="A15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158" s="79" t="str" cm="1">
        <f t="array" ref="B15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158" s="108" t="str" cm="1">
        <f t="array" ref="C15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158" s="79" t="str" cm="1">
        <f t="array" ref="D15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158" s="79" t="str" cm="1">
        <f t="array" ref="E15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158" s="80" t="str" cm="1">
        <f t="array" ref="F15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158" s="80" t="str" cm="1">
        <f t="array" ref="G15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158" s="80" t="str" cm="1">
        <f t="array" ref="H15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158" s="78" t="str" cm="1">
        <f t="array" ref="I15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159" spans="1:9" hidden="1" x14ac:dyDescent="0.3">
      <c r="A159" s="82" t="str" cm="1">
        <f t="array" ref="A15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159" s="79" t="str" cm="1">
        <f t="array" ref="B15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159" s="108" t="str" cm="1">
        <f t="array" ref="C15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159" s="79" t="str" cm="1">
        <f t="array" ref="D15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159" s="79" t="str" cm="1">
        <f t="array" ref="E15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159" s="80" t="str" cm="1">
        <f t="array" ref="F15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159" s="80" t="str" cm="1">
        <f t="array" ref="G15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159" s="80" t="str" cm="1">
        <f t="array" ref="H15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159" s="78" t="str" cm="1">
        <f t="array" ref="I15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160" spans="1:9" hidden="1" x14ac:dyDescent="0.3">
      <c r="A160" s="82" t="str" cm="1">
        <f t="array" ref="A16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160" s="79" t="str" cm="1">
        <f t="array" ref="B16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160" s="108" t="str" cm="1">
        <f t="array" ref="C16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160" s="79" t="str" cm="1">
        <f t="array" ref="D16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160" s="79" t="str" cm="1">
        <f t="array" ref="E16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160" s="80" t="str" cm="1">
        <f t="array" ref="F16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160" s="80" t="str" cm="1">
        <f t="array" ref="G16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160" s="80" t="str" cm="1">
        <f t="array" ref="H16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160" s="78" t="str" cm="1">
        <f t="array" ref="I16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161" spans="1:9" hidden="1" x14ac:dyDescent="0.3">
      <c r="A161" s="82" t="str" cm="1">
        <f t="array" ref="A16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161" s="79" t="str" cm="1">
        <f t="array" ref="B16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161" s="108" t="str" cm="1">
        <f t="array" ref="C16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161" s="79" t="str" cm="1">
        <f t="array" ref="D16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161" s="79" t="str" cm="1">
        <f t="array" ref="E16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161" s="80" t="str" cm="1">
        <f t="array" ref="F16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161" s="80" t="str" cm="1">
        <f t="array" ref="G16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161" s="80" t="str" cm="1">
        <f t="array" ref="H16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161" s="78" t="str" cm="1">
        <f t="array" ref="I16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162" spans="1:9" hidden="1" x14ac:dyDescent="0.3">
      <c r="A162" s="82" t="str" cm="1">
        <f t="array" ref="A16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162" s="79" t="str" cm="1">
        <f t="array" ref="B16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162" s="108" t="str" cm="1">
        <f t="array" ref="C16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162" s="79" t="str" cm="1">
        <f t="array" ref="D16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162" s="79" t="str" cm="1">
        <f t="array" ref="E16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162" s="80" t="str" cm="1">
        <f t="array" ref="F16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162" s="80" t="str" cm="1">
        <f t="array" ref="G16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162" s="80" t="str" cm="1">
        <f t="array" ref="H16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162" s="78" t="str" cm="1">
        <f t="array" ref="I16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163" spans="1:9" hidden="1" x14ac:dyDescent="0.3">
      <c r="A163" s="82" t="str" cm="1">
        <f t="array" ref="A16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163" s="79" t="str" cm="1">
        <f t="array" ref="B16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163" s="108" t="str" cm="1">
        <f t="array" ref="C16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163" s="79" t="str" cm="1">
        <f t="array" ref="D16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163" s="79" t="str" cm="1">
        <f t="array" ref="E16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163" s="80" t="str" cm="1">
        <f t="array" ref="F16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163" s="80" t="str" cm="1">
        <f t="array" ref="G16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163" s="80" t="str" cm="1">
        <f t="array" ref="H16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163" s="78" t="str" cm="1">
        <f t="array" ref="I16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164" spans="1:9" hidden="1" x14ac:dyDescent="0.3">
      <c r="A164" s="82" t="str" cm="1">
        <f t="array" ref="A16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164" s="79" t="str" cm="1">
        <f t="array" ref="B16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164" s="108" t="str" cm="1">
        <f t="array" ref="C16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164" s="79" t="str" cm="1">
        <f t="array" ref="D16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164" s="79" t="str" cm="1">
        <f t="array" ref="E16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164" s="80" t="str" cm="1">
        <f t="array" ref="F16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164" s="80" t="str" cm="1">
        <f t="array" ref="G16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164" s="80" t="str" cm="1">
        <f t="array" ref="H16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164" s="78" t="str" cm="1">
        <f t="array" ref="I16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165" spans="1:9" hidden="1" x14ac:dyDescent="0.3">
      <c r="A165" s="82" t="str" cm="1">
        <f t="array" ref="A16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165" s="79" t="str" cm="1">
        <f t="array" ref="B16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165" s="108" t="str" cm="1">
        <f t="array" ref="C16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165" s="79" t="str" cm="1">
        <f t="array" ref="D16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165" s="79" t="str" cm="1">
        <f t="array" ref="E16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165" s="80" t="str" cm="1">
        <f t="array" ref="F16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165" s="80" t="str" cm="1">
        <f t="array" ref="G16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165" s="80" t="str" cm="1">
        <f t="array" ref="H16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165" s="78" t="str" cm="1">
        <f t="array" ref="I16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166" spans="1:9" hidden="1" x14ac:dyDescent="0.3">
      <c r="A166" s="82" t="str" cm="1">
        <f t="array" ref="A16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166" s="79" t="str" cm="1">
        <f t="array" ref="B16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166" s="108" t="str" cm="1">
        <f t="array" ref="C16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166" s="79" t="str" cm="1">
        <f t="array" ref="D16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166" s="79" t="str" cm="1">
        <f t="array" ref="E16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166" s="80" t="str" cm="1">
        <f t="array" ref="F16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166" s="80" t="str" cm="1">
        <f t="array" ref="G16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166" s="80" t="str" cm="1">
        <f t="array" ref="H16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166" s="78" t="str" cm="1">
        <f t="array" ref="I16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167" spans="1:9" hidden="1" x14ac:dyDescent="0.3">
      <c r="A167" s="82" t="str" cm="1">
        <f t="array" ref="A16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167" s="79" t="str" cm="1">
        <f t="array" ref="B16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167" s="108" t="str" cm="1">
        <f t="array" ref="C16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167" s="79" t="str" cm="1">
        <f t="array" ref="D16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167" s="79" t="str" cm="1">
        <f t="array" ref="E16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167" s="80" t="str" cm="1">
        <f t="array" ref="F16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167" s="80" t="str" cm="1">
        <f t="array" ref="G16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167" s="80" t="str" cm="1">
        <f t="array" ref="H16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167" s="78" t="str" cm="1">
        <f t="array" ref="I16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168" spans="1:9" hidden="1" x14ac:dyDescent="0.3">
      <c r="A168" s="82" t="str" cm="1">
        <f t="array" ref="A16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168" s="79" t="str" cm="1">
        <f t="array" ref="B16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168" s="108" t="str" cm="1">
        <f t="array" ref="C16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168" s="79" t="str" cm="1">
        <f t="array" ref="D16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168" s="79" t="str" cm="1">
        <f t="array" ref="E16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168" s="80" t="str" cm="1">
        <f t="array" ref="F16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168" s="80" t="str" cm="1">
        <f t="array" ref="G16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168" s="80" t="str" cm="1">
        <f t="array" ref="H16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168" s="78" t="str" cm="1">
        <f t="array" ref="I16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169" spans="1:9" hidden="1" x14ac:dyDescent="0.3">
      <c r="A169" s="82" t="str" cm="1">
        <f t="array" ref="A16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169" s="79" t="str" cm="1">
        <f t="array" ref="B16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169" s="108" t="str" cm="1">
        <f t="array" ref="C16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169" s="79" t="str" cm="1">
        <f t="array" ref="D16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169" s="79" t="str" cm="1">
        <f t="array" ref="E16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169" s="80" t="str" cm="1">
        <f t="array" ref="F16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169" s="80" t="str" cm="1">
        <f t="array" ref="G16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169" s="80" t="str" cm="1">
        <f t="array" ref="H16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169" s="78" t="str" cm="1">
        <f t="array" ref="I16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170" spans="1:9" hidden="1" x14ac:dyDescent="0.3">
      <c r="A170" s="82" t="str" cm="1">
        <f t="array" ref="A17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170" s="79" t="str" cm="1">
        <f t="array" ref="B17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170" s="108" t="str" cm="1">
        <f t="array" ref="C17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170" s="79" t="str" cm="1">
        <f t="array" ref="D17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170" s="79" t="str" cm="1">
        <f t="array" ref="E17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170" s="80" t="str" cm="1">
        <f t="array" ref="F17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170" s="80" t="str" cm="1">
        <f t="array" ref="G17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170" s="80" t="str" cm="1">
        <f t="array" ref="H17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170" s="78" t="str" cm="1">
        <f t="array" ref="I17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171" spans="1:9" hidden="1" x14ac:dyDescent="0.3">
      <c r="A171" s="82" t="str" cm="1">
        <f t="array" ref="A17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171" s="79" t="str" cm="1">
        <f t="array" ref="B17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171" s="108" t="str" cm="1">
        <f t="array" ref="C17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171" s="79" t="str" cm="1">
        <f t="array" ref="D17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171" s="79" t="str" cm="1">
        <f t="array" ref="E17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171" s="80" t="str" cm="1">
        <f t="array" ref="F17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171" s="80" t="str" cm="1">
        <f t="array" ref="G17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171" s="80" t="str" cm="1">
        <f t="array" ref="H17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171" s="78" t="str" cm="1">
        <f t="array" ref="I17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172" spans="1:9" hidden="1" x14ac:dyDescent="0.3">
      <c r="A172" s="82" t="str" cm="1">
        <f t="array" ref="A17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172" s="79" t="str" cm="1">
        <f t="array" ref="B17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172" s="108" t="str" cm="1">
        <f t="array" ref="C17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172" s="79" t="str" cm="1">
        <f t="array" ref="D17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172" s="79" t="str" cm="1">
        <f t="array" ref="E17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172" s="80" t="str" cm="1">
        <f t="array" ref="F17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172" s="80" t="str" cm="1">
        <f t="array" ref="G17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172" s="80" t="str" cm="1">
        <f t="array" ref="H17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172" s="78" t="str" cm="1">
        <f t="array" ref="I17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173" spans="1:9" hidden="1" x14ac:dyDescent="0.3">
      <c r="A173" s="82" t="str" cm="1">
        <f t="array" ref="A17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173" s="79" t="str" cm="1">
        <f t="array" ref="B17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173" s="108" t="str" cm="1">
        <f t="array" ref="C17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173" s="79" t="str" cm="1">
        <f t="array" ref="D17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173" s="79" t="str" cm="1">
        <f t="array" ref="E17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173" s="80" t="str" cm="1">
        <f t="array" ref="F17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173" s="80" t="str" cm="1">
        <f t="array" ref="G17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173" s="80" t="str" cm="1">
        <f t="array" ref="H17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173" s="78" t="str" cm="1">
        <f t="array" ref="I17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174" spans="1:9" hidden="1" x14ac:dyDescent="0.3">
      <c r="A174" s="82" t="str" cm="1">
        <f t="array" ref="A17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174" s="79" t="str" cm="1">
        <f t="array" ref="B17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174" s="108" t="str" cm="1">
        <f t="array" ref="C17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174" s="79" t="str" cm="1">
        <f t="array" ref="D17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174" s="79" t="str" cm="1">
        <f t="array" ref="E17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174" s="80" t="str" cm="1">
        <f t="array" ref="F17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174" s="80" t="str" cm="1">
        <f t="array" ref="G17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174" s="80" t="str" cm="1">
        <f t="array" ref="H17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174" s="78" t="str" cm="1">
        <f t="array" ref="I17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175" spans="1:9" hidden="1" x14ac:dyDescent="0.3">
      <c r="A175" s="82" t="str" cm="1">
        <f t="array" ref="A17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175" s="79" t="str" cm="1">
        <f t="array" ref="B17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175" s="108" t="str" cm="1">
        <f t="array" ref="C17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175" s="79" t="str" cm="1">
        <f t="array" ref="D17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175" s="79" t="str" cm="1">
        <f t="array" ref="E17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175" s="80" t="str" cm="1">
        <f t="array" ref="F17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175" s="80" t="str" cm="1">
        <f t="array" ref="G17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175" s="80" t="str" cm="1">
        <f t="array" ref="H17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175" s="78" t="str" cm="1">
        <f t="array" ref="I17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176" spans="1:9" hidden="1" x14ac:dyDescent="0.3">
      <c r="A176" s="82" t="str" cm="1">
        <f t="array" ref="A17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176" s="79" t="str" cm="1">
        <f t="array" ref="B17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176" s="108" t="str" cm="1">
        <f t="array" ref="C17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176" s="79" t="str" cm="1">
        <f t="array" ref="D17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176" s="79" t="str" cm="1">
        <f t="array" ref="E17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176" s="80" t="str" cm="1">
        <f t="array" ref="F17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176" s="80" t="str" cm="1">
        <f t="array" ref="G17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176" s="80" t="str" cm="1">
        <f t="array" ref="H17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176" s="78" t="str" cm="1">
        <f t="array" ref="I17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177" spans="1:9" hidden="1" x14ac:dyDescent="0.3">
      <c r="A177" s="82" t="str" cm="1">
        <f t="array" ref="A17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177" s="79" t="str" cm="1">
        <f t="array" ref="B17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177" s="108" t="str" cm="1">
        <f t="array" ref="C17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177" s="79" t="str" cm="1">
        <f t="array" ref="D17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177" s="79" t="str" cm="1">
        <f t="array" ref="E17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177" s="80" t="str" cm="1">
        <f t="array" ref="F17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177" s="80" t="str" cm="1">
        <f t="array" ref="G17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177" s="80" t="str" cm="1">
        <f t="array" ref="H17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177" s="78" t="str" cm="1">
        <f t="array" ref="I17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178" spans="1:9" hidden="1" x14ac:dyDescent="0.3">
      <c r="A178" s="82" t="str" cm="1">
        <f t="array" ref="A17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178" s="79" t="str" cm="1">
        <f t="array" ref="B17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178" s="108" t="str" cm="1">
        <f t="array" ref="C17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178" s="79" t="str" cm="1">
        <f t="array" ref="D17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178" s="79" t="str" cm="1">
        <f t="array" ref="E17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178" s="80" t="str" cm="1">
        <f t="array" ref="F17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178" s="80" t="str" cm="1">
        <f t="array" ref="G17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178" s="80" t="str" cm="1">
        <f t="array" ref="H17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178" s="78" t="str" cm="1">
        <f t="array" ref="I17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179" spans="1:9" hidden="1" x14ac:dyDescent="0.3">
      <c r="A179" s="82" t="str" cm="1">
        <f t="array" ref="A17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179" s="79" t="str" cm="1">
        <f t="array" ref="B17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179" s="108" t="str" cm="1">
        <f t="array" ref="C17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179" s="79" t="str" cm="1">
        <f t="array" ref="D17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179" s="79" t="str" cm="1">
        <f t="array" ref="E17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179" s="80" t="str" cm="1">
        <f t="array" ref="F17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179" s="80" t="str" cm="1">
        <f t="array" ref="G17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179" s="80" t="str" cm="1">
        <f t="array" ref="H17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179" s="78" t="str" cm="1">
        <f t="array" ref="I17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180" spans="1:9" hidden="1" x14ac:dyDescent="0.3">
      <c r="A180" s="82" t="str" cm="1">
        <f t="array" ref="A18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180" s="79" t="str" cm="1">
        <f t="array" ref="B18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180" s="108" t="str" cm="1">
        <f t="array" ref="C18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180" s="79" t="str" cm="1">
        <f t="array" ref="D18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180" s="79" t="str" cm="1">
        <f t="array" ref="E18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180" s="80" t="str" cm="1">
        <f t="array" ref="F18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180" s="80" t="str" cm="1">
        <f t="array" ref="G18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180" s="80" t="str" cm="1">
        <f t="array" ref="H18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180" s="78" t="str" cm="1">
        <f t="array" ref="I18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181" spans="1:9" hidden="1" x14ac:dyDescent="0.3">
      <c r="A181" s="82" t="str" cm="1">
        <f t="array" ref="A18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181" s="79" t="str" cm="1">
        <f t="array" ref="B18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181" s="108" t="str" cm="1">
        <f t="array" ref="C18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181" s="79" t="str" cm="1">
        <f t="array" ref="D18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181" s="79" t="str" cm="1">
        <f t="array" ref="E18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181" s="80" t="str" cm="1">
        <f t="array" ref="F18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181" s="80" t="str" cm="1">
        <f t="array" ref="G18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181" s="80" t="str" cm="1">
        <f t="array" ref="H18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181" s="78" t="str" cm="1">
        <f t="array" ref="I18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182" spans="1:9" hidden="1" x14ac:dyDescent="0.3">
      <c r="A182" s="82" t="str" cm="1">
        <f t="array" ref="A18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182" s="79" t="str" cm="1">
        <f t="array" ref="B18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182" s="108" t="str" cm="1">
        <f t="array" ref="C18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182" s="79" t="str" cm="1">
        <f t="array" ref="D18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182" s="79" t="str" cm="1">
        <f t="array" ref="E18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182" s="80" t="str" cm="1">
        <f t="array" ref="F18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182" s="80" t="str" cm="1">
        <f t="array" ref="G18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182" s="80" t="str" cm="1">
        <f t="array" ref="H18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182" s="78" t="str" cm="1">
        <f t="array" ref="I18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183" spans="1:9" hidden="1" x14ac:dyDescent="0.3">
      <c r="A183" s="82" t="str" cm="1">
        <f t="array" ref="A18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183" s="79" t="str" cm="1">
        <f t="array" ref="B18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183" s="108" t="str" cm="1">
        <f t="array" ref="C18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183" s="79" t="str" cm="1">
        <f t="array" ref="D18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183" s="79" t="str" cm="1">
        <f t="array" ref="E18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183" s="80" t="str" cm="1">
        <f t="array" ref="F18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183" s="80" t="str" cm="1">
        <f t="array" ref="G18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183" s="80" t="str" cm="1">
        <f t="array" ref="H18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183" s="78" t="str" cm="1">
        <f t="array" ref="I18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184" spans="1:9" hidden="1" x14ac:dyDescent="0.3">
      <c r="A184" s="82" t="str" cm="1">
        <f t="array" ref="A18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184" s="79" t="str" cm="1">
        <f t="array" ref="B18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184" s="108" t="str" cm="1">
        <f t="array" ref="C18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184" s="79" t="str" cm="1">
        <f t="array" ref="D18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184" s="79" t="str" cm="1">
        <f t="array" ref="E18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184" s="80" t="str" cm="1">
        <f t="array" ref="F18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184" s="80" t="str" cm="1">
        <f t="array" ref="G18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184" s="80" t="str" cm="1">
        <f t="array" ref="H18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184" s="78" t="str" cm="1">
        <f t="array" ref="I18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185" spans="1:9" hidden="1" x14ac:dyDescent="0.3">
      <c r="A185" s="82" t="str" cm="1">
        <f t="array" ref="A18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185" s="79" t="str" cm="1">
        <f t="array" ref="B18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185" s="108" t="str" cm="1">
        <f t="array" ref="C18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185" s="79" t="str" cm="1">
        <f t="array" ref="D18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185" s="79" t="str" cm="1">
        <f t="array" ref="E18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185" s="80" t="str" cm="1">
        <f t="array" ref="F18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185" s="80" t="str" cm="1">
        <f t="array" ref="G18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185" s="80" t="str" cm="1">
        <f t="array" ref="H18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185" s="78" t="str" cm="1">
        <f t="array" ref="I18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186" spans="1:9" hidden="1" x14ac:dyDescent="0.3">
      <c r="A186" s="82" t="str" cm="1">
        <f t="array" ref="A18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186" s="79" t="str" cm="1">
        <f t="array" ref="B18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186" s="108" t="str" cm="1">
        <f t="array" ref="C18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186" s="79" t="str" cm="1">
        <f t="array" ref="D18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186" s="79" t="str" cm="1">
        <f t="array" ref="E18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186" s="80" t="str" cm="1">
        <f t="array" ref="F18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186" s="80" t="str" cm="1">
        <f t="array" ref="G18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186" s="80" t="str" cm="1">
        <f t="array" ref="H18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186" s="78" t="str" cm="1">
        <f t="array" ref="I18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187" spans="1:9" hidden="1" x14ac:dyDescent="0.3">
      <c r="A187" s="82" t="str" cm="1">
        <f t="array" ref="A18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187" s="79" t="str" cm="1">
        <f t="array" ref="B18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187" s="108" t="str" cm="1">
        <f t="array" ref="C18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187" s="79" t="str" cm="1">
        <f t="array" ref="D18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187" s="79" t="str" cm="1">
        <f t="array" ref="E18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187" s="80" t="str" cm="1">
        <f t="array" ref="F18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187" s="80" t="str" cm="1">
        <f t="array" ref="G18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187" s="80" t="str" cm="1">
        <f t="array" ref="H18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187" s="78" t="str" cm="1">
        <f t="array" ref="I18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188" spans="1:9" hidden="1" x14ac:dyDescent="0.3">
      <c r="A188" s="82" t="str" cm="1">
        <f t="array" ref="A18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188" s="79" t="str" cm="1">
        <f t="array" ref="B18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188" s="108" t="str" cm="1">
        <f t="array" ref="C18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188" s="79" t="str" cm="1">
        <f t="array" ref="D18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188" s="79" t="str" cm="1">
        <f t="array" ref="E18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188" s="80" t="str" cm="1">
        <f t="array" ref="F18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188" s="80" t="str" cm="1">
        <f t="array" ref="G18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188" s="80" t="str" cm="1">
        <f t="array" ref="H18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188" s="78" t="str" cm="1">
        <f t="array" ref="I18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189" spans="1:9" hidden="1" x14ac:dyDescent="0.3">
      <c r="A189" s="82" t="str" cm="1">
        <f t="array" ref="A18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189" s="79" t="str" cm="1">
        <f t="array" ref="B18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189" s="108" t="str" cm="1">
        <f t="array" ref="C18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189" s="79" t="str" cm="1">
        <f t="array" ref="D18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189" s="79" t="str" cm="1">
        <f t="array" ref="E18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189" s="80" t="str" cm="1">
        <f t="array" ref="F18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189" s="80" t="str" cm="1">
        <f t="array" ref="G18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189" s="80" t="str" cm="1">
        <f t="array" ref="H18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189" s="78" t="str" cm="1">
        <f t="array" ref="I18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190" spans="1:9" hidden="1" x14ac:dyDescent="0.3">
      <c r="A190" s="82" t="str" cm="1">
        <f t="array" ref="A19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190" s="79" t="str" cm="1">
        <f t="array" ref="B19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190" s="108" t="str" cm="1">
        <f t="array" ref="C19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190" s="79" t="str" cm="1">
        <f t="array" ref="D19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190" s="79" t="str" cm="1">
        <f t="array" ref="E19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190" s="80" t="str" cm="1">
        <f t="array" ref="F19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190" s="80" t="str" cm="1">
        <f t="array" ref="G19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190" s="80" t="str" cm="1">
        <f t="array" ref="H19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190" s="78" t="str" cm="1">
        <f t="array" ref="I19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191" spans="1:9" hidden="1" x14ac:dyDescent="0.3">
      <c r="A191" s="82" t="str" cm="1">
        <f t="array" ref="A19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191" s="79" t="str" cm="1">
        <f t="array" ref="B19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191" s="108" t="str" cm="1">
        <f t="array" ref="C19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191" s="79" t="str" cm="1">
        <f t="array" ref="D19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191" s="79" t="str" cm="1">
        <f t="array" ref="E19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191" s="80" t="str" cm="1">
        <f t="array" ref="F19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191" s="80" t="str" cm="1">
        <f t="array" ref="G19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191" s="80" t="str" cm="1">
        <f t="array" ref="H19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191" s="78" t="str" cm="1">
        <f t="array" ref="I19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192" spans="1:9" hidden="1" x14ac:dyDescent="0.3">
      <c r="A192" s="82" t="str" cm="1">
        <f t="array" ref="A19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192" s="79" t="str" cm="1">
        <f t="array" ref="B19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192" s="108" t="str" cm="1">
        <f t="array" ref="C19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192" s="79" t="str" cm="1">
        <f t="array" ref="D19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192" s="79" t="str" cm="1">
        <f t="array" ref="E19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192" s="80" t="str" cm="1">
        <f t="array" ref="F19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192" s="80" t="str" cm="1">
        <f t="array" ref="G19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192" s="80" t="str" cm="1">
        <f t="array" ref="H19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192" s="78" t="str" cm="1">
        <f t="array" ref="I19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193" spans="1:9" hidden="1" x14ac:dyDescent="0.3">
      <c r="A193" s="82" t="str" cm="1">
        <f t="array" ref="A19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193" s="79" t="str" cm="1">
        <f t="array" ref="B19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193" s="108" t="str" cm="1">
        <f t="array" ref="C19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193" s="79" t="str" cm="1">
        <f t="array" ref="D19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193" s="79" t="str" cm="1">
        <f t="array" ref="E19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193" s="80" t="str" cm="1">
        <f t="array" ref="F19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193" s="80" t="str" cm="1">
        <f t="array" ref="G19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193" s="80" t="str" cm="1">
        <f t="array" ref="H19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193" s="78" t="str" cm="1">
        <f t="array" ref="I19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194" spans="1:9" hidden="1" x14ac:dyDescent="0.3">
      <c r="A194" s="82" t="str" cm="1">
        <f t="array" ref="A19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194" s="79" t="str" cm="1">
        <f t="array" ref="B19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194" s="108" t="str" cm="1">
        <f t="array" ref="C19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194" s="79" t="str" cm="1">
        <f t="array" ref="D19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194" s="79" t="str" cm="1">
        <f t="array" ref="E19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194" s="80" t="str" cm="1">
        <f t="array" ref="F19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194" s="80" t="str" cm="1">
        <f t="array" ref="G19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194" s="80" t="str" cm="1">
        <f t="array" ref="H19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194" s="78" t="str" cm="1">
        <f t="array" ref="I19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195" spans="1:9" hidden="1" x14ac:dyDescent="0.3">
      <c r="A195" s="82" t="str" cm="1">
        <f t="array" ref="A19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195" s="79" t="str" cm="1">
        <f t="array" ref="B19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195" s="108" t="str" cm="1">
        <f t="array" ref="C19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195" s="79" t="str" cm="1">
        <f t="array" ref="D19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195" s="79" t="str" cm="1">
        <f t="array" ref="E19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195" s="80" t="str" cm="1">
        <f t="array" ref="F19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195" s="80" t="str" cm="1">
        <f t="array" ref="G19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195" s="80" t="str" cm="1">
        <f t="array" ref="H19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195" s="78" t="str" cm="1">
        <f t="array" ref="I19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196" spans="1:9" hidden="1" x14ac:dyDescent="0.3">
      <c r="A196" s="82" t="str" cm="1">
        <f t="array" ref="A19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196" s="79" t="str" cm="1">
        <f t="array" ref="B19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196" s="108" t="str" cm="1">
        <f t="array" ref="C19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196" s="79" t="str" cm="1">
        <f t="array" ref="D19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196" s="79" t="str" cm="1">
        <f t="array" ref="E19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196" s="80" t="str" cm="1">
        <f t="array" ref="F19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196" s="80" t="str" cm="1">
        <f t="array" ref="G19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196" s="80" t="str" cm="1">
        <f t="array" ref="H19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196" s="78" t="str" cm="1">
        <f t="array" ref="I19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197" spans="1:9" hidden="1" x14ac:dyDescent="0.3">
      <c r="A197" s="82" t="str" cm="1">
        <f t="array" ref="A19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197" s="79" t="str" cm="1">
        <f t="array" ref="B19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197" s="108" t="str" cm="1">
        <f t="array" ref="C19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197" s="79" t="str" cm="1">
        <f t="array" ref="D19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197" s="79" t="str" cm="1">
        <f t="array" ref="E19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197" s="80" t="str" cm="1">
        <f t="array" ref="F19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197" s="80" t="str" cm="1">
        <f t="array" ref="G19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197" s="80" t="str" cm="1">
        <f t="array" ref="H19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197" s="78" t="str" cm="1">
        <f t="array" ref="I19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198" spans="1:9" hidden="1" x14ac:dyDescent="0.3">
      <c r="A198" s="82" t="str" cm="1">
        <f t="array" ref="A19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198" s="79" t="str" cm="1">
        <f t="array" ref="B19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198" s="108" t="str" cm="1">
        <f t="array" ref="C19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198" s="79" t="str" cm="1">
        <f t="array" ref="D19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198" s="79" t="str" cm="1">
        <f t="array" ref="E19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198" s="80" t="str" cm="1">
        <f t="array" ref="F19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198" s="80" t="str" cm="1">
        <f t="array" ref="G19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198" s="80" t="str" cm="1">
        <f t="array" ref="H19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198" s="78" t="str" cm="1">
        <f t="array" ref="I19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199" spans="1:9" hidden="1" x14ac:dyDescent="0.3">
      <c r="A199" s="82" t="str" cm="1">
        <f t="array" ref="A19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199" s="79" t="str" cm="1">
        <f t="array" ref="B19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199" s="108" t="str" cm="1">
        <f t="array" ref="C19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199" s="79" t="str" cm="1">
        <f t="array" ref="D19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199" s="79" t="str" cm="1">
        <f t="array" ref="E19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199" s="80" t="str" cm="1">
        <f t="array" ref="F19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199" s="80" t="str" cm="1">
        <f t="array" ref="G19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199" s="80" t="str" cm="1">
        <f t="array" ref="H19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199" s="78" t="str" cm="1">
        <f t="array" ref="I19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200" spans="1:9" hidden="1" x14ac:dyDescent="0.3">
      <c r="A200" s="82" t="str" cm="1">
        <f t="array" ref="A20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200" s="79" t="str" cm="1">
        <f t="array" ref="B20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200" s="108" t="str" cm="1">
        <f t="array" ref="C20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200" s="79" t="str" cm="1">
        <f t="array" ref="D20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200" s="79" t="str" cm="1">
        <f t="array" ref="E20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200" s="80" t="str" cm="1">
        <f t="array" ref="F20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200" s="80" t="str" cm="1">
        <f t="array" ref="G20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200" s="80" t="str" cm="1">
        <f t="array" ref="H20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200" s="78" t="str" cm="1">
        <f t="array" ref="I20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201" spans="1:9" hidden="1" x14ac:dyDescent="0.3">
      <c r="A201" s="82" t="str" cm="1">
        <f t="array" ref="A20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201" s="79" t="str" cm="1">
        <f t="array" ref="B20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201" s="108" t="str" cm="1">
        <f t="array" ref="C20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201" s="79" t="str" cm="1">
        <f t="array" ref="D20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201" s="79" t="str" cm="1">
        <f t="array" ref="E20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201" s="80" t="str" cm="1">
        <f t="array" ref="F20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201" s="80" t="str" cm="1">
        <f t="array" ref="G20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201" s="80" t="str" cm="1">
        <f t="array" ref="H20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201" s="78" t="str" cm="1">
        <f t="array" ref="I20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202" spans="1:9" hidden="1" x14ac:dyDescent="0.3">
      <c r="A202" s="82" t="str" cm="1">
        <f t="array" ref="A20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202" s="79" t="str" cm="1">
        <f t="array" ref="B20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202" s="108" t="str" cm="1">
        <f t="array" ref="C20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202" s="79" t="str" cm="1">
        <f t="array" ref="D20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202" s="79" t="str" cm="1">
        <f t="array" ref="E20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202" s="80" t="str" cm="1">
        <f t="array" ref="F20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202" s="80" t="str" cm="1">
        <f t="array" ref="G20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202" s="80" t="str" cm="1">
        <f t="array" ref="H20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202" s="78" t="str" cm="1">
        <f t="array" ref="I20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203" spans="1:9" hidden="1" x14ac:dyDescent="0.3">
      <c r="A203" s="82" t="str" cm="1">
        <f t="array" ref="A20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203" s="79" t="str" cm="1">
        <f t="array" ref="B20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203" s="108" t="str" cm="1">
        <f t="array" ref="C20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203" s="79" t="str" cm="1">
        <f t="array" ref="D20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203" s="79" t="str" cm="1">
        <f t="array" ref="E20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203" s="80" t="str" cm="1">
        <f t="array" ref="F20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203" s="80" t="str" cm="1">
        <f t="array" ref="G20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203" s="80" t="str" cm="1">
        <f t="array" ref="H20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203" s="78" t="str" cm="1">
        <f t="array" ref="I20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204" spans="1:9" hidden="1" x14ac:dyDescent="0.3">
      <c r="A204" s="82" t="str" cm="1">
        <f t="array" ref="A20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204" s="79" t="str" cm="1">
        <f t="array" ref="B20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204" s="108" t="str" cm="1">
        <f t="array" ref="C20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204" s="79" t="str" cm="1">
        <f t="array" ref="D20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204" s="79" t="str" cm="1">
        <f t="array" ref="E20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204" s="80" t="str" cm="1">
        <f t="array" ref="F20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204" s="80" t="str" cm="1">
        <f t="array" ref="G20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204" s="80" t="str" cm="1">
        <f t="array" ref="H20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204" s="78" t="str" cm="1">
        <f t="array" ref="I20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205" spans="1:9" hidden="1" x14ac:dyDescent="0.3">
      <c r="A205" s="82" t="str" cm="1">
        <f t="array" ref="A20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205" s="79" t="str" cm="1">
        <f t="array" ref="B20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205" s="108" t="str" cm="1">
        <f t="array" ref="C20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205" s="79" t="str" cm="1">
        <f t="array" ref="D20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205" s="79" t="str" cm="1">
        <f t="array" ref="E20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205" s="80" t="str" cm="1">
        <f t="array" ref="F20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205" s="80" t="str" cm="1">
        <f t="array" ref="G20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205" s="80" t="str" cm="1">
        <f t="array" ref="H20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205" s="78" t="str" cm="1">
        <f t="array" ref="I20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206" spans="1:9" hidden="1" x14ac:dyDescent="0.3">
      <c r="A206" s="82" t="str" cm="1">
        <f t="array" ref="A20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206" s="79" t="str" cm="1">
        <f t="array" ref="B20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206" s="108" t="str" cm="1">
        <f t="array" ref="C20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206" s="79" t="str" cm="1">
        <f t="array" ref="D20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206" s="79" t="str" cm="1">
        <f t="array" ref="E20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206" s="80" t="str" cm="1">
        <f t="array" ref="F20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206" s="80" t="str" cm="1">
        <f t="array" ref="G20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206" s="80" t="str" cm="1">
        <f t="array" ref="H20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206" s="78" t="str" cm="1">
        <f t="array" ref="I20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207" spans="1:9" hidden="1" x14ac:dyDescent="0.3">
      <c r="A207" s="82" t="str" cm="1">
        <f t="array" ref="A20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207" s="79" t="str" cm="1">
        <f t="array" ref="B20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207" s="108" t="str" cm="1">
        <f t="array" ref="C20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207" s="79" t="str" cm="1">
        <f t="array" ref="D20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207" s="79" t="str" cm="1">
        <f t="array" ref="E20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207" s="80" t="str" cm="1">
        <f t="array" ref="F20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207" s="80" t="str" cm="1">
        <f t="array" ref="G20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207" s="80" t="str" cm="1">
        <f t="array" ref="H20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207" s="78" t="str" cm="1">
        <f t="array" ref="I20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208" spans="1:9" hidden="1" x14ac:dyDescent="0.3">
      <c r="A208" s="82" t="str" cm="1">
        <f t="array" ref="A20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208" s="79" t="str" cm="1">
        <f t="array" ref="B20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208" s="108" t="str" cm="1">
        <f t="array" ref="C20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208" s="79" t="str" cm="1">
        <f t="array" ref="D20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208" s="79" t="str" cm="1">
        <f t="array" ref="E20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208" s="80" t="str" cm="1">
        <f t="array" ref="F20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208" s="80" t="str" cm="1">
        <f t="array" ref="G20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208" s="80" t="str" cm="1">
        <f t="array" ref="H20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208" s="78" t="str" cm="1">
        <f t="array" ref="I20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209" spans="1:9" hidden="1" x14ac:dyDescent="0.3">
      <c r="A209" s="82" t="str" cm="1">
        <f t="array" ref="A20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209" s="79" t="str" cm="1">
        <f t="array" ref="B20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209" s="108" t="str" cm="1">
        <f t="array" ref="C20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209" s="79" t="str" cm="1">
        <f t="array" ref="D20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209" s="79" t="str" cm="1">
        <f t="array" ref="E20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209" s="80" t="str" cm="1">
        <f t="array" ref="F20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209" s="80" t="str" cm="1">
        <f t="array" ref="G20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209" s="80" t="str" cm="1">
        <f t="array" ref="H20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209" s="78" t="str" cm="1">
        <f t="array" ref="I20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210" spans="1:9" hidden="1" x14ac:dyDescent="0.3">
      <c r="A210" s="82" t="str" cm="1">
        <f t="array" ref="A21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210" s="79" t="str" cm="1">
        <f t="array" ref="B21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210" s="108" t="str" cm="1">
        <f t="array" ref="C21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210" s="79" t="str" cm="1">
        <f t="array" ref="D21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210" s="79" t="str" cm="1">
        <f t="array" ref="E21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210" s="80" t="str" cm="1">
        <f t="array" ref="F21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210" s="80" t="str" cm="1">
        <f t="array" ref="G21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210" s="80" t="str" cm="1">
        <f t="array" ref="H21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210" s="78" t="str" cm="1">
        <f t="array" ref="I21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211" spans="1:9" hidden="1" x14ac:dyDescent="0.3">
      <c r="A211" s="82" t="str" cm="1">
        <f t="array" ref="A21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211" s="79" t="str" cm="1">
        <f t="array" ref="B21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211" s="108" t="str" cm="1">
        <f t="array" ref="C21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211" s="79" t="str" cm="1">
        <f t="array" ref="D21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211" s="79" t="str" cm="1">
        <f t="array" ref="E21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211" s="80" t="str" cm="1">
        <f t="array" ref="F21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211" s="80" t="str" cm="1">
        <f t="array" ref="G21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211" s="80" t="str" cm="1">
        <f t="array" ref="H21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211" s="78" t="str" cm="1">
        <f t="array" ref="I21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212" spans="1:9" hidden="1" x14ac:dyDescent="0.3">
      <c r="A212" s="82" t="str" cm="1">
        <f t="array" ref="A21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212" s="79" t="str" cm="1">
        <f t="array" ref="B21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212" s="108" t="str" cm="1">
        <f t="array" ref="C21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212" s="79" t="str" cm="1">
        <f t="array" ref="D21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212" s="79" t="str" cm="1">
        <f t="array" ref="E21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212" s="80" t="str" cm="1">
        <f t="array" ref="F21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212" s="80" t="str" cm="1">
        <f t="array" ref="G21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212" s="80" t="str" cm="1">
        <f t="array" ref="H21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212" s="78" t="str" cm="1">
        <f t="array" ref="I21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213" spans="1:9" hidden="1" x14ac:dyDescent="0.3">
      <c r="A213" s="82" t="str" cm="1">
        <f t="array" ref="A21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213" s="79" t="str" cm="1">
        <f t="array" ref="B21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213" s="108" t="str" cm="1">
        <f t="array" ref="C21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213" s="79" t="str" cm="1">
        <f t="array" ref="D21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213" s="79" t="str" cm="1">
        <f t="array" ref="E21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213" s="80" t="str" cm="1">
        <f t="array" ref="F21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213" s="80" t="str" cm="1">
        <f t="array" ref="G21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213" s="80" t="str" cm="1">
        <f t="array" ref="H21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213" s="78" t="str" cm="1">
        <f t="array" ref="I21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214" spans="1:9" hidden="1" x14ac:dyDescent="0.3">
      <c r="A214" s="82" t="str" cm="1">
        <f t="array" ref="A21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214" s="79" t="str" cm="1">
        <f t="array" ref="B21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214" s="108" t="str" cm="1">
        <f t="array" ref="C21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214" s="79" t="str" cm="1">
        <f t="array" ref="D21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214" s="79" t="str" cm="1">
        <f t="array" ref="E21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214" s="80" t="str" cm="1">
        <f t="array" ref="F21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214" s="80" t="str" cm="1">
        <f t="array" ref="G21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214" s="80" t="str" cm="1">
        <f t="array" ref="H21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214" s="78" t="str" cm="1">
        <f t="array" ref="I21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215" spans="1:9" hidden="1" x14ac:dyDescent="0.3">
      <c r="A215" s="82" t="str" cm="1">
        <f t="array" ref="A21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215" s="79" t="str" cm="1">
        <f t="array" ref="B21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215" s="108" t="str" cm="1">
        <f t="array" ref="C21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215" s="79" t="str" cm="1">
        <f t="array" ref="D21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215" s="79" t="str" cm="1">
        <f t="array" ref="E21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215" s="80" t="str" cm="1">
        <f t="array" ref="F21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215" s="80" t="str" cm="1">
        <f t="array" ref="G21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215" s="80" t="str" cm="1">
        <f t="array" ref="H21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215" s="78" t="str" cm="1">
        <f t="array" ref="I21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216" spans="1:9" hidden="1" x14ac:dyDescent="0.3">
      <c r="A216" s="82" t="str" cm="1">
        <f t="array" ref="A21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216" s="79" t="str" cm="1">
        <f t="array" ref="B21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216" s="108" t="str" cm="1">
        <f t="array" ref="C21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216" s="79" t="str" cm="1">
        <f t="array" ref="D21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216" s="79" t="str" cm="1">
        <f t="array" ref="E21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216" s="80" t="str" cm="1">
        <f t="array" ref="F21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216" s="80" t="str" cm="1">
        <f t="array" ref="G21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216" s="80" t="str" cm="1">
        <f t="array" ref="H21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216" s="78" t="str" cm="1">
        <f t="array" ref="I21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217" spans="1:9" hidden="1" x14ac:dyDescent="0.3">
      <c r="A217" s="82" t="str" cm="1">
        <f t="array" ref="A21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217" s="79" t="str" cm="1">
        <f t="array" ref="B21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217" s="108" t="str" cm="1">
        <f t="array" ref="C21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217" s="79" t="str" cm="1">
        <f t="array" ref="D21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217" s="79" t="str" cm="1">
        <f t="array" ref="E21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217" s="80" t="str" cm="1">
        <f t="array" ref="F21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217" s="80" t="str" cm="1">
        <f t="array" ref="G21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217" s="80" t="str" cm="1">
        <f t="array" ref="H21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217" s="78" t="str" cm="1">
        <f t="array" ref="I21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218" spans="1:9" hidden="1" x14ac:dyDescent="0.3">
      <c r="A218" s="82" t="str" cm="1">
        <f t="array" ref="A21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218" s="79" t="str" cm="1">
        <f t="array" ref="B21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218" s="108" t="str" cm="1">
        <f t="array" ref="C21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218" s="79" t="str" cm="1">
        <f t="array" ref="D21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218" s="79" t="str" cm="1">
        <f t="array" ref="E21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218" s="80" t="str" cm="1">
        <f t="array" ref="F21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218" s="80" t="str" cm="1">
        <f t="array" ref="G21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218" s="80" t="str" cm="1">
        <f t="array" ref="H21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218" s="78" t="str" cm="1">
        <f t="array" ref="I21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219" spans="1:9" hidden="1" x14ac:dyDescent="0.3">
      <c r="A219" s="82" t="str" cm="1">
        <f t="array" ref="A21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219" s="79" t="str" cm="1">
        <f t="array" ref="B21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219" s="108" t="str" cm="1">
        <f t="array" ref="C21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219" s="79" t="str" cm="1">
        <f t="array" ref="D21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219" s="79" t="str" cm="1">
        <f t="array" ref="E21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219" s="80" t="str" cm="1">
        <f t="array" ref="F21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219" s="80" t="str" cm="1">
        <f t="array" ref="G21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219" s="80" t="str" cm="1">
        <f t="array" ref="H21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219" s="78" t="str" cm="1">
        <f t="array" ref="I21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220" spans="1:9" hidden="1" x14ac:dyDescent="0.3">
      <c r="A220" s="82" t="str" cm="1">
        <f t="array" ref="A22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220" s="79" t="str" cm="1">
        <f t="array" ref="B22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220" s="108" t="str" cm="1">
        <f t="array" ref="C22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220" s="79" t="str" cm="1">
        <f t="array" ref="D22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220" s="79" t="str" cm="1">
        <f t="array" ref="E22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220" s="80" t="str" cm="1">
        <f t="array" ref="F22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220" s="80" t="str" cm="1">
        <f t="array" ref="G22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220" s="80" t="str" cm="1">
        <f t="array" ref="H22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220" s="78" t="str" cm="1">
        <f t="array" ref="I22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221" spans="1:9" hidden="1" x14ac:dyDescent="0.3">
      <c r="A221" s="82" t="str" cm="1">
        <f t="array" ref="A22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221" s="79" t="str" cm="1">
        <f t="array" ref="B22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221" s="108" t="str" cm="1">
        <f t="array" ref="C22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221" s="79" t="str" cm="1">
        <f t="array" ref="D22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221" s="79" t="str" cm="1">
        <f t="array" ref="E22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221" s="80" t="str" cm="1">
        <f t="array" ref="F22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221" s="80" t="str" cm="1">
        <f t="array" ref="G22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221" s="80" t="str" cm="1">
        <f t="array" ref="H22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221" s="78" t="str" cm="1">
        <f t="array" ref="I22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222" spans="1:9" hidden="1" x14ac:dyDescent="0.3">
      <c r="A222" s="82" t="str" cm="1">
        <f t="array" ref="A22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222" s="79" t="str" cm="1">
        <f t="array" ref="B22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222" s="108" t="str" cm="1">
        <f t="array" ref="C22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222" s="79" t="str" cm="1">
        <f t="array" ref="D22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222" s="79" t="str" cm="1">
        <f t="array" ref="E22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222" s="80" t="str" cm="1">
        <f t="array" ref="F22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222" s="80" t="str" cm="1">
        <f t="array" ref="G22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222" s="80" t="str" cm="1">
        <f t="array" ref="H22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222" s="78" t="str" cm="1">
        <f t="array" ref="I22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223" spans="1:9" hidden="1" x14ac:dyDescent="0.3">
      <c r="A223" s="82" t="str" cm="1">
        <f t="array" ref="A22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223" s="79" t="str" cm="1">
        <f t="array" ref="B22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223" s="108" t="str" cm="1">
        <f t="array" ref="C22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223" s="79" t="str" cm="1">
        <f t="array" ref="D22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223" s="79" t="str" cm="1">
        <f t="array" ref="E22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223" s="80" t="str" cm="1">
        <f t="array" ref="F22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223" s="80" t="str" cm="1">
        <f t="array" ref="G22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223" s="80" t="str" cm="1">
        <f t="array" ref="H22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223" s="78" t="str" cm="1">
        <f t="array" ref="I22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224" spans="1:9" hidden="1" x14ac:dyDescent="0.3">
      <c r="A224" s="82" t="str" cm="1">
        <f t="array" ref="A22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224" s="79" t="str" cm="1">
        <f t="array" ref="B22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224" s="108" t="str" cm="1">
        <f t="array" ref="C22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224" s="79" t="str" cm="1">
        <f t="array" ref="D22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224" s="79" t="str" cm="1">
        <f t="array" ref="E22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224" s="80" t="str" cm="1">
        <f t="array" ref="F22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224" s="80" t="str" cm="1">
        <f t="array" ref="G22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224" s="80" t="str" cm="1">
        <f t="array" ref="H22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224" s="78" t="str" cm="1">
        <f t="array" ref="I22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225" spans="1:9" hidden="1" x14ac:dyDescent="0.3">
      <c r="A225" s="82" t="str" cm="1">
        <f t="array" ref="A22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225" s="79" t="str" cm="1">
        <f t="array" ref="B22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225" s="108" t="str" cm="1">
        <f t="array" ref="C22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225" s="79" t="str" cm="1">
        <f t="array" ref="D22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225" s="79" t="str" cm="1">
        <f t="array" ref="E22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225" s="80" t="str" cm="1">
        <f t="array" ref="F22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225" s="80" t="str" cm="1">
        <f t="array" ref="G22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225" s="80" t="str" cm="1">
        <f t="array" ref="H22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225" s="78" t="str" cm="1">
        <f t="array" ref="I22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226" spans="1:9" hidden="1" x14ac:dyDescent="0.3">
      <c r="A226" s="82" t="str" cm="1">
        <f t="array" ref="A22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226" s="79" t="str" cm="1">
        <f t="array" ref="B22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226" s="108" t="str" cm="1">
        <f t="array" ref="C22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226" s="79" t="str" cm="1">
        <f t="array" ref="D22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226" s="79" t="str" cm="1">
        <f t="array" ref="E22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226" s="80" t="str" cm="1">
        <f t="array" ref="F22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226" s="80" t="str" cm="1">
        <f t="array" ref="G22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226" s="80" t="str" cm="1">
        <f t="array" ref="H22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226" s="78" t="str" cm="1">
        <f t="array" ref="I22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227" spans="1:9" hidden="1" x14ac:dyDescent="0.3">
      <c r="A227" s="82" t="str" cm="1">
        <f t="array" ref="A22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227" s="79" t="str" cm="1">
        <f t="array" ref="B22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227" s="108" t="str" cm="1">
        <f t="array" ref="C22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227" s="79" t="str" cm="1">
        <f t="array" ref="D22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227" s="79" t="str" cm="1">
        <f t="array" ref="E22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227" s="80" t="str" cm="1">
        <f t="array" ref="F22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227" s="80" t="str" cm="1">
        <f t="array" ref="G22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227" s="80" t="str" cm="1">
        <f t="array" ref="H22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227" s="78" t="str" cm="1">
        <f t="array" ref="I22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228" spans="1:9" hidden="1" x14ac:dyDescent="0.3">
      <c r="A228" s="82" t="str" cm="1">
        <f t="array" ref="A22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228" s="79" t="str" cm="1">
        <f t="array" ref="B22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228" s="108" t="str" cm="1">
        <f t="array" ref="C22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228" s="79" t="str" cm="1">
        <f t="array" ref="D22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228" s="79" t="str" cm="1">
        <f t="array" ref="E22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228" s="80" t="str" cm="1">
        <f t="array" ref="F22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228" s="80" t="str" cm="1">
        <f t="array" ref="G22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228" s="80" t="str" cm="1">
        <f t="array" ref="H22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228" s="78" t="str" cm="1">
        <f t="array" ref="I22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229" spans="1:9" hidden="1" x14ac:dyDescent="0.3">
      <c r="A229" s="82" t="str" cm="1">
        <f t="array" ref="A22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229" s="79" t="str" cm="1">
        <f t="array" ref="B22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229" s="108" t="str" cm="1">
        <f t="array" ref="C22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229" s="79" t="str" cm="1">
        <f t="array" ref="D22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229" s="79" t="str" cm="1">
        <f t="array" ref="E22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229" s="80" t="str" cm="1">
        <f t="array" ref="F22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229" s="80" t="str" cm="1">
        <f t="array" ref="G22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229" s="80" t="str" cm="1">
        <f t="array" ref="H22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229" s="78" t="str" cm="1">
        <f t="array" ref="I22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230" spans="1:9" hidden="1" x14ac:dyDescent="0.3">
      <c r="A230" s="82" t="str" cm="1">
        <f t="array" ref="A23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230" s="79" t="str" cm="1">
        <f t="array" ref="B23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230" s="108" t="str" cm="1">
        <f t="array" ref="C23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230" s="79" t="str" cm="1">
        <f t="array" ref="D23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230" s="79" t="str" cm="1">
        <f t="array" ref="E23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230" s="80" t="str" cm="1">
        <f t="array" ref="F23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230" s="80" t="str" cm="1">
        <f t="array" ref="G23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230" s="80" t="str" cm="1">
        <f t="array" ref="H23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230" s="78" t="str" cm="1">
        <f t="array" ref="I23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231" spans="1:9" hidden="1" x14ac:dyDescent="0.3">
      <c r="A231" s="82" t="str" cm="1">
        <f t="array" ref="A23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231" s="79" t="str" cm="1">
        <f t="array" ref="B23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231" s="108" t="str" cm="1">
        <f t="array" ref="C23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231" s="79" t="str" cm="1">
        <f t="array" ref="D23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231" s="79" t="str" cm="1">
        <f t="array" ref="E23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231" s="80" t="str" cm="1">
        <f t="array" ref="F23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231" s="80" t="str" cm="1">
        <f t="array" ref="G23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231" s="80" t="str" cm="1">
        <f t="array" ref="H23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231" s="78" t="str" cm="1">
        <f t="array" ref="I23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232" spans="1:9" hidden="1" x14ac:dyDescent="0.3">
      <c r="A232" s="82" t="str" cm="1">
        <f t="array" ref="A23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232" s="79" t="str" cm="1">
        <f t="array" ref="B23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232" s="108" t="str" cm="1">
        <f t="array" ref="C23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232" s="79" t="str" cm="1">
        <f t="array" ref="D23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232" s="79" t="str" cm="1">
        <f t="array" ref="E23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232" s="80" t="str" cm="1">
        <f t="array" ref="F23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232" s="80" t="str" cm="1">
        <f t="array" ref="G23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232" s="80" t="str" cm="1">
        <f t="array" ref="H23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232" s="78" t="str" cm="1">
        <f t="array" ref="I23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233" spans="1:9" hidden="1" x14ac:dyDescent="0.3">
      <c r="A233" s="82" t="str" cm="1">
        <f t="array" ref="A23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233" s="79" t="str" cm="1">
        <f t="array" ref="B23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233" s="108" t="str" cm="1">
        <f t="array" ref="C23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233" s="79" t="str" cm="1">
        <f t="array" ref="D23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233" s="79" t="str" cm="1">
        <f t="array" ref="E23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233" s="80" t="str" cm="1">
        <f t="array" ref="F23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233" s="80" t="str" cm="1">
        <f t="array" ref="G23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233" s="80" t="str" cm="1">
        <f t="array" ref="H23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233" s="78" t="str" cm="1">
        <f t="array" ref="I23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234" spans="1:9" hidden="1" x14ac:dyDescent="0.3">
      <c r="A234" s="82" t="str" cm="1">
        <f t="array" ref="A23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234" s="79" t="str" cm="1">
        <f t="array" ref="B23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234" s="108" t="str" cm="1">
        <f t="array" ref="C23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234" s="79" t="str" cm="1">
        <f t="array" ref="D23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234" s="79" t="str" cm="1">
        <f t="array" ref="E23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234" s="80" t="str" cm="1">
        <f t="array" ref="F23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234" s="80" t="str" cm="1">
        <f t="array" ref="G23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234" s="80" t="str" cm="1">
        <f t="array" ref="H23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234" s="78" t="str" cm="1">
        <f t="array" ref="I23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235" spans="1:9" hidden="1" x14ac:dyDescent="0.3">
      <c r="A235" s="82" t="str" cm="1">
        <f t="array" ref="A23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235" s="79" t="str" cm="1">
        <f t="array" ref="B23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235" s="108" t="str" cm="1">
        <f t="array" ref="C23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235" s="79" t="str" cm="1">
        <f t="array" ref="D23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235" s="79" t="str" cm="1">
        <f t="array" ref="E23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235" s="80" t="str" cm="1">
        <f t="array" ref="F23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235" s="80" t="str" cm="1">
        <f t="array" ref="G23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235" s="80" t="str" cm="1">
        <f t="array" ref="H23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235" s="78" t="str" cm="1">
        <f t="array" ref="I23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236" spans="1:9" hidden="1" x14ac:dyDescent="0.3">
      <c r="A236" s="82" t="str" cm="1">
        <f t="array" ref="A23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236" s="79" t="str" cm="1">
        <f t="array" ref="B23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236" s="108" t="str" cm="1">
        <f t="array" ref="C23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236" s="79" t="str" cm="1">
        <f t="array" ref="D23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236" s="79" t="str" cm="1">
        <f t="array" ref="E23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236" s="80" t="str" cm="1">
        <f t="array" ref="F23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236" s="80" t="str" cm="1">
        <f t="array" ref="G23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236" s="80" t="str" cm="1">
        <f t="array" ref="H23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236" s="78" t="str" cm="1">
        <f t="array" ref="I23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237" spans="1:9" hidden="1" x14ac:dyDescent="0.3">
      <c r="A237" s="82" t="str" cm="1">
        <f t="array" ref="A23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237" s="79" t="str" cm="1">
        <f t="array" ref="B23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237" s="108" t="str" cm="1">
        <f t="array" ref="C23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237" s="79" t="str" cm="1">
        <f t="array" ref="D23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237" s="79" t="str" cm="1">
        <f t="array" ref="E23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237" s="80" t="str" cm="1">
        <f t="array" ref="F23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237" s="80" t="str" cm="1">
        <f t="array" ref="G23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237" s="80" t="str" cm="1">
        <f t="array" ref="H23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237" s="78" t="str" cm="1">
        <f t="array" ref="I23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238" spans="1:9" hidden="1" x14ac:dyDescent="0.3">
      <c r="A238" s="82" t="str" cm="1">
        <f t="array" ref="A23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238" s="79" t="str" cm="1">
        <f t="array" ref="B23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238" s="108" t="str" cm="1">
        <f t="array" ref="C23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238" s="79" t="str" cm="1">
        <f t="array" ref="D23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238" s="79" t="str" cm="1">
        <f t="array" ref="E23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238" s="80" t="str" cm="1">
        <f t="array" ref="F23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238" s="80" t="str" cm="1">
        <f t="array" ref="G23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238" s="80" t="str" cm="1">
        <f t="array" ref="H23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238" s="78" t="str" cm="1">
        <f t="array" ref="I23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239" spans="1:9" hidden="1" x14ac:dyDescent="0.3">
      <c r="A239" s="82" t="str" cm="1">
        <f t="array" ref="A23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239" s="79" t="str" cm="1">
        <f t="array" ref="B23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239" s="108" t="str" cm="1">
        <f t="array" ref="C23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239" s="79" t="str" cm="1">
        <f t="array" ref="D23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239" s="79" t="str" cm="1">
        <f t="array" ref="E23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239" s="80" t="str" cm="1">
        <f t="array" ref="F23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239" s="80" t="str" cm="1">
        <f t="array" ref="G23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239" s="80" t="str" cm="1">
        <f t="array" ref="H23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239" s="78" t="str" cm="1">
        <f t="array" ref="I23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240" spans="1:9" hidden="1" x14ac:dyDescent="0.3">
      <c r="A240" s="82" t="str" cm="1">
        <f t="array" ref="A24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240" s="79" t="str" cm="1">
        <f t="array" ref="B24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240" s="108" t="str" cm="1">
        <f t="array" ref="C24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240" s="79" t="str" cm="1">
        <f t="array" ref="D24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240" s="79" t="str" cm="1">
        <f t="array" ref="E24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240" s="80" t="str" cm="1">
        <f t="array" ref="F24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240" s="80" t="str" cm="1">
        <f t="array" ref="G24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240" s="80" t="str" cm="1">
        <f t="array" ref="H24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240" s="78" t="str" cm="1">
        <f t="array" ref="I24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241" spans="1:9" hidden="1" x14ac:dyDescent="0.3">
      <c r="A241" s="82" t="str" cm="1">
        <f t="array" ref="A24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241" s="79" t="str" cm="1">
        <f t="array" ref="B24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241" s="108" t="str" cm="1">
        <f t="array" ref="C24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241" s="79" t="str" cm="1">
        <f t="array" ref="D24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241" s="79" t="str" cm="1">
        <f t="array" ref="E24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241" s="80" t="str" cm="1">
        <f t="array" ref="F24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241" s="80" t="str" cm="1">
        <f t="array" ref="G24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241" s="80" t="str" cm="1">
        <f t="array" ref="H24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241" s="78" t="str" cm="1">
        <f t="array" ref="I24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242" spans="1:9" hidden="1" x14ac:dyDescent="0.3">
      <c r="A242" s="82" t="str" cm="1">
        <f t="array" ref="A24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242" s="79" t="str" cm="1">
        <f t="array" ref="B24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242" s="108" t="str" cm="1">
        <f t="array" ref="C24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242" s="79" t="str" cm="1">
        <f t="array" ref="D24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242" s="79" t="str" cm="1">
        <f t="array" ref="E24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242" s="80" t="str" cm="1">
        <f t="array" ref="F24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242" s="80" t="str" cm="1">
        <f t="array" ref="G24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242" s="80" t="str" cm="1">
        <f t="array" ref="H24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242" s="78" t="str" cm="1">
        <f t="array" ref="I24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243" spans="1:9" hidden="1" x14ac:dyDescent="0.3">
      <c r="A243" s="82" t="str" cm="1">
        <f t="array" ref="A24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243" s="79" t="str" cm="1">
        <f t="array" ref="B24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243" s="108" t="str" cm="1">
        <f t="array" ref="C24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243" s="79" t="str" cm="1">
        <f t="array" ref="D24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243" s="79" t="str" cm="1">
        <f t="array" ref="E24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243" s="80" t="str" cm="1">
        <f t="array" ref="F24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243" s="80" t="str" cm="1">
        <f t="array" ref="G24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243" s="80" t="str" cm="1">
        <f t="array" ref="H24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243" s="78" t="str" cm="1">
        <f t="array" ref="I24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244" spans="1:9" hidden="1" x14ac:dyDescent="0.3">
      <c r="A244" s="82" t="str" cm="1">
        <f t="array" ref="A24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244" s="79" t="str" cm="1">
        <f t="array" ref="B24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244" s="108" t="str" cm="1">
        <f t="array" ref="C24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244" s="79" t="str" cm="1">
        <f t="array" ref="D24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244" s="79" t="str" cm="1">
        <f t="array" ref="E24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244" s="80" t="str" cm="1">
        <f t="array" ref="F24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244" s="80" t="str" cm="1">
        <f t="array" ref="G24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244" s="80" t="str" cm="1">
        <f t="array" ref="H24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244" s="78" t="str" cm="1">
        <f t="array" ref="I24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245" spans="1:9" hidden="1" x14ac:dyDescent="0.3">
      <c r="A245" s="82" t="str" cm="1">
        <f t="array" ref="A24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245" s="79" t="str" cm="1">
        <f t="array" ref="B24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245" s="108" t="str" cm="1">
        <f t="array" ref="C24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245" s="79" t="str" cm="1">
        <f t="array" ref="D24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245" s="79" t="str" cm="1">
        <f t="array" ref="E24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245" s="80" t="str" cm="1">
        <f t="array" ref="F24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245" s="80" t="str" cm="1">
        <f t="array" ref="G24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245" s="80" t="str" cm="1">
        <f t="array" ref="H24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245" s="78" t="str" cm="1">
        <f t="array" ref="I24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246" spans="1:9" hidden="1" x14ac:dyDescent="0.3">
      <c r="A246" s="82" t="str" cm="1">
        <f t="array" ref="A24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246" s="79" t="str" cm="1">
        <f t="array" ref="B24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246" s="108" t="str" cm="1">
        <f t="array" ref="C24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246" s="79" t="str" cm="1">
        <f t="array" ref="D24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246" s="79" t="str" cm="1">
        <f t="array" ref="E24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246" s="80" t="str" cm="1">
        <f t="array" ref="F24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246" s="80" t="str" cm="1">
        <f t="array" ref="G24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246" s="80" t="str" cm="1">
        <f t="array" ref="H24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246" s="78" t="str" cm="1">
        <f t="array" ref="I24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247" spans="1:9" hidden="1" x14ac:dyDescent="0.3">
      <c r="A247" s="82" t="str" cm="1">
        <f t="array" ref="A24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247" s="79" t="str" cm="1">
        <f t="array" ref="B24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247" s="108" t="str" cm="1">
        <f t="array" ref="C24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247" s="79" t="str" cm="1">
        <f t="array" ref="D24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247" s="79" t="str" cm="1">
        <f t="array" ref="E24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247" s="80" t="str" cm="1">
        <f t="array" ref="F24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247" s="80" t="str" cm="1">
        <f t="array" ref="G24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247" s="80" t="str" cm="1">
        <f t="array" ref="H24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247" s="78" t="str" cm="1">
        <f t="array" ref="I24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248" spans="1:9" hidden="1" x14ac:dyDescent="0.3">
      <c r="A248" s="82" t="str" cm="1">
        <f t="array" ref="A24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248" s="79" t="str" cm="1">
        <f t="array" ref="B24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248" s="108" t="str" cm="1">
        <f t="array" ref="C24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248" s="79" t="str" cm="1">
        <f t="array" ref="D24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248" s="79" t="str" cm="1">
        <f t="array" ref="E24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248" s="80" t="str" cm="1">
        <f t="array" ref="F24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248" s="80" t="str" cm="1">
        <f t="array" ref="G24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248" s="80" t="str" cm="1">
        <f t="array" ref="H24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248" s="78" t="str" cm="1">
        <f t="array" ref="I24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249" spans="1:9" hidden="1" x14ac:dyDescent="0.3">
      <c r="A249" s="82" t="str" cm="1">
        <f t="array" ref="A24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249" s="79" t="str" cm="1">
        <f t="array" ref="B24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249" s="108" t="str" cm="1">
        <f t="array" ref="C24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249" s="79" t="str" cm="1">
        <f t="array" ref="D24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249" s="79" t="str" cm="1">
        <f t="array" ref="E24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249" s="80" t="str" cm="1">
        <f t="array" ref="F24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249" s="80" t="str" cm="1">
        <f t="array" ref="G24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249" s="80" t="str" cm="1">
        <f t="array" ref="H24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249" s="78" t="str" cm="1">
        <f t="array" ref="I24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250" spans="1:9" hidden="1" x14ac:dyDescent="0.3">
      <c r="A250" s="82" t="str" cm="1">
        <f t="array" ref="A25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250" s="79" t="str" cm="1">
        <f t="array" ref="B25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250" s="108" t="str" cm="1">
        <f t="array" ref="C25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250" s="79" t="str" cm="1">
        <f t="array" ref="D25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250" s="79" t="str" cm="1">
        <f t="array" ref="E25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250" s="80" t="str" cm="1">
        <f t="array" ref="F25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250" s="80" t="str" cm="1">
        <f t="array" ref="G25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250" s="80" t="str" cm="1">
        <f t="array" ref="H25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250" s="78" t="str" cm="1">
        <f t="array" ref="I25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251" spans="1:9" hidden="1" x14ac:dyDescent="0.3">
      <c r="A251" s="82" t="str" cm="1">
        <f t="array" ref="A25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251" s="79" t="str" cm="1">
        <f t="array" ref="B25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251" s="108" t="str" cm="1">
        <f t="array" ref="C25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251" s="79" t="str" cm="1">
        <f t="array" ref="D25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251" s="79" t="str" cm="1">
        <f t="array" ref="E25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251" s="80" t="str" cm="1">
        <f t="array" ref="F25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251" s="80" t="str" cm="1">
        <f t="array" ref="G25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251" s="80" t="str" cm="1">
        <f t="array" ref="H25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251" s="78" t="str" cm="1">
        <f t="array" ref="I25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252" spans="1:9" hidden="1" x14ac:dyDescent="0.3">
      <c r="A252" s="82" t="str" cm="1">
        <f t="array" ref="A25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252" s="79" t="str" cm="1">
        <f t="array" ref="B25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252" s="108" t="str" cm="1">
        <f t="array" ref="C25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252" s="79" t="str" cm="1">
        <f t="array" ref="D25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252" s="79" t="str" cm="1">
        <f t="array" ref="E25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252" s="80" t="str" cm="1">
        <f t="array" ref="F25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252" s="80" t="str" cm="1">
        <f t="array" ref="G25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252" s="80" t="str" cm="1">
        <f t="array" ref="H25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252" s="78" t="str" cm="1">
        <f t="array" ref="I25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253" spans="1:9" hidden="1" x14ac:dyDescent="0.3">
      <c r="A253" s="82" t="str" cm="1">
        <f t="array" ref="A25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253" s="79" t="str" cm="1">
        <f t="array" ref="B25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253" s="108" t="str" cm="1">
        <f t="array" ref="C25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253" s="79" t="str" cm="1">
        <f t="array" ref="D25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253" s="79" t="str" cm="1">
        <f t="array" ref="E25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253" s="80" t="str" cm="1">
        <f t="array" ref="F25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253" s="80" t="str" cm="1">
        <f t="array" ref="G25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253" s="80" t="str" cm="1">
        <f t="array" ref="H25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253" s="78" t="str" cm="1">
        <f t="array" ref="I25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254" spans="1:9" hidden="1" x14ac:dyDescent="0.3">
      <c r="A254" s="82" t="str" cm="1">
        <f t="array" ref="A25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254" s="79" t="str" cm="1">
        <f t="array" ref="B25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254" s="108" t="str" cm="1">
        <f t="array" ref="C25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254" s="79" t="str" cm="1">
        <f t="array" ref="D25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254" s="79" t="str" cm="1">
        <f t="array" ref="E25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254" s="80" t="str" cm="1">
        <f t="array" ref="F25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254" s="80" t="str" cm="1">
        <f t="array" ref="G25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254" s="80" t="str" cm="1">
        <f t="array" ref="H25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254" s="78" t="str" cm="1">
        <f t="array" ref="I25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255" spans="1:9" hidden="1" x14ac:dyDescent="0.3">
      <c r="A255" s="82" t="str" cm="1">
        <f t="array" ref="A25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255" s="79" t="str" cm="1">
        <f t="array" ref="B25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255" s="108" t="str" cm="1">
        <f t="array" ref="C25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255" s="79" t="str" cm="1">
        <f t="array" ref="D25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255" s="79" t="str" cm="1">
        <f t="array" ref="E25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255" s="80" t="str" cm="1">
        <f t="array" ref="F25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255" s="80" t="str" cm="1">
        <f t="array" ref="G25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255" s="80" t="str" cm="1">
        <f t="array" ref="H25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255" s="78" t="str" cm="1">
        <f t="array" ref="I25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256" spans="1:9" hidden="1" x14ac:dyDescent="0.3">
      <c r="A256" s="82" t="str" cm="1">
        <f t="array" ref="A25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256" s="79" t="str" cm="1">
        <f t="array" ref="B25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256" s="108" t="str" cm="1">
        <f t="array" ref="C25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256" s="79" t="str" cm="1">
        <f t="array" ref="D25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256" s="79" t="str" cm="1">
        <f t="array" ref="E25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256" s="80" t="str" cm="1">
        <f t="array" ref="F25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256" s="80" t="str" cm="1">
        <f t="array" ref="G25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256" s="80" t="str" cm="1">
        <f t="array" ref="H25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256" s="78" t="str" cm="1">
        <f t="array" ref="I25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257" spans="1:9" hidden="1" x14ac:dyDescent="0.3">
      <c r="A257" s="82" t="str" cm="1">
        <f t="array" ref="A25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257" s="79" t="str" cm="1">
        <f t="array" ref="B25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257" s="108" t="str" cm="1">
        <f t="array" ref="C25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257" s="79" t="str" cm="1">
        <f t="array" ref="D25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257" s="79" t="str" cm="1">
        <f t="array" ref="E25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257" s="80" t="str" cm="1">
        <f t="array" ref="F25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257" s="80" t="str" cm="1">
        <f t="array" ref="G25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257" s="80" t="str" cm="1">
        <f t="array" ref="H25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257" s="78" t="str" cm="1">
        <f t="array" ref="I25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258" spans="1:9" hidden="1" x14ac:dyDescent="0.3">
      <c r="A258" s="82" t="str" cm="1">
        <f t="array" ref="A25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258" s="79" t="str" cm="1">
        <f t="array" ref="B25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258" s="108" t="str" cm="1">
        <f t="array" ref="C25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258" s="79" t="str" cm="1">
        <f t="array" ref="D25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258" s="79" t="str" cm="1">
        <f t="array" ref="E25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258" s="80" t="str" cm="1">
        <f t="array" ref="F25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258" s="80" t="str" cm="1">
        <f t="array" ref="G25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258" s="80" t="str" cm="1">
        <f t="array" ref="H25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258" s="78" t="str" cm="1">
        <f t="array" ref="I25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259" spans="1:9" hidden="1" x14ac:dyDescent="0.3">
      <c r="A259" s="82" t="str" cm="1">
        <f t="array" ref="A25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259" s="79" t="str" cm="1">
        <f t="array" ref="B25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259" s="108" t="str" cm="1">
        <f t="array" ref="C25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259" s="79" t="str" cm="1">
        <f t="array" ref="D25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259" s="79" t="str" cm="1">
        <f t="array" ref="E25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259" s="80" t="str" cm="1">
        <f t="array" ref="F25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259" s="80" t="str" cm="1">
        <f t="array" ref="G25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259" s="80" t="str" cm="1">
        <f t="array" ref="H25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259" s="78" t="str" cm="1">
        <f t="array" ref="I25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260" spans="1:9" hidden="1" x14ac:dyDescent="0.3">
      <c r="A260" s="82" t="str" cm="1">
        <f t="array" ref="A26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260" s="79" t="str" cm="1">
        <f t="array" ref="B26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260" s="108" t="str" cm="1">
        <f t="array" ref="C26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260" s="79" t="str" cm="1">
        <f t="array" ref="D26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260" s="79" t="str" cm="1">
        <f t="array" ref="E26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260" s="80" t="str" cm="1">
        <f t="array" ref="F26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260" s="80" t="str" cm="1">
        <f t="array" ref="G26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260" s="80" t="str" cm="1">
        <f t="array" ref="H26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260" s="78" t="str" cm="1">
        <f t="array" ref="I26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261" spans="1:9" hidden="1" x14ac:dyDescent="0.3">
      <c r="A261" s="82" t="str" cm="1">
        <f t="array" ref="A26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261" s="79" t="str" cm="1">
        <f t="array" ref="B26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261" s="108" t="str" cm="1">
        <f t="array" ref="C26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261" s="79" t="str" cm="1">
        <f t="array" ref="D26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261" s="79" t="str" cm="1">
        <f t="array" ref="E26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261" s="80" t="str" cm="1">
        <f t="array" ref="F26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261" s="80" t="str" cm="1">
        <f t="array" ref="G26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261" s="80" t="str" cm="1">
        <f t="array" ref="H26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261" s="78" t="str" cm="1">
        <f t="array" ref="I26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262" spans="1:9" hidden="1" x14ac:dyDescent="0.3">
      <c r="A262" s="82" t="str" cm="1">
        <f t="array" ref="A26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262" s="79" t="str" cm="1">
        <f t="array" ref="B26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262" s="108" t="str" cm="1">
        <f t="array" ref="C26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262" s="79" t="str" cm="1">
        <f t="array" ref="D26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262" s="79" t="str" cm="1">
        <f t="array" ref="E26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262" s="80" t="str" cm="1">
        <f t="array" ref="F26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262" s="80" t="str" cm="1">
        <f t="array" ref="G26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262" s="80" t="str" cm="1">
        <f t="array" ref="H26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262" s="78" t="str" cm="1">
        <f t="array" ref="I26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263" spans="1:9" hidden="1" x14ac:dyDescent="0.3">
      <c r="A263" s="82" t="str" cm="1">
        <f t="array" ref="A26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263" s="79" t="str" cm="1">
        <f t="array" ref="B26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263" s="108" t="str" cm="1">
        <f t="array" ref="C26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263" s="79" t="str" cm="1">
        <f t="array" ref="D26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263" s="79" t="str" cm="1">
        <f t="array" ref="E26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263" s="80" t="str" cm="1">
        <f t="array" ref="F26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263" s="80" t="str" cm="1">
        <f t="array" ref="G26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263" s="80" t="str" cm="1">
        <f t="array" ref="H26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263" s="78" t="str" cm="1">
        <f t="array" ref="I26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264" spans="1:9" hidden="1" x14ac:dyDescent="0.3">
      <c r="A264" s="82" t="str" cm="1">
        <f t="array" ref="A26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264" s="79" t="str" cm="1">
        <f t="array" ref="B26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264" s="108" t="str" cm="1">
        <f t="array" ref="C26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264" s="79" t="str" cm="1">
        <f t="array" ref="D26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264" s="79" t="str" cm="1">
        <f t="array" ref="E26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264" s="80" t="str" cm="1">
        <f t="array" ref="F26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264" s="80" t="str" cm="1">
        <f t="array" ref="G26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264" s="80" t="str" cm="1">
        <f t="array" ref="H26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264" s="78" t="str" cm="1">
        <f t="array" ref="I26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265" spans="1:9" hidden="1" x14ac:dyDescent="0.3">
      <c r="A265" s="82" t="str" cm="1">
        <f t="array" ref="A26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265" s="79" t="str" cm="1">
        <f t="array" ref="B26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265" s="108" t="str" cm="1">
        <f t="array" ref="C26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265" s="79" t="str" cm="1">
        <f t="array" ref="D26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265" s="79" t="str" cm="1">
        <f t="array" ref="E26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265" s="80" t="str" cm="1">
        <f t="array" ref="F26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265" s="80" t="str" cm="1">
        <f t="array" ref="G26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265" s="80" t="str" cm="1">
        <f t="array" ref="H26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265" s="78" t="str" cm="1">
        <f t="array" ref="I26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266" spans="1:9" hidden="1" x14ac:dyDescent="0.3">
      <c r="A266" s="82" t="str" cm="1">
        <f t="array" ref="A26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266" s="79" t="str" cm="1">
        <f t="array" ref="B26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266" s="108" t="str" cm="1">
        <f t="array" ref="C26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266" s="79" t="str" cm="1">
        <f t="array" ref="D26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266" s="79" t="str" cm="1">
        <f t="array" ref="E26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266" s="80" t="str" cm="1">
        <f t="array" ref="F26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266" s="80" t="str" cm="1">
        <f t="array" ref="G26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266" s="80" t="str" cm="1">
        <f t="array" ref="H26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266" s="78" t="str" cm="1">
        <f t="array" ref="I26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267" spans="1:9" hidden="1" x14ac:dyDescent="0.3">
      <c r="A267" s="82" t="str" cm="1">
        <f t="array" ref="A26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267" s="79" t="str" cm="1">
        <f t="array" ref="B26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267" s="108" t="str" cm="1">
        <f t="array" ref="C26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267" s="79" t="str" cm="1">
        <f t="array" ref="D26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267" s="79" t="str" cm="1">
        <f t="array" ref="E26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267" s="80" t="str" cm="1">
        <f t="array" ref="F26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267" s="80" t="str" cm="1">
        <f t="array" ref="G26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267" s="80" t="str" cm="1">
        <f t="array" ref="H26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267" s="78" t="str" cm="1">
        <f t="array" ref="I26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268" spans="1:9" hidden="1" x14ac:dyDescent="0.3">
      <c r="A268" s="82" t="str" cm="1">
        <f t="array" ref="A26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268" s="79" t="str" cm="1">
        <f t="array" ref="B26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268" s="108" t="str" cm="1">
        <f t="array" ref="C26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268" s="79" t="str" cm="1">
        <f t="array" ref="D26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268" s="79" t="str" cm="1">
        <f t="array" ref="E26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268" s="80" t="str" cm="1">
        <f t="array" ref="F26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268" s="80" t="str" cm="1">
        <f t="array" ref="G26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268" s="80" t="str" cm="1">
        <f t="array" ref="H26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268" s="78" t="str" cm="1">
        <f t="array" ref="I26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269" spans="1:9" hidden="1" x14ac:dyDescent="0.3">
      <c r="A269" s="82" t="str" cm="1">
        <f t="array" ref="A26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269" s="79" t="str" cm="1">
        <f t="array" ref="B26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269" s="108" t="str" cm="1">
        <f t="array" ref="C26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269" s="79" t="str" cm="1">
        <f t="array" ref="D26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269" s="79" t="str" cm="1">
        <f t="array" ref="E26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269" s="80" t="str" cm="1">
        <f t="array" ref="F26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269" s="80" t="str" cm="1">
        <f t="array" ref="G26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269" s="80" t="str" cm="1">
        <f t="array" ref="H26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269" s="78" t="str" cm="1">
        <f t="array" ref="I26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270" spans="1:9" hidden="1" x14ac:dyDescent="0.3">
      <c r="A270" s="82" t="str" cm="1">
        <f t="array" ref="A27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270" s="79" t="str" cm="1">
        <f t="array" ref="B27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270" s="108" t="str" cm="1">
        <f t="array" ref="C27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270" s="79" t="str" cm="1">
        <f t="array" ref="D27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270" s="79" t="str" cm="1">
        <f t="array" ref="E27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270" s="80" t="str" cm="1">
        <f t="array" ref="F27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270" s="80" t="str" cm="1">
        <f t="array" ref="G27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270" s="80" t="str" cm="1">
        <f t="array" ref="H27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270" s="78" t="str" cm="1">
        <f t="array" ref="I27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271" spans="1:9" hidden="1" x14ac:dyDescent="0.3">
      <c r="A271" s="82" t="str" cm="1">
        <f t="array" ref="A27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271" s="79" t="str" cm="1">
        <f t="array" ref="B27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271" s="108" t="str" cm="1">
        <f t="array" ref="C27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271" s="79" t="str" cm="1">
        <f t="array" ref="D27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271" s="79" t="str" cm="1">
        <f t="array" ref="E27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271" s="80" t="str" cm="1">
        <f t="array" ref="F27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271" s="80" t="str" cm="1">
        <f t="array" ref="G27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271" s="80" t="str" cm="1">
        <f t="array" ref="H27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271" s="78" t="str" cm="1">
        <f t="array" ref="I27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272" spans="1:9" hidden="1" x14ac:dyDescent="0.3">
      <c r="A272" s="82" t="str" cm="1">
        <f t="array" ref="A27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272" s="79" t="str" cm="1">
        <f t="array" ref="B27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272" s="108" t="str" cm="1">
        <f t="array" ref="C27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272" s="79" t="str" cm="1">
        <f t="array" ref="D27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272" s="79" t="str" cm="1">
        <f t="array" ref="E27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272" s="80" t="str" cm="1">
        <f t="array" ref="F27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272" s="80" t="str" cm="1">
        <f t="array" ref="G27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272" s="80" t="str" cm="1">
        <f t="array" ref="H27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272" s="78" t="str" cm="1">
        <f t="array" ref="I27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273" spans="1:9" hidden="1" x14ac:dyDescent="0.3">
      <c r="A273" s="82" t="str" cm="1">
        <f t="array" ref="A27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273" s="79" t="str" cm="1">
        <f t="array" ref="B27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273" s="108" t="str" cm="1">
        <f t="array" ref="C27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273" s="79" t="str" cm="1">
        <f t="array" ref="D27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273" s="79" t="str" cm="1">
        <f t="array" ref="E27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273" s="80" t="str" cm="1">
        <f t="array" ref="F27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273" s="80" t="str" cm="1">
        <f t="array" ref="G27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273" s="80" t="str" cm="1">
        <f t="array" ref="H27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273" s="78" t="str" cm="1">
        <f t="array" ref="I27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274" spans="1:9" hidden="1" x14ac:dyDescent="0.3">
      <c r="A274" s="82" t="str" cm="1">
        <f t="array" ref="A27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274" s="79" t="str" cm="1">
        <f t="array" ref="B27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274" s="108" t="str" cm="1">
        <f t="array" ref="C27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274" s="79" t="str" cm="1">
        <f t="array" ref="D27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274" s="79" t="str" cm="1">
        <f t="array" ref="E27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274" s="80" t="str" cm="1">
        <f t="array" ref="F27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274" s="80" t="str" cm="1">
        <f t="array" ref="G27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274" s="80" t="str" cm="1">
        <f t="array" ref="H27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274" s="78" t="str" cm="1">
        <f t="array" ref="I27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275" spans="1:9" hidden="1" x14ac:dyDescent="0.3">
      <c r="A275" s="82" t="str" cm="1">
        <f t="array" ref="A27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275" s="79" t="str" cm="1">
        <f t="array" ref="B27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275" s="108" t="str" cm="1">
        <f t="array" ref="C27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275" s="79" t="str" cm="1">
        <f t="array" ref="D27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275" s="79" t="str" cm="1">
        <f t="array" ref="E27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275" s="80" t="str" cm="1">
        <f t="array" ref="F27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275" s="80" t="str" cm="1">
        <f t="array" ref="G27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275" s="80" t="str" cm="1">
        <f t="array" ref="H27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275" s="78" t="str" cm="1">
        <f t="array" ref="I27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276" spans="1:9" hidden="1" x14ac:dyDescent="0.3">
      <c r="A276" s="82" t="str" cm="1">
        <f t="array" ref="A27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276" s="79" t="str" cm="1">
        <f t="array" ref="B27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276" s="108" t="str" cm="1">
        <f t="array" ref="C27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276" s="79" t="str" cm="1">
        <f t="array" ref="D27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276" s="79" t="str" cm="1">
        <f t="array" ref="E27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276" s="80" t="str" cm="1">
        <f t="array" ref="F27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276" s="80" t="str" cm="1">
        <f t="array" ref="G27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276" s="80" t="str" cm="1">
        <f t="array" ref="H27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276" s="78" t="str" cm="1">
        <f t="array" ref="I27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277" spans="1:9" hidden="1" x14ac:dyDescent="0.3">
      <c r="A277" s="82" t="str" cm="1">
        <f t="array" ref="A27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277" s="79" t="str" cm="1">
        <f t="array" ref="B27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277" s="108" t="str" cm="1">
        <f t="array" ref="C27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277" s="79" t="str" cm="1">
        <f t="array" ref="D27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277" s="79" t="str" cm="1">
        <f t="array" ref="E27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277" s="80" t="str" cm="1">
        <f t="array" ref="F27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277" s="80" t="str" cm="1">
        <f t="array" ref="G27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277" s="80" t="str" cm="1">
        <f t="array" ref="H27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277" s="78" t="str" cm="1">
        <f t="array" ref="I27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278" spans="1:9" hidden="1" x14ac:dyDescent="0.3">
      <c r="A278" s="82" t="str" cm="1">
        <f t="array" ref="A27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278" s="79" t="str" cm="1">
        <f t="array" ref="B27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278" s="108" t="str" cm="1">
        <f t="array" ref="C27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278" s="79" t="str" cm="1">
        <f t="array" ref="D27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278" s="79" t="str" cm="1">
        <f t="array" ref="E27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278" s="80" t="str" cm="1">
        <f t="array" ref="F27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278" s="80" t="str" cm="1">
        <f t="array" ref="G27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278" s="80" t="str" cm="1">
        <f t="array" ref="H27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278" s="78" t="str" cm="1">
        <f t="array" ref="I27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279" spans="1:9" hidden="1" x14ac:dyDescent="0.3">
      <c r="A279" s="82" t="str" cm="1">
        <f t="array" ref="A27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279" s="79" t="str" cm="1">
        <f t="array" ref="B27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279" s="108" t="str" cm="1">
        <f t="array" ref="C27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279" s="79" t="str" cm="1">
        <f t="array" ref="D27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279" s="79" t="str" cm="1">
        <f t="array" ref="E27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279" s="80" t="str" cm="1">
        <f t="array" ref="F27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279" s="80" t="str" cm="1">
        <f t="array" ref="G27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279" s="80" t="str" cm="1">
        <f t="array" ref="H27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279" s="78" t="str" cm="1">
        <f t="array" ref="I27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280" spans="1:9" hidden="1" x14ac:dyDescent="0.3">
      <c r="A280" s="82" t="str" cm="1">
        <f t="array" ref="A28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280" s="79" t="str" cm="1">
        <f t="array" ref="B28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280" s="108" t="str" cm="1">
        <f t="array" ref="C28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280" s="79" t="str" cm="1">
        <f t="array" ref="D28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280" s="79" t="str" cm="1">
        <f t="array" ref="E28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280" s="80" t="str" cm="1">
        <f t="array" ref="F28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280" s="80" t="str" cm="1">
        <f t="array" ref="G28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280" s="80" t="str" cm="1">
        <f t="array" ref="H28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280" s="78" t="str" cm="1">
        <f t="array" ref="I28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281" spans="1:9" hidden="1" x14ac:dyDescent="0.3">
      <c r="A281" s="82" t="str" cm="1">
        <f t="array" ref="A28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281" s="79" t="str" cm="1">
        <f t="array" ref="B28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281" s="108" t="str" cm="1">
        <f t="array" ref="C28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281" s="79" t="str" cm="1">
        <f t="array" ref="D28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281" s="79" t="str" cm="1">
        <f t="array" ref="E28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281" s="80" t="str" cm="1">
        <f t="array" ref="F28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281" s="80" t="str" cm="1">
        <f t="array" ref="G28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281" s="80" t="str" cm="1">
        <f t="array" ref="H28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281" s="78" t="str" cm="1">
        <f t="array" ref="I28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282" spans="1:9" hidden="1" x14ac:dyDescent="0.3">
      <c r="A282" s="82" t="str" cm="1">
        <f t="array" ref="A28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282" s="79" t="str" cm="1">
        <f t="array" ref="B28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282" s="108" t="str" cm="1">
        <f t="array" ref="C28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282" s="79" t="str" cm="1">
        <f t="array" ref="D28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282" s="79" t="str" cm="1">
        <f t="array" ref="E28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282" s="80" t="str" cm="1">
        <f t="array" ref="F28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282" s="80" t="str" cm="1">
        <f t="array" ref="G28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282" s="80" t="str" cm="1">
        <f t="array" ref="H28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282" s="78" t="str" cm="1">
        <f t="array" ref="I28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283" spans="1:9" hidden="1" x14ac:dyDescent="0.3">
      <c r="A283" s="82" t="str" cm="1">
        <f t="array" ref="A28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283" s="79" t="str" cm="1">
        <f t="array" ref="B28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283" s="108" t="str" cm="1">
        <f t="array" ref="C28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283" s="79" t="str" cm="1">
        <f t="array" ref="D28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283" s="79" t="str" cm="1">
        <f t="array" ref="E28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283" s="80" t="str" cm="1">
        <f t="array" ref="F28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283" s="80" t="str" cm="1">
        <f t="array" ref="G28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283" s="80" t="str" cm="1">
        <f t="array" ref="H28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283" s="78" t="str" cm="1">
        <f t="array" ref="I28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284" spans="1:9" hidden="1" x14ac:dyDescent="0.3">
      <c r="A284" s="82" t="str" cm="1">
        <f t="array" ref="A28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284" s="79" t="str" cm="1">
        <f t="array" ref="B28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284" s="108" t="str" cm="1">
        <f t="array" ref="C28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284" s="79" t="str" cm="1">
        <f t="array" ref="D28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284" s="79" t="str" cm="1">
        <f t="array" ref="E28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284" s="80" t="str" cm="1">
        <f t="array" ref="F28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284" s="80" t="str" cm="1">
        <f t="array" ref="G28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284" s="80" t="str" cm="1">
        <f t="array" ref="H28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284" s="78" t="str" cm="1">
        <f t="array" ref="I28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285" spans="1:9" hidden="1" x14ac:dyDescent="0.3">
      <c r="A285" s="82" t="str" cm="1">
        <f t="array" ref="A28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285" s="79" t="str" cm="1">
        <f t="array" ref="B28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285" s="108" t="str" cm="1">
        <f t="array" ref="C28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285" s="79" t="str" cm="1">
        <f t="array" ref="D28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285" s="79" t="str" cm="1">
        <f t="array" ref="E28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285" s="80" t="str" cm="1">
        <f t="array" ref="F28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285" s="80" t="str" cm="1">
        <f t="array" ref="G28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285" s="80" t="str" cm="1">
        <f t="array" ref="H28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285" s="78" t="str" cm="1">
        <f t="array" ref="I28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286" spans="1:9" hidden="1" x14ac:dyDescent="0.3">
      <c r="A286" s="82" t="str" cm="1">
        <f t="array" ref="A28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286" s="79" t="str" cm="1">
        <f t="array" ref="B28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286" s="108" t="str" cm="1">
        <f t="array" ref="C28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286" s="79" t="str" cm="1">
        <f t="array" ref="D28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286" s="79" t="str" cm="1">
        <f t="array" ref="E28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286" s="80" t="str" cm="1">
        <f t="array" ref="F28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286" s="80" t="str" cm="1">
        <f t="array" ref="G28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286" s="80" t="str" cm="1">
        <f t="array" ref="H28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286" s="78" t="str" cm="1">
        <f t="array" ref="I28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287" spans="1:9" hidden="1" x14ac:dyDescent="0.3">
      <c r="A287" s="82" t="str" cm="1">
        <f t="array" ref="A28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287" s="79" t="str" cm="1">
        <f t="array" ref="B28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287" s="108" t="str" cm="1">
        <f t="array" ref="C28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287" s="79" t="str" cm="1">
        <f t="array" ref="D28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287" s="79" t="str" cm="1">
        <f t="array" ref="E28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287" s="80" t="str" cm="1">
        <f t="array" ref="F28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287" s="80" t="str" cm="1">
        <f t="array" ref="G28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287" s="80" t="str" cm="1">
        <f t="array" ref="H28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287" s="78" t="str" cm="1">
        <f t="array" ref="I28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288" spans="1:9" hidden="1" x14ac:dyDescent="0.3">
      <c r="A288" s="82" t="str" cm="1">
        <f t="array" ref="A28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288" s="79" t="str" cm="1">
        <f t="array" ref="B28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288" s="108" t="str" cm="1">
        <f t="array" ref="C28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288" s="79" t="str" cm="1">
        <f t="array" ref="D28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288" s="79" t="str" cm="1">
        <f t="array" ref="E28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288" s="80" t="str" cm="1">
        <f t="array" ref="F28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288" s="80" t="str" cm="1">
        <f t="array" ref="G28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288" s="80" t="str" cm="1">
        <f t="array" ref="H28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288" s="78" t="str" cm="1">
        <f t="array" ref="I28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289" spans="1:9" hidden="1" x14ac:dyDescent="0.3">
      <c r="A289" s="82" t="str" cm="1">
        <f t="array" ref="A28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289" s="79" t="str" cm="1">
        <f t="array" ref="B28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289" s="108" t="str" cm="1">
        <f t="array" ref="C28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289" s="79" t="str" cm="1">
        <f t="array" ref="D28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289" s="79" t="str" cm="1">
        <f t="array" ref="E28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289" s="80" t="str" cm="1">
        <f t="array" ref="F28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289" s="80" t="str" cm="1">
        <f t="array" ref="G28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289" s="80" t="str" cm="1">
        <f t="array" ref="H28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289" s="78" t="str" cm="1">
        <f t="array" ref="I28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290" spans="1:9" hidden="1" x14ac:dyDescent="0.3">
      <c r="A290" s="82" t="str" cm="1">
        <f t="array" ref="A29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290" s="79" t="str" cm="1">
        <f t="array" ref="B29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290" s="108" t="str" cm="1">
        <f t="array" ref="C29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290" s="79" t="str" cm="1">
        <f t="array" ref="D29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290" s="79" t="str" cm="1">
        <f t="array" ref="E29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290" s="80" t="str" cm="1">
        <f t="array" ref="F29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290" s="80" t="str" cm="1">
        <f t="array" ref="G29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290" s="80" t="str" cm="1">
        <f t="array" ref="H29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290" s="78" t="str" cm="1">
        <f t="array" ref="I29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291" spans="1:9" hidden="1" x14ac:dyDescent="0.3">
      <c r="A291" s="82" t="str" cm="1">
        <f t="array" ref="A29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291" s="79" t="str" cm="1">
        <f t="array" ref="B29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291" s="108" t="str" cm="1">
        <f t="array" ref="C29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291" s="79" t="str" cm="1">
        <f t="array" ref="D29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291" s="79" t="str" cm="1">
        <f t="array" ref="E29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291" s="80" t="str" cm="1">
        <f t="array" ref="F29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291" s="80" t="str" cm="1">
        <f t="array" ref="G29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291" s="80" t="str" cm="1">
        <f t="array" ref="H29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291" s="78" t="str" cm="1">
        <f t="array" ref="I29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292" spans="1:9" hidden="1" x14ac:dyDescent="0.3">
      <c r="A292" s="82" t="str" cm="1">
        <f t="array" ref="A29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292" s="79" t="str" cm="1">
        <f t="array" ref="B29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292" s="108" t="str" cm="1">
        <f t="array" ref="C29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292" s="79" t="str" cm="1">
        <f t="array" ref="D29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292" s="79" t="str" cm="1">
        <f t="array" ref="E29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292" s="80" t="str" cm="1">
        <f t="array" ref="F29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292" s="80" t="str" cm="1">
        <f t="array" ref="G29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292" s="80" t="str" cm="1">
        <f t="array" ref="H29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292" s="78" t="str" cm="1">
        <f t="array" ref="I29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293" spans="1:9" hidden="1" x14ac:dyDescent="0.3">
      <c r="A293" s="82" t="str" cm="1">
        <f t="array" ref="A29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293" s="79" t="str" cm="1">
        <f t="array" ref="B29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293" s="108" t="str" cm="1">
        <f t="array" ref="C29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293" s="79" t="str" cm="1">
        <f t="array" ref="D29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293" s="79" t="str" cm="1">
        <f t="array" ref="E29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293" s="80" t="str" cm="1">
        <f t="array" ref="F29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293" s="80" t="str" cm="1">
        <f t="array" ref="G29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293" s="80" t="str" cm="1">
        <f t="array" ref="H29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293" s="78" t="str" cm="1">
        <f t="array" ref="I29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294" spans="1:9" hidden="1" x14ac:dyDescent="0.3">
      <c r="A294" s="82" t="str" cm="1">
        <f t="array" ref="A29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294" s="79" t="str" cm="1">
        <f t="array" ref="B29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294" s="108" t="str" cm="1">
        <f t="array" ref="C29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294" s="79" t="str" cm="1">
        <f t="array" ref="D29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294" s="79" t="str" cm="1">
        <f t="array" ref="E29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294" s="80" t="str" cm="1">
        <f t="array" ref="F29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294" s="80" t="str" cm="1">
        <f t="array" ref="G29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294" s="80" t="str" cm="1">
        <f t="array" ref="H29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294" s="78" t="str" cm="1">
        <f t="array" ref="I29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295" spans="1:9" hidden="1" x14ac:dyDescent="0.3">
      <c r="A295" s="82" t="str" cm="1">
        <f t="array" ref="A29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295" s="79" t="str" cm="1">
        <f t="array" ref="B29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295" s="108" t="str" cm="1">
        <f t="array" ref="C29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295" s="79" t="str" cm="1">
        <f t="array" ref="D29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295" s="79" t="str" cm="1">
        <f t="array" ref="E29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295" s="80" t="str" cm="1">
        <f t="array" ref="F29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295" s="80" t="str" cm="1">
        <f t="array" ref="G29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295" s="80" t="str" cm="1">
        <f t="array" ref="H29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295" s="78" t="str" cm="1">
        <f t="array" ref="I29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296" spans="1:9" hidden="1" x14ac:dyDescent="0.3">
      <c r="A296" s="82" t="str" cm="1">
        <f t="array" ref="A29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296" s="79" t="str" cm="1">
        <f t="array" ref="B29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296" s="108" t="str" cm="1">
        <f t="array" ref="C29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296" s="79" t="str" cm="1">
        <f t="array" ref="D29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296" s="79" t="str" cm="1">
        <f t="array" ref="E29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296" s="80" t="str" cm="1">
        <f t="array" ref="F29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296" s="80" t="str" cm="1">
        <f t="array" ref="G29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296" s="80" t="str" cm="1">
        <f t="array" ref="H29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296" s="78" t="str" cm="1">
        <f t="array" ref="I29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297" spans="1:9" hidden="1" x14ac:dyDescent="0.3">
      <c r="A297" s="82" t="str" cm="1">
        <f t="array" ref="A29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297" s="79" t="str" cm="1">
        <f t="array" ref="B29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297" s="108" t="str" cm="1">
        <f t="array" ref="C29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297" s="79" t="str" cm="1">
        <f t="array" ref="D29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297" s="79" t="str" cm="1">
        <f t="array" ref="E29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297" s="80" t="str" cm="1">
        <f t="array" ref="F29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297" s="80" t="str" cm="1">
        <f t="array" ref="G29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297" s="80" t="str" cm="1">
        <f t="array" ref="H29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297" s="78" t="str" cm="1">
        <f t="array" ref="I29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298" spans="1:9" hidden="1" x14ac:dyDescent="0.3">
      <c r="A298" s="82" t="str" cm="1">
        <f t="array" ref="A29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298" s="79" t="str" cm="1">
        <f t="array" ref="B29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298" s="108" t="str" cm="1">
        <f t="array" ref="C29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298" s="79" t="str" cm="1">
        <f t="array" ref="D29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298" s="79" t="str" cm="1">
        <f t="array" ref="E29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298" s="80" t="str" cm="1">
        <f t="array" ref="F29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298" s="80" t="str" cm="1">
        <f t="array" ref="G29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298" s="80" t="str" cm="1">
        <f t="array" ref="H29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298" s="78" t="str" cm="1">
        <f t="array" ref="I29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299" spans="1:9" hidden="1" x14ac:dyDescent="0.3">
      <c r="A299" s="82" t="str" cm="1">
        <f t="array" ref="A29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299" s="79" t="str" cm="1">
        <f t="array" ref="B29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299" s="108" t="str" cm="1">
        <f t="array" ref="C29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299" s="79" t="str" cm="1">
        <f t="array" ref="D29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299" s="79" t="str" cm="1">
        <f t="array" ref="E29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299" s="80" t="str" cm="1">
        <f t="array" ref="F29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299" s="80" t="str" cm="1">
        <f t="array" ref="G29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299" s="80" t="str" cm="1">
        <f t="array" ref="H29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299" s="78" t="str" cm="1">
        <f t="array" ref="I29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300" spans="1:9" hidden="1" x14ac:dyDescent="0.3">
      <c r="A300" s="82" t="str" cm="1">
        <f t="array" ref="A30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300" s="79" t="str" cm="1">
        <f t="array" ref="B30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300" s="108" t="str" cm="1">
        <f t="array" ref="C30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300" s="79" t="str" cm="1">
        <f t="array" ref="D30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300" s="79" t="str" cm="1">
        <f t="array" ref="E30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300" s="80" t="str" cm="1">
        <f t="array" ref="F30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300" s="80" t="str" cm="1">
        <f t="array" ref="G30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300" s="80" t="str" cm="1">
        <f t="array" ref="H30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300" s="78" t="str" cm="1">
        <f t="array" ref="I30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301" spans="1:9" hidden="1" x14ac:dyDescent="0.3">
      <c r="A301" s="82" t="str" cm="1">
        <f t="array" ref="A30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301" s="79" t="str" cm="1">
        <f t="array" ref="B30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301" s="108" t="str" cm="1">
        <f t="array" ref="C30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301" s="79" t="str" cm="1">
        <f t="array" ref="D30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301" s="79" t="str" cm="1">
        <f t="array" ref="E30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301" s="80" t="str" cm="1">
        <f t="array" ref="F30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301" s="80" t="str" cm="1">
        <f t="array" ref="G30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301" s="80" t="str" cm="1">
        <f t="array" ref="H30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301" s="78" t="str" cm="1">
        <f t="array" ref="I30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302" spans="1:9" hidden="1" x14ac:dyDescent="0.3">
      <c r="A302" s="82" t="str" cm="1">
        <f t="array" ref="A30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302" s="79" t="str" cm="1">
        <f t="array" ref="B30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302" s="108" t="str" cm="1">
        <f t="array" ref="C30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302" s="79" t="str" cm="1">
        <f t="array" ref="D30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302" s="79" t="str" cm="1">
        <f t="array" ref="E30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302" s="80" t="str" cm="1">
        <f t="array" ref="F30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302" s="80" t="str" cm="1">
        <f t="array" ref="G30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302" s="80" t="str" cm="1">
        <f t="array" ref="H30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302" s="78" t="str" cm="1">
        <f t="array" ref="I30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303" spans="1:9" hidden="1" x14ac:dyDescent="0.3">
      <c r="A303" s="82" t="str" cm="1">
        <f t="array" ref="A30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303" s="79" t="str" cm="1">
        <f t="array" ref="B30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303" s="108" t="str" cm="1">
        <f t="array" ref="C30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303" s="79" t="str" cm="1">
        <f t="array" ref="D30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303" s="79" t="str" cm="1">
        <f t="array" ref="E30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303" s="80" t="str" cm="1">
        <f t="array" ref="F30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303" s="80" t="str" cm="1">
        <f t="array" ref="G30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303" s="80" t="str" cm="1">
        <f t="array" ref="H30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303" s="78" t="str" cm="1">
        <f t="array" ref="I30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304" spans="1:9" hidden="1" x14ac:dyDescent="0.3">
      <c r="A304" s="82" t="str" cm="1">
        <f t="array" ref="A30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304" s="79" t="str" cm="1">
        <f t="array" ref="B30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304" s="108" t="str" cm="1">
        <f t="array" ref="C30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304" s="79" t="str" cm="1">
        <f t="array" ref="D30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304" s="79" t="str" cm="1">
        <f t="array" ref="E30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304" s="80" t="str" cm="1">
        <f t="array" ref="F30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304" s="80" t="str" cm="1">
        <f t="array" ref="G30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304" s="80" t="str" cm="1">
        <f t="array" ref="H30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304" s="78" t="str" cm="1">
        <f t="array" ref="I30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305" spans="1:9" hidden="1" x14ac:dyDescent="0.3">
      <c r="A305" s="82" t="str" cm="1">
        <f t="array" ref="A30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305" s="79" t="str" cm="1">
        <f t="array" ref="B30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305" s="108" t="str" cm="1">
        <f t="array" ref="C30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305" s="79" t="str" cm="1">
        <f t="array" ref="D30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305" s="79" t="str" cm="1">
        <f t="array" ref="E30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305" s="80" t="str" cm="1">
        <f t="array" ref="F30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305" s="80" t="str" cm="1">
        <f t="array" ref="G30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305" s="80" t="str" cm="1">
        <f t="array" ref="H30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305" s="78" t="str" cm="1">
        <f t="array" ref="I30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306" spans="1:9" hidden="1" x14ac:dyDescent="0.3">
      <c r="A306" s="82" t="str" cm="1">
        <f t="array" ref="A30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306" s="79" t="str" cm="1">
        <f t="array" ref="B30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306" s="108" t="str" cm="1">
        <f t="array" ref="C30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306" s="79" t="str" cm="1">
        <f t="array" ref="D30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306" s="79" t="str" cm="1">
        <f t="array" ref="E30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306" s="80" t="str" cm="1">
        <f t="array" ref="F30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306" s="80" t="str" cm="1">
        <f t="array" ref="G30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306" s="80" t="str" cm="1">
        <f t="array" ref="H30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306" s="78" t="str" cm="1">
        <f t="array" ref="I30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307" spans="1:9" hidden="1" x14ac:dyDescent="0.3">
      <c r="A307" s="82" t="str" cm="1">
        <f t="array" ref="A30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307" s="79" t="str" cm="1">
        <f t="array" ref="B30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307" s="108" t="str" cm="1">
        <f t="array" ref="C30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307" s="79" t="str" cm="1">
        <f t="array" ref="D30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307" s="79" t="str" cm="1">
        <f t="array" ref="E30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307" s="80" t="str" cm="1">
        <f t="array" ref="F30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307" s="80" t="str" cm="1">
        <f t="array" ref="G30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307" s="80" t="str" cm="1">
        <f t="array" ref="H30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307" s="78" t="str" cm="1">
        <f t="array" ref="I30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308" spans="1:9" hidden="1" x14ac:dyDescent="0.3">
      <c r="A308" s="82" t="str" cm="1">
        <f t="array" ref="A30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308" s="79" t="str" cm="1">
        <f t="array" ref="B30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308" s="108" t="str" cm="1">
        <f t="array" ref="C30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308" s="79" t="str" cm="1">
        <f t="array" ref="D30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308" s="79" t="str" cm="1">
        <f t="array" ref="E30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308" s="80" t="str" cm="1">
        <f t="array" ref="F30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308" s="80" t="str" cm="1">
        <f t="array" ref="G30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308" s="80" t="str" cm="1">
        <f t="array" ref="H30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308" s="78" t="str" cm="1">
        <f t="array" ref="I30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309" spans="1:9" hidden="1" x14ac:dyDescent="0.3">
      <c r="A309" s="82" t="str" cm="1">
        <f t="array" ref="A30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309" s="79" t="str" cm="1">
        <f t="array" ref="B30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309" s="108" t="str" cm="1">
        <f t="array" ref="C30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309" s="79" t="str" cm="1">
        <f t="array" ref="D30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309" s="79" t="str" cm="1">
        <f t="array" ref="E30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309" s="80" t="str" cm="1">
        <f t="array" ref="F30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309" s="80" t="str" cm="1">
        <f t="array" ref="G30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309" s="80" t="str" cm="1">
        <f t="array" ref="H30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309" s="78" t="str" cm="1">
        <f t="array" ref="I30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310" spans="1:9" hidden="1" x14ac:dyDescent="0.3">
      <c r="A310" s="82" t="str" cm="1">
        <f t="array" ref="A31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310" s="79" t="str" cm="1">
        <f t="array" ref="B31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310" s="108" t="str" cm="1">
        <f t="array" ref="C31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310" s="79" t="str" cm="1">
        <f t="array" ref="D31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310" s="79" t="str" cm="1">
        <f t="array" ref="E31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310" s="80" t="str" cm="1">
        <f t="array" ref="F31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310" s="80" t="str" cm="1">
        <f t="array" ref="G31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310" s="80" t="str" cm="1">
        <f t="array" ref="H31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310" s="78" t="str" cm="1">
        <f t="array" ref="I31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311" spans="1:9" hidden="1" x14ac:dyDescent="0.3">
      <c r="A311" s="82" t="str" cm="1">
        <f t="array" ref="A31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311" s="79" t="str" cm="1">
        <f t="array" ref="B31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311" s="108" t="str" cm="1">
        <f t="array" ref="C31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311" s="79" t="str" cm="1">
        <f t="array" ref="D31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311" s="79" t="str" cm="1">
        <f t="array" ref="E31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311" s="80" t="str" cm="1">
        <f t="array" ref="F31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311" s="80" t="str" cm="1">
        <f t="array" ref="G31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311" s="80" t="str" cm="1">
        <f t="array" ref="H31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311" s="78" t="str" cm="1">
        <f t="array" ref="I31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312" spans="1:9" hidden="1" x14ac:dyDescent="0.3">
      <c r="A312" s="82" t="str" cm="1">
        <f t="array" ref="A31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312" s="79" t="str" cm="1">
        <f t="array" ref="B31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312" s="108" t="str" cm="1">
        <f t="array" ref="C31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312" s="79" t="str" cm="1">
        <f t="array" ref="D31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312" s="79" t="str" cm="1">
        <f t="array" ref="E31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312" s="80" t="str" cm="1">
        <f t="array" ref="F31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312" s="80" t="str" cm="1">
        <f t="array" ref="G31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312" s="80" t="str" cm="1">
        <f t="array" ref="H31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312" s="78" t="str" cm="1">
        <f t="array" ref="I31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313" spans="1:9" hidden="1" x14ac:dyDescent="0.3">
      <c r="A313" s="82" t="str" cm="1">
        <f t="array" ref="A31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313" s="79" t="str" cm="1">
        <f t="array" ref="B31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313" s="108" t="str" cm="1">
        <f t="array" ref="C31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313" s="79" t="str" cm="1">
        <f t="array" ref="D31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313" s="79" t="str" cm="1">
        <f t="array" ref="E31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313" s="80" t="str" cm="1">
        <f t="array" ref="F31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313" s="80" t="str" cm="1">
        <f t="array" ref="G31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313" s="80" t="str" cm="1">
        <f t="array" ref="H31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313" s="78" t="str" cm="1">
        <f t="array" ref="I31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314" spans="1:9" hidden="1" x14ac:dyDescent="0.3">
      <c r="A314" s="82" t="str" cm="1">
        <f t="array" ref="A31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314" s="79" t="str" cm="1">
        <f t="array" ref="B31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314" s="108" t="str" cm="1">
        <f t="array" ref="C31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314" s="79" t="str" cm="1">
        <f t="array" ref="D31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314" s="79" t="str" cm="1">
        <f t="array" ref="E31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314" s="80" t="str" cm="1">
        <f t="array" ref="F31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314" s="80" t="str" cm="1">
        <f t="array" ref="G31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314" s="80" t="str" cm="1">
        <f t="array" ref="H31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314" s="78" t="str" cm="1">
        <f t="array" ref="I31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315" spans="1:9" hidden="1" x14ac:dyDescent="0.3">
      <c r="A315" s="82" t="str" cm="1">
        <f t="array" ref="A31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315" s="79" t="str" cm="1">
        <f t="array" ref="B31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315" s="108" t="str" cm="1">
        <f t="array" ref="C31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315" s="79" t="str" cm="1">
        <f t="array" ref="D31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315" s="79" t="str" cm="1">
        <f t="array" ref="E31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315" s="80" t="str" cm="1">
        <f t="array" ref="F31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315" s="80" t="str" cm="1">
        <f t="array" ref="G31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315" s="80" t="str" cm="1">
        <f t="array" ref="H31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315" s="78" t="str" cm="1">
        <f t="array" ref="I31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316" spans="1:9" hidden="1" x14ac:dyDescent="0.3">
      <c r="A316" s="82" t="str" cm="1">
        <f t="array" ref="A31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316" s="79" t="str" cm="1">
        <f t="array" ref="B31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316" s="108" t="str" cm="1">
        <f t="array" ref="C31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316" s="79" t="str" cm="1">
        <f t="array" ref="D31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316" s="79" t="str" cm="1">
        <f t="array" ref="E31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316" s="80" t="str" cm="1">
        <f t="array" ref="F31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316" s="80" t="str" cm="1">
        <f t="array" ref="G31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316" s="80" t="str" cm="1">
        <f t="array" ref="H31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316" s="78" t="str" cm="1">
        <f t="array" ref="I31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317" spans="1:9" hidden="1" x14ac:dyDescent="0.3">
      <c r="A317" s="82" t="str" cm="1">
        <f t="array" ref="A31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317" s="79" t="str" cm="1">
        <f t="array" ref="B31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317" s="108" t="str" cm="1">
        <f t="array" ref="C31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317" s="79" t="str" cm="1">
        <f t="array" ref="D31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317" s="79" t="str" cm="1">
        <f t="array" ref="E31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317" s="80" t="str" cm="1">
        <f t="array" ref="F31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317" s="80" t="str" cm="1">
        <f t="array" ref="G31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317" s="80" t="str" cm="1">
        <f t="array" ref="H31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317" s="78" t="str" cm="1">
        <f t="array" ref="I31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318" spans="1:9" hidden="1" x14ac:dyDescent="0.3">
      <c r="A318" s="82" t="str" cm="1">
        <f t="array" ref="A31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318" s="79" t="str" cm="1">
        <f t="array" ref="B31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318" s="108" t="str" cm="1">
        <f t="array" ref="C31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318" s="79" t="str" cm="1">
        <f t="array" ref="D31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318" s="79" t="str" cm="1">
        <f t="array" ref="E31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318" s="80" t="str" cm="1">
        <f t="array" ref="F31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318" s="80" t="str" cm="1">
        <f t="array" ref="G31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318" s="80" t="str" cm="1">
        <f t="array" ref="H31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318" s="78" t="str" cm="1">
        <f t="array" ref="I31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319" spans="1:9" hidden="1" x14ac:dyDescent="0.3">
      <c r="A319" s="82" t="str" cm="1">
        <f t="array" ref="A31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319" s="79" t="str" cm="1">
        <f t="array" ref="B31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319" s="108" t="str" cm="1">
        <f t="array" ref="C31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319" s="79" t="str" cm="1">
        <f t="array" ref="D31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319" s="79" t="str" cm="1">
        <f t="array" ref="E31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319" s="80" t="str" cm="1">
        <f t="array" ref="F31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319" s="80" t="str" cm="1">
        <f t="array" ref="G31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319" s="80" t="str" cm="1">
        <f t="array" ref="H31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319" s="78" t="str" cm="1">
        <f t="array" ref="I31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320" spans="1:9" hidden="1" x14ac:dyDescent="0.3">
      <c r="A320" s="82" t="str" cm="1">
        <f t="array" ref="A32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320" s="79" t="str" cm="1">
        <f t="array" ref="B32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320" s="108" t="str" cm="1">
        <f t="array" ref="C32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320" s="79" t="str" cm="1">
        <f t="array" ref="D32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320" s="79" t="str" cm="1">
        <f t="array" ref="E32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320" s="80" t="str" cm="1">
        <f t="array" ref="F32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320" s="80" t="str" cm="1">
        <f t="array" ref="G32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320" s="80" t="str" cm="1">
        <f t="array" ref="H32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320" s="78" t="str" cm="1">
        <f t="array" ref="I32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321" spans="1:9" hidden="1" x14ac:dyDescent="0.3">
      <c r="A321" s="82" t="str" cm="1">
        <f t="array" ref="A32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321" s="79" t="str" cm="1">
        <f t="array" ref="B32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321" s="108" t="str" cm="1">
        <f t="array" ref="C32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321" s="79" t="str" cm="1">
        <f t="array" ref="D32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321" s="79" t="str" cm="1">
        <f t="array" ref="E32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321" s="80" t="str" cm="1">
        <f t="array" ref="F32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321" s="80" t="str" cm="1">
        <f t="array" ref="G32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321" s="80" t="str" cm="1">
        <f t="array" ref="H32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321" s="78" t="str" cm="1">
        <f t="array" ref="I32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322" spans="1:9" hidden="1" x14ac:dyDescent="0.3">
      <c r="A322" s="82" t="str" cm="1">
        <f t="array" ref="A32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322" s="79" t="str" cm="1">
        <f t="array" ref="B32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322" s="108" t="str" cm="1">
        <f t="array" ref="C32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322" s="79" t="str" cm="1">
        <f t="array" ref="D32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322" s="79" t="str" cm="1">
        <f t="array" ref="E32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322" s="80" t="str" cm="1">
        <f t="array" ref="F32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322" s="80" t="str" cm="1">
        <f t="array" ref="G32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322" s="80" t="str" cm="1">
        <f t="array" ref="H32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322" s="78" t="str" cm="1">
        <f t="array" ref="I32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323" spans="1:9" hidden="1" x14ac:dyDescent="0.3">
      <c r="A323" s="82" t="str" cm="1">
        <f t="array" ref="A32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323" s="79" t="str" cm="1">
        <f t="array" ref="B32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323" s="108" t="str" cm="1">
        <f t="array" ref="C32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323" s="79" t="str" cm="1">
        <f t="array" ref="D32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323" s="79" t="str" cm="1">
        <f t="array" ref="E32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323" s="80" t="str" cm="1">
        <f t="array" ref="F32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323" s="80" t="str" cm="1">
        <f t="array" ref="G32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323" s="80" t="str" cm="1">
        <f t="array" ref="H32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323" s="78" t="str" cm="1">
        <f t="array" ref="I32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324" spans="1:9" hidden="1" x14ac:dyDescent="0.3">
      <c r="A324" s="82" t="str" cm="1">
        <f t="array" ref="A32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324" s="79" t="str" cm="1">
        <f t="array" ref="B32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324" s="108" t="str" cm="1">
        <f t="array" ref="C32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324" s="79" t="str" cm="1">
        <f t="array" ref="D32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324" s="79" t="str" cm="1">
        <f t="array" ref="E32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324" s="80" t="str" cm="1">
        <f t="array" ref="F32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324" s="80" t="str" cm="1">
        <f t="array" ref="G32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324" s="80" t="str" cm="1">
        <f t="array" ref="H32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324" s="78" t="str" cm="1">
        <f t="array" ref="I32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325" spans="1:9" hidden="1" x14ac:dyDescent="0.3">
      <c r="A325" s="82" t="str" cm="1">
        <f t="array" ref="A32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325" s="79" t="str" cm="1">
        <f t="array" ref="B32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325" s="108" t="str" cm="1">
        <f t="array" ref="C32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325" s="79" t="str" cm="1">
        <f t="array" ref="D32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325" s="79" t="str" cm="1">
        <f t="array" ref="E32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325" s="80" t="str" cm="1">
        <f t="array" ref="F32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325" s="80" t="str" cm="1">
        <f t="array" ref="G32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325" s="80" t="str" cm="1">
        <f t="array" ref="H32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325" s="78" t="str" cm="1">
        <f t="array" ref="I32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326" spans="1:9" hidden="1" x14ac:dyDescent="0.3">
      <c r="A326" s="82" t="str" cm="1">
        <f t="array" ref="A32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326" s="79" t="str" cm="1">
        <f t="array" ref="B32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326" s="108" t="str" cm="1">
        <f t="array" ref="C32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326" s="79" t="str" cm="1">
        <f t="array" ref="D32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326" s="79" t="str" cm="1">
        <f t="array" ref="E32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326" s="80" t="str" cm="1">
        <f t="array" ref="F32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326" s="80" t="str" cm="1">
        <f t="array" ref="G32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326" s="80" t="str" cm="1">
        <f t="array" ref="H32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326" s="78" t="str" cm="1">
        <f t="array" ref="I32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327" spans="1:9" hidden="1" x14ac:dyDescent="0.3">
      <c r="A327" s="82" t="str" cm="1">
        <f t="array" ref="A32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327" s="79" t="str" cm="1">
        <f t="array" ref="B32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327" s="108" t="str" cm="1">
        <f t="array" ref="C32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327" s="79" t="str" cm="1">
        <f t="array" ref="D32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327" s="79" t="str" cm="1">
        <f t="array" ref="E32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327" s="80" t="str" cm="1">
        <f t="array" ref="F32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327" s="80" t="str" cm="1">
        <f t="array" ref="G32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327" s="80" t="str" cm="1">
        <f t="array" ref="H32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327" s="78" t="str" cm="1">
        <f t="array" ref="I32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328" spans="1:9" hidden="1" x14ac:dyDescent="0.3">
      <c r="A328" s="82" t="str" cm="1">
        <f t="array" ref="A32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328" s="79" t="str" cm="1">
        <f t="array" ref="B32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328" s="108" t="str" cm="1">
        <f t="array" ref="C32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328" s="79" t="str" cm="1">
        <f t="array" ref="D32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328" s="79" t="str" cm="1">
        <f t="array" ref="E32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328" s="80" t="str" cm="1">
        <f t="array" ref="F32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328" s="80" t="str" cm="1">
        <f t="array" ref="G32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328" s="80" t="str" cm="1">
        <f t="array" ref="H32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328" s="78" t="str" cm="1">
        <f t="array" ref="I32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329" spans="1:9" hidden="1" x14ac:dyDescent="0.3">
      <c r="A329" s="82" t="str" cm="1">
        <f t="array" ref="A32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329" s="79" t="str" cm="1">
        <f t="array" ref="B32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329" s="108" t="str" cm="1">
        <f t="array" ref="C32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329" s="79" t="str" cm="1">
        <f t="array" ref="D32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329" s="79" t="str" cm="1">
        <f t="array" ref="E32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329" s="80" t="str" cm="1">
        <f t="array" ref="F32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329" s="80" t="str" cm="1">
        <f t="array" ref="G32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329" s="80" t="str" cm="1">
        <f t="array" ref="H32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329" s="78" t="str" cm="1">
        <f t="array" ref="I32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330" spans="1:9" hidden="1" x14ac:dyDescent="0.3">
      <c r="A330" s="82" t="str" cm="1">
        <f t="array" ref="A33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330" s="79" t="str" cm="1">
        <f t="array" ref="B33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330" s="108" t="str" cm="1">
        <f t="array" ref="C33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330" s="79" t="str" cm="1">
        <f t="array" ref="D33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330" s="79" t="str" cm="1">
        <f t="array" ref="E33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330" s="80" t="str" cm="1">
        <f t="array" ref="F33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330" s="80" t="str" cm="1">
        <f t="array" ref="G33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330" s="80" t="str" cm="1">
        <f t="array" ref="H33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330" s="78" t="str" cm="1">
        <f t="array" ref="I33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331" spans="1:9" hidden="1" x14ac:dyDescent="0.3">
      <c r="A331" s="82" t="str" cm="1">
        <f t="array" ref="A33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331" s="79" t="str" cm="1">
        <f t="array" ref="B33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331" s="108" t="str" cm="1">
        <f t="array" ref="C33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331" s="79" t="str" cm="1">
        <f t="array" ref="D33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331" s="79" t="str" cm="1">
        <f t="array" ref="E33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331" s="80" t="str" cm="1">
        <f t="array" ref="F33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331" s="80" t="str" cm="1">
        <f t="array" ref="G33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331" s="80" t="str" cm="1">
        <f t="array" ref="H33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331" s="78" t="str" cm="1">
        <f t="array" ref="I33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332" spans="1:9" hidden="1" x14ac:dyDescent="0.3">
      <c r="A332" s="82" t="str" cm="1">
        <f t="array" ref="A33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332" s="79" t="str" cm="1">
        <f t="array" ref="B33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332" s="108" t="str" cm="1">
        <f t="array" ref="C33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332" s="79" t="str" cm="1">
        <f t="array" ref="D33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332" s="79" t="str" cm="1">
        <f t="array" ref="E33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332" s="80" t="str" cm="1">
        <f t="array" ref="F33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332" s="80" t="str" cm="1">
        <f t="array" ref="G33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332" s="80" t="str" cm="1">
        <f t="array" ref="H33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332" s="78" t="str" cm="1">
        <f t="array" ref="I33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333" spans="1:9" hidden="1" x14ac:dyDescent="0.3">
      <c r="A333" s="82" t="str" cm="1">
        <f t="array" ref="A33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333" s="79" t="str" cm="1">
        <f t="array" ref="B33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333" s="108" t="str" cm="1">
        <f t="array" ref="C33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333" s="79" t="str" cm="1">
        <f t="array" ref="D33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333" s="79" t="str" cm="1">
        <f t="array" ref="E33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333" s="80" t="str" cm="1">
        <f t="array" ref="F33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333" s="80" t="str" cm="1">
        <f t="array" ref="G33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333" s="80" t="str" cm="1">
        <f t="array" ref="H33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333" s="78" t="str" cm="1">
        <f t="array" ref="I33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334" spans="1:9" hidden="1" x14ac:dyDescent="0.3">
      <c r="A334" s="82" t="str" cm="1">
        <f t="array" ref="A33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334" s="79" t="str" cm="1">
        <f t="array" ref="B33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334" s="108" t="str" cm="1">
        <f t="array" ref="C33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334" s="79" t="str" cm="1">
        <f t="array" ref="D33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334" s="79" t="str" cm="1">
        <f t="array" ref="E33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334" s="80" t="str" cm="1">
        <f t="array" ref="F33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334" s="80" t="str" cm="1">
        <f t="array" ref="G33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334" s="80" t="str" cm="1">
        <f t="array" ref="H33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334" s="78" t="str" cm="1">
        <f t="array" ref="I33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335" spans="1:9" hidden="1" x14ac:dyDescent="0.3">
      <c r="A335" s="82" t="str" cm="1">
        <f t="array" ref="A33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335" s="79" t="str" cm="1">
        <f t="array" ref="B33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335" s="108" t="str" cm="1">
        <f t="array" ref="C33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335" s="79" t="str" cm="1">
        <f t="array" ref="D33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335" s="79" t="str" cm="1">
        <f t="array" ref="E33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335" s="80" t="str" cm="1">
        <f t="array" ref="F33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335" s="80" t="str" cm="1">
        <f t="array" ref="G33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335" s="80" t="str" cm="1">
        <f t="array" ref="H33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335" s="78" t="str" cm="1">
        <f t="array" ref="I33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336" spans="1:9" hidden="1" x14ac:dyDescent="0.3">
      <c r="A336" s="82" t="str" cm="1">
        <f t="array" ref="A33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336" s="79" t="str" cm="1">
        <f t="array" ref="B33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336" s="108" t="str" cm="1">
        <f t="array" ref="C33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336" s="79" t="str" cm="1">
        <f t="array" ref="D33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336" s="79" t="str" cm="1">
        <f t="array" ref="E33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336" s="80" t="str" cm="1">
        <f t="array" ref="F33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336" s="80" t="str" cm="1">
        <f t="array" ref="G33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336" s="80" t="str" cm="1">
        <f t="array" ref="H33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336" s="78" t="str" cm="1">
        <f t="array" ref="I33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337" spans="1:9" hidden="1" x14ac:dyDescent="0.3">
      <c r="A337" s="82" t="str" cm="1">
        <f t="array" ref="A33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337" s="79" t="str" cm="1">
        <f t="array" ref="B33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337" s="108" t="str" cm="1">
        <f t="array" ref="C33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337" s="79" t="str" cm="1">
        <f t="array" ref="D33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337" s="79" t="str" cm="1">
        <f t="array" ref="E33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337" s="80" t="str" cm="1">
        <f t="array" ref="F33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337" s="80" t="str" cm="1">
        <f t="array" ref="G33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337" s="80" t="str" cm="1">
        <f t="array" ref="H33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337" s="78" t="str" cm="1">
        <f t="array" ref="I33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338" spans="1:9" hidden="1" x14ac:dyDescent="0.3">
      <c r="A338" s="82" t="str" cm="1">
        <f t="array" ref="A33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338" s="79" t="str" cm="1">
        <f t="array" ref="B33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338" s="108" t="str" cm="1">
        <f t="array" ref="C33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338" s="79" t="str" cm="1">
        <f t="array" ref="D33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338" s="79" t="str" cm="1">
        <f t="array" ref="E33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338" s="80" t="str" cm="1">
        <f t="array" ref="F33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338" s="80" t="str" cm="1">
        <f t="array" ref="G33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338" s="80" t="str" cm="1">
        <f t="array" ref="H33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338" s="78" t="str" cm="1">
        <f t="array" ref="I33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339" spans="1:9" hidden="1" x14ac:dyDescent="0.3">
      <c r="A339" s="82" t="str" cm="1">
        <f t="array" ref="A33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339" s="79" t="str" cm="1">
        <f t="array" ref="B33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339" s="108" t="str" cm="1">
        <f t="array" ref="C33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339" s="79" t="str" cm="1">
        <f t="array" ref="D33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339" s="79" t="str" cm="1">
        <f t="array" ref="E33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339" s="80" t="str" cm="1">
        <f t="array" ref="F33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339" s="80" t="str" cm="1">
        <f t="array" ref="G33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339" s="80" t="str" cm="1">
        <f t="array" ref="H33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339" s="78" t="str" cm="1">
        <f t="array" ref="I33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340" spans="1:9" hidden="1" x14ac:dyDescent="0.3">
      <c r="A340" s="82" t="str" cm="1">
        <f t="array" ref="A34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340" s="79" t="str" cm="1">
        <f t="array" ref="B34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340" s="108" t="str" cm="1">
        <f t="array" ref="C34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340" s="79" t="str" cm="1">
        <f t="array" ref="D34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340" s="79" t="str" cm="1">
        <f t="array" ref="E34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340" s="80" t="str" cm="1">
        <f t="array" ref="F34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340" s="80" t="str" cm="1">
        <f t="array" ref="G34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340" s="80" t="str" cm="1">
        <f t="array" ref="H34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340" s="78" t="str" cm="1">
        <f t="array" ref="I34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341" spans="1:9" hidden="1" x14ac:dyDescent="0.3">
      <c r="A341" s="82" t="str" cm="1">
        <f t="array" ref="A34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341" s="79" t="str" cm="1">
        <f t="array" ref="B34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341" s="108" t="str" cm="1">
        <f t="array" ref="C34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341" s="79" t="str" cm="1">
        <f t="array" ref="D34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341" s="79" t="str" cm="1">
        <f t="array" ref="E34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341" s="80" t="str" cm="1">
        <f t="array" ref="F34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341" s="80" t="str" cm="1">
        <f t="array" ref="G34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341" s="80" t="str" cm="1">
        <f t="array" ref="H34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341" s="78" t="str" cm="1">
        <f t="array" ref="I34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342" spans="1:9" hidden="1" x14ac:dyDescent="0.3">
      <c r="A342" s="82" t="str" cm="1">
        <f t="array" ref="A34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342" s="79" t="str" cm="1">
        <f t="array" ref="B34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342" s="108" t="str" cm="1">
        <f t="array" ref="C34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342" s="79" t="str" cm="1">
        <f t="array" ref="D34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342" s="79" t="str" cm="1">
        <f t="array" ref="E34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342" s="80" t="str" cm="1">
        <f t="array" ref="F34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342" s="80" t="str" cm="1">
        <f t="array" ref="G34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342" s="80" t="str" cm="1">
        <f t="array" ref="H34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342" s="78" t="str" cm="1">
        <f t="array" ref="I34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343" spans="1:9" hidden="1" x14ac:dyDescent="0.3">
      <c r="A343" s="82" t="str" cm="1">
        <f t="array" ref="A34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343" s="79" t="str" cm="1">
        <f t="array" ref="B34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343" s="108" t="str" cm="1">
        <f t="array" ref="C34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343" s="79" t="str" cm="1">
        <f t="array" ref="D34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343" s="79" t="str" cm="1">
        <f t="array" ref="E34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343" s="80" t="str" cm="1">
        <f t="array" ref="F34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343" s="80" t="str" cm="1">
        <f t="array" ref="G34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343" s="80" t="str" cm="1">
        <f t="array" ref="H34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343" s="78" t="str" cm="1">
        <f t="array" ref="I34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344" spans="1:9" hidden="1" x14ac:dyDescent="0.3">
      <c r="A344" s="82" t="str" cm="1">
        <f t="array" ref="A34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344" s="79" t="str" cm="1">
        <f t="array" ref="B34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344" s="108" t="str" cm="1">
        <f t="array" ref="C34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344" s="79" t="str" cm="1">
        <f t="array" ref="D34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344" s="79" t="str" cm="1">
        <f t="array" ref="E34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344" s="80" t="str" cm="1">
        <f t="array" ref="F34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344" s="80" t="str" cm="1">
        <f t="array" ref="G34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344" s="80" t="str" cm="1">
        <f t="array" ref="H34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344" s="78" t="str" cm="1">
        <f t="array" ref="I34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345" spans="1:9" hidden="1" x14ac:dyDescent="0.3">
      <c r="A345" s="82" t="str" cm="1">
        <f t="array" ref="A34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345" s="79" t="str" cm="1">
        <f t="array" ref="B34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345" s="108" t="str" cm="1">
        <f t="array" ref="C34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345" s="79" t="str" cm="1">
        <f t="array" ref="D34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345" s="79" t="str" cm="1">
        <f t="array" ref="E34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345" s="80" t="str" cm="1">
        <f t="array" ref="F34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345" s="80" t="str" cm="1">
        <f t="array" ref="G34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345" s="80" t="str" cm="1">
        <f t="array" ref="H34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345" s="78" t="str" cm="1">
        <f t="array" ref="I34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346" spans="1:9" hidden="1" x14ac:dyDescent="0.3">
      <c r="A346" s="82" t="str" cm="1">
        <f t="array" ref="A34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346" s="79" t="str" cm="1">
        <f t="array" ref="B34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346" s="108" t="str" cm="1">
        <f t="array" ref="C34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346" s="79" t="str" cm="1">
        <f t="array" ref="D34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346" s="79" t="str" cm="1">
        <f t="array" ref="E34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346" s="80" t="str" cm="1">
        <f t="array" ref="F34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346" s="80" t="str" cm="1">
        <f t="array" ref="G34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346" s="80" t="str" cm="1">
        <f t="array" ref="H34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346" s="78" t="str" cm="1">
        <f t="array" ref="I34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347" spans="1:9" hidden="1" x14ac:dyDescent="0.3">
      <c r="A347" s="82" t="str" cm="1">
        <f t="array" ref="A34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347" s="79" t="str" cm="1">
        <f t="array" ref="B34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347" s="108" t="str" cm="1">
        <f t="array" ref="C34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347" s="79" t="str" cm="1">
        <f t="array" ref="D34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347" s="79" t="str" cm="1">
        <f t="array" ref="E34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347" s="80" t="str" cm="1">
        <f t="array" ref="F34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347" s="80" t="str" cm="1">
        <f t="array" ref="G34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347" s="80" t="str" cm="1">
        <f t="array" ref="H34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347" s="78" t="str" cm="1">
        <f t="array" ref="I34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348" spans="1:9" hidden="1" x14ac:dyDescent="0.3">
      <c r="A348" s="82" t="str" cm="1">
        <f t="array" ref="A34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348" s="79" t="str" cm="1">
        <f t="array" ref="B34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348" s="108" t="str" cm="1">
        <f t="array" ref="C34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348" s="79" t="str" cm="1">
        <f t="array" ref="D34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348" s="79" t="str" cm="1">
        <f t="array" ref="E34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348" s="80" t="str" cm="1">
        <f t="array" ref="F34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348" s="80" t="str" cm="1">
        <f t="array" ref="G34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348" s="80" t="str" cm="1">
        <f t="array" ref="H34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348" s="78" t="str" cm="1">
        <f t="array" ref="I34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349" spans="1:9" hidden="1" x14ac:dyDescent="0.3">
      <c r="A349" s="82" t="str" cm="1">
        <f t="array" ref="A34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349" s="79" t="str" cm="1">
        <f t="array" ref="B34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349" s="108" t="str" cm="1">
        <f t="array" ref="C34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349" s="79" t="str" cm="1">
        <f t="array" ref="D34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349" s="79" t="str" cm="1">
        <f t="array" ref="E34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349" s="80" t="str" cm="1">
        <f t="array" ref="F34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349" s="80" t="str" cm="1">
        <f t="array" ref="G34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349" s="80" t="str" cm="1">
        <f t="array" ref="H34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349" s="78" t="str" cm="1">
        <f t="array" ref="I34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350" spans="1:9" hidden="1" x14ac:dyDescent="0.3">
      <c r="A350" s="82" t="str" cm="1">
        <f t="array" ref="A35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350" s="79" t="str" cm="1">
        <f t="array" ref="B35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350" s="108" t="str" cm="1">
        <f t="array" ref="C35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350" s="79" t="str" cm="1">
        <f t="array" ref="D35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350" s="79" t="str" cm="1">
        <f t="array" ref="E35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350" s="80" t="str" cm="1">
        <f t="array" ref="F35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350" s="80" t="str" cm="1">
        <f t="array" ref="G35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350" s="80" t="str" cm="1">
        <f t="array" ref="H35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350" s="78" t="str" cm="1">
        <f t="array" ref="I35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351" spans="1:9" hidden="1" x14ac:dyDescent="0.3">
      <c r="A351" s="82" t="str" cm="1">
        <f t="array" ref="A35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351" s="79" t="str" cm="1">
        <f t="array" ref="B35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351" s="108" t="str" cm="1">
        <f t="array" ref="C35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351" s="79" t="str" cm="1">
        <f t="array" ref="D35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351" s="79" t="str" cm="1">
        <f t="array" ref="E35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351" s="80" t="str" cm="1">
        <f t="array" ref="F35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351" s="80" t="str" cm="1">
        <f t="array" ref="G35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351" s="80" t="str" cm="1">
        <f t="array" ref="H35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351" s="78" t="str" cm="1">
        <f t="array" ref="I35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352" spans="1:9" hidden="1" x14ac:dyDescent="0.3">
      <c r="A352" s="82" t="str" cm="1">
        <f t="array" ref="A35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352" s="79" t="str" cm="1">
        <f t="array" ref="B35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352" s="108" t="str" cm="1">
        <f t="array" ref="C35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352" s="79" t="str" cm="1">
        <f t="array" ref="D35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352" s="79" t="str" cm="1">
        <f t="array" ref="E35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352" s="80" t="str" cm="1">
        <f t="array" ref="F35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352" s="80" t="str" cm="1">
        <f t="array" ref="G35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352" s="80" t="str" cm="1">
        <f t="array" ref="H35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352" s="78" t="str" cm="1">
        <f t="array" ref="I35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353" spans="1:9" hidden="1" x14ac:dyDescent="0.3">
      <c r="A353" s="82" t="str" cm="1">
        <f t="array" ref="A35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353" s="79" t="str" cm="1">
        <f t="array" ref="B35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353" s="108" t="str" cm="1">
        <f t="array" ref="C35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353" s="79" t="str" cm="1">
        <f t="array" ref="D35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353" s="79" t="str" cm="1">
        <f t="array" ref="E35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353" s="80" t="str" cm="1">
        <f t="array" ref="F35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353" s="80" t="str" cm="1">
        <f t="array" ref="G35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353" s="80" t="str" cm="1">
        <f t="array" ref="H35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353" s="78" t="str" cm="1">
        <f t="array" ref="I35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354" spans="1:9" hidden="1" x14ac:dyDescent="0.3">
      <c r="A354" s="82" t="str" cm="1">
        <f t="array" ref="A35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354" s="79" t="str" cm="1">
        <f t="array" ref="B35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354" s="108" t="str" cm="1">
        <f t="array" ref="C35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354" s="79" t="str" cm="1">
        <f t="array" ref="D35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354" s="79" t="str" cm="1">
        <f t="array" ref="E35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354" s="80" t="str" cm="1">
        <f t="array" ref="F35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354" s="80" t="str" cm="1">
        <f t="array" ref="G35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354" s="80" t="str" cm="1">
        <f t="array" ref="H35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354" s="78" t="str" cm="1">
        <f t="array" ref="I35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355" spans="1:9" hidden="1" x14ac:dyDescent="0.3">
      <c r="A355" s="82" t="str" cm="1">
        <f t="array" ref="A35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355" s="79" t="str" cm="1">
        <f t="array" ref="B35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355" s="108" t="str" cm="1">
        <f t="array" ref="C35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355" s="79" t="str" cm="1">
        <f t="array" ref="D35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355" s="79" t="str" cm="1">
        <f t="array" ref="E35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355" s="80" t="str" cm="1">
        <f t="array" ref="F35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355" s="80" t="str" cm="1">
        <f t="array" ref="G35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355" s="80" t="str" cm="1">
        <f t="array" ref="H35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355" s="78" t="str" cm="1">
        <f t="array" ref="I35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356" spans="1:9" hidden="1" x14ac:dyDescent="0.3">
      <c r="A356" s="82" t="str" cm="1">
        <f t="array" ref="A35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356" s="79" t="str" cm="1">
        <f t="array" ref="B35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356" s="108" t="str" cm="1">
        <f t="array" ref="C35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356" s="79" t="str" cm="1">
        <f t="array" ref="D35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356" s="79" t="str" cm="1">
        <f t="array" ref="E35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356" s="80" t="str" cm="1">
        <f t="array" ref="F35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356" s="80" t="str" cm="1">
        <f t="array" ref="G35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356" s="80" t="str" cm="1">
        <f t="array" ref="H35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356" s="78" t="str" cm="1">
        <f t="array" ref="I35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357" spans="1:9" hidden="1" x14ac:dyDescent="0.3">
      <c r="A357" s="82" t="str" cm="1">
        <f t="array" ref="A35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357" s="79" t="str" cm="1">
        <f t="array" ref="B35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357" s="108" t="str" cm="1">
        <f t="array" ref="C35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357" s="79" t="str" cm="1">
        <f t="array" ref="D35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357" s="79" t="str" cm="1">
        <f t="array" ref="E35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357" s="80" t="str" cm="1">
        <f t="array" ref="F35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357" s="80" t="str" cm="1">
        <f t="array" ref="G35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357" s="80" t="str" cm="1">
        <f t="array" ref="H35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357" s="78" t="str" cm="1">
        <f t="array" ref="I35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358" spans="1:9" hidden="1" x14ac:dyDescent="0.3">
      <c r="A358" s="82" t="str" cm="1">
        <f t="array" ref="A35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358" s="79" t="str" cm="1">
        <f t="array" ref="B35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358" s="108" t="str" cm="1">
        <f t="array" ref="C35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358" s="79" t="str" cm="1">
        <f t="array" ref="D35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358" s="79" t="str" cm="1">
        <f t="array" ref="E35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358" s="80" t="str" cm="1">
        <f t="array" ref="F35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358" s="80" t="str" cm="1">
        <f t="array" ref="G35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358" s="80" t="str" cm="1">
        <f t="array" ref="H35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358" s="78" t="str" cm="1">
        <f t="array" ref="I35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359" spans="1:9" hidden="1" x14ac:dyDescent="0.3">
      <c r="A359" s="82" t="str" cm="1">
        <f t="array" ref="A35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359" s="79" t="str" cm="1">
        <f t="array" ref="B35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359" s="108" t="str" cm="1">
        <f t="array" ref="C35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359" s="79" t="str" cm="1">
        <f t="array" ref="D35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359" s="79" t="str" cm="1">
        <f t="array" ref="E35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359" s="80" t="str" cm="1">
        <f t="array" ref="F35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359" s="80" t="str" cm="1">
        <f t="array" ref="G35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359" s="80" t="str" cm="1">
        <f t="array" ref="H35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359" s="78" t="str" cm="1">
        <f t="array" ref="I35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360" spans="1:9" hidden="1" x14ac:dyDescent="0.3">
      <c r="A360" s="82" t="str" cm="1">
        <f t="array" ref="A36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360" s="79" t="str" cm="1">
        <f t="array" ref="B36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360" s="108" t="str" cm="1">
        <f t="array" ref="C36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360" s="79" t="str" cm="1">
        <f t="array" ref="D36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360" s="79" t="str" cm="1">
        <f t="array" ref="E36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360" s="80" t="str" cm="1">
        <f t="array" ref="F36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360" s="80" t="str" cm="1">
        <f t="array" ref="G36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360" s="80" t="str" cm="1">
        <f t="array" ref="H36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360" s="78" t="str" cm="1">
        <f t="array" ref="I36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361" spans="1:9" hidden="1" x14ac:dyDescent="0.3">
      <c r="A361" s="82" t="str" cm="1">
        <f t="array" ref="A36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361" s="79" t="str" cm="1">
        <f t="array" ref="B36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361" s="108" t="str" cm="1">
        <f t="array" ref="C36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361" s="79" t="str" cm="1">
        <f t="array" ref="D36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361" s="79" t="str" cm="1">
        <f t="array" ref="E36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361" s="80" t="str" cm="1">
        <f t="array" ref="F36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361" s="80" t="str" cm="1">
        <f t="array" ref="G36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361" s="80" t="str" cm="1">
        <f t="array" ref="H36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361" s="78" t="str" cm="1">
        <f t="array" ref="I36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362" spans="1:9" hidden="1" x14ac:dyDescent="0.3">
      <c r="A362" s="82" t="str" cm="1">
        <f t="array" ref="A36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362" s="79" t="str" cm="1">
        <f t="array" ref="B36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362" s="108" t="str" cm="1">
        <f t="array" ref="C36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362" s="79" t="str" cm="1">
        <f t="array" ref="D36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362" s="79" t="str" cm="1">
        <f t="array" ref="E36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362" s="80" t="str" cm="1">
        <f t="array" ref="F36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362" s="80" t="str" cm="1">
        <f t="array" ref="G36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362" s="80" t="str" cm="1">
        <f t="array" ref="H36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362" s="78" t="str" cm="1">
        <f t="array" ref="I36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363" spans="1:9" hidden="1" x14ac:dyDescent="0.3">
      <c r="A363" s="82" t="str" cm="1">
        <f t="array" ref="A36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363" s="79" t="str" cm="1">
        <f t="array" ref="B36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363" s="108" t="str" cm="1">
        <f t="array" ref="C36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363" s="79" t="str" cm="1">
        <f t="array" ref="D36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363" s="79" t="str" cm="1">
        <f t="array" ref="E36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363" s="80" t="str" cm="1">
        <f t="array" ref="F36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363" s="80" t="str" cm="1">
        <f t="array" ref="G36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363" s="80" t="str" cm="1">
        <f t="array" ref="H36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363" s="78" t="str" cm="1">
        <f t="array" ref="I36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364" spans="1:9" hidden="1" x14ac:dyDescent="0.3">
      <c r="A364" s="82" t="str" cm="1">
        <f t="array" ref="A36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364" s="79" t="str" cm="1">
        <f t="array" ref="B36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364" s="108" t="str" cm="1">
        <f t="array" ref="C36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364" s="79" t="str" cm="1">
        <f t="array" ref="D36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364" s="79" t="str" cm="1">
        <f t="array" ref="E36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364" s="80" t="str" cm="1">
        <f t="array" ref="F36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364" s="80" t="str" cm="1">
        <f t="array" ref="G36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364" s="80" t="str" cm="1">
        <f t="array" ref="H36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364" s="78" t="str" cm="1">
        <f t="array" ref="I36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365" spans="1:9" hidden="1" x14ac:dyDescent="0.3">
      <c r="A365" s="82" t="str" cm="1">
        <f t="array" ref="A36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365" s="79" t="str" cm="1">
        <f t="array" ref="B36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365" s="108" t="str" cm="1">
        <f t="array" ref="C36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365" s="79" t="str" cm="1">
        <f t="array" ref="D36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365" s="79" t="str" cm="1">
        <f t="array" ref="E36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365" s="80" t="str" cm="1">
        <f t="array" ref="F36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365" s="80" t="str" cm="1">
        <f t="array" ref="G36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365" s="80" t="str" cm="1">
        <f t="array" ref="H36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365" s="78" t="str" cm="1">
        <f t="array" ref="I36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366" spans="1:9" hidden="1" x14ac:dyDescent="0.3">
      <c r="A366" s="82" t="str" cm="1">
        <f t="array" ref="A36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366" s="79" t="str" cm="1">
        <f t="array" ref="B36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366" s="108" t="str" cm="1">
        <f t="array" ref="C36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366" s="79" t="str" cm="1">
        <f t="array" ref="D36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366" s="79" t="str" cm="1">
        <f t="array" ref="E36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366" s="80" t="str" cm="1">
        <f t="array" ref="F36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366" s="80" t="str" cm="1">
        <f t="array" ref="G36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366" s="80" t="str" cm="1">
        <f t="array" ref="H36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366" s="78" t="str" cm="1">
        <f t="array" ref="I36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367" spans="1:9" hidden="1" x14ac:dyDescent="0.3">
      <c r="A367" s="82" t="str" cm="1">
        <f t="array" ref="A36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367" s="79" t="str" cm="1">
        <f t="array" ref="B36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367" s="108" t="str" cm="1">
        <f t="array" ref="C36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367" s="79" t="str" cm="1">
        <f t="array" ref="D36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367" s="79" t="str" cm="1">
        <f t="array" ref="E36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367" s="80" t="str" cm="1">
        <f t="array" ref="F36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367" s="80" t="str" cm="1">
        <f t="array" ref="G36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367" s="80" t="str" cm="1">
        <f t="array" ref="H36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367" s="78" t="str" cm="1">
        <f t="array" ref="I36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368" spans="1:9" hidden="1" x14ac:dyDescent="0.3">
      <c r="A368" s="82" t="str" cm="1">
        <f t="array" ref="A36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368" s="79" t="str" cm="1">
        <f t="array" ref="B36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368" s="108" t="str" cm="1">
        <f t="array" ref="C36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368" s="79" t="str" cm="1">
        <f t="array" ref="D36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368" s="79" t="str" cm="1">
        <f t="array" ref="E36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368" s="80" t="str" cm="1">
        <f t="array" ref="F36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368" s="80" t="str" cm="1">
        <f t="array" ref="G36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368" s="80" t="str" cm="1">
        <f t="array" ref="H36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368" s="78" t="str" cm="1">
        <f t="array" ref="I36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369" spans="1:9" hidden="1" x14ac:dyDescent="0.3">
      <c r="A369" s="82" t="str" cm="1">
        <f t="array" ref="A36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369" s="79" t="str" cm="1">
        <f t="array" ref="B36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369" s="108" t="str" cm="1">
        <f t="array" ref="C36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369" s="79" t="str" cm="1">
        <f t="array" ref="D36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369" s="79" t="str" cm="1">
        <f t="array" ref="E36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369" s="80" t="str" cm="1">
        <f t="array" ref="F36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369" s="80" t="str" cm="1">
        <f t="array" ref="G36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369" s="80" t="str" cm="1">
        <f t="array" ref="H36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369" s="78" t="str" cm="1">
        <f t="array" ref="I36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370" spans="1:9" hidden="1" x14ac:dyDescent="0.3">
      <c r="A370" s="82" t="str" cm="1">
        <f t="array" ref="A37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370" s="79" t="str" cm="1">
        <f t="array" ref="B37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370" s="108" t="str" cm="1">
        <f t="array" ref="C37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370" s="79" t="str" cm="1">
        <f t="array" ref="D37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370" s="79" t="str" cm="1">
        <f t="array" ref="E37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370" s="80" t="str" cm="1">
        <f t="array" ref="F37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370" s="80" t="str" cm="1">
        <f t="array" ref="G37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370" s="80" t="str" cm="1">
        <f t="array" ref="H37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370" s="78" t="str" cm="1">
        <f t="array" ref="I37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371" spans="1:9" hidden="1" x14ac:dyDescent="0.3">
      <c r="A371" s="82" t="str" cm="1">
        <f t="array" ref="A37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371" s="79" t="str" cm="1">
        <f t="array" ref="B37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371" s="108" t="str" cm="1">
        <f t="array" ref="C37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371" s="79" t="str" cm="1">
        <f t="array" ref="D37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371" s="79" t="str" cm="1">
        <f t="array" ref="E37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371" s="80" t="str" cm="1">
        <f t="array" ref="F37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371" s="80" t="str" cm="1">
        <f t="array" ref="G37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371" s="80" t="str" cm="1">
        <f t="array" ref="H37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371" s="78" t="str" cm="1">
        <f t="array" ref="I37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372" spans="1:9" hidden="1" x14ac:dyDescent="0.3">
      <c r="A372" s="82" t="str" cm="1">
        <f t="array" ref="A37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372" s="79" t="str" cm="1">
        <f t="array" ref="B37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372" s="108" t="str" cm="1">
        <f t="array" ref="C37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372" s="79" t="str" cm="1">
        <f t="array" ref="D37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372" s="79" t="str" cm="1">
        <f t="array" ref="E37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372" s="80" t="str" cm="1">
        <f t="array" ref="F37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372" s="80" t="str" cm="1">
        <f t="array" ref="G37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372" s="80" t="str" cm="1">
        <f t="array" ref="H37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372" s="78" t="str" cm="1">
        <f t="array" ref="I37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373" spans="1:9" hidden="1" x14ac:dyDescent="0.3">
      <c r="A373" s="82" t="str" cm="1">
        <f t="array" ref="A37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373" s="79" t="str" cm="1">
        <f t="array" ref="B37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373" s="108" t="str" cm="1">
        <f t="array" ref="C37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373" s="79" t="str" cm="1">
        <f t="array" ref="D37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373" s="79" t="str" cm="1">
        <f t="array" ref="E37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373" s="80" t="str" cm="1">
        <f t="array" ref="F37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373" s="80" t="str" cm="1">
        <f t="array" ref="G37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373" s="80" t="str" cm="1">
        <f t="array" ref="H37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373" s="78" t="str" cm="1">
        <f t="array" ref="I37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374" spans="1:9" hidden="1" x14ac:dyDescent="0.3">
      <c r="A374" s="82" t="str" cm="1">
        <f t="array" ref="A37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374" s="79" t="str" cm="1">
        <f t="array" ref="B37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374" s="108" t="str" cm="1">
        <f t="array" ref="C37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374" s="79" t="str" cm="1">
        <f t="array" ref="D37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374" s="79" t="str" cm="1">
        <f t="array" ref="E37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374" s="80" t="str" cm="1">
        <f t="array" ref="F37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374" s="80" t="str" cm="1">
        <f t="array" ref="G37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374" s="80" t="str" cm="1">
        <f t="array" ref="H37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374" s="78" t="str" cm="1">
        <f t="array" ref="I37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375" spans="1:9" hidden="1" x14ac:dyDescent="0.3">
      <c r="A375" s="82" t="str" cm="1">
        <f t="array" ref="A37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375" s="79" t="str" cm="1">
        <f t="array" ref="B37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375" s="108" t="str" cm="1">
        <f t="array" ref="C37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375" s="79" t="str" cm="1">
        <f t="array" ref="D37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375" s="79" t="str" cm="1">
        <f t="array" ref="E37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375" s="80" t="str" cm="1">
        <f t="array" ref="F37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375" s="80" t="str" cm="1">
        <f t="array" ref="G37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375" s="80" t="str" cm="1">
        <f t="array" ref="H37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375" s="78" t="str" cm="1">
        <f t="array" ref="I37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376" spans="1:9" hidden="1" x14ac:dyDescent="0.3">
      <c r="A376" s="82" t="str" cm="1">
        <f t="array" ref="A37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376" s="79" t="str" cm="1">
        <f t="array" ref="B37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376" s="108" t="str" cm="1">
        <f t="array" ref="C37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376" s="79" t="str" cm="1">
        <f t="array" ref="D37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376" s="79" t="str" cm="1">
        <f t="array" ref="E37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376" s="80" t="str" cm="1">
        <f t="array" ref="F37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376" s="80" t="str" cm="1">
        <f t="array" ref="G37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376" s="80" t="str" cm="1">
        <f t="array" ref="H37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376" s="78" t="str" cm="1">
        <f t="array" ref="I37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377" spans="1:9" hidden="1" x14ac:dyDescent="0.3">
      <c r="A377" s="82" t="str" cm="1">
        <f t="array" ref="A37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377" s="79" t="str" cm="1">
        <f t="array" ref="B37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377" s="108" t="str" cm="1">
        <f t="array" ref="C37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377" s="79" t="str" cm="1">
        <f t="array" ref="D37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377" s="79" t="str" cm="1">
        <f t="array" ref="E37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377" s="80" t="str" cm="1">
        <f t="array" ref="F37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377" s="80" t="str" cm="1">
        <f t="array" ref="G37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377" s="80" t="str" cm="1">
        <f t="array" ref="H37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377" s="78" t="str" cm="1">
        <f t="array" ref="I37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378" spans="1:9" hidden="1" x14ac:dyDescent="0.3">
      <c r="A378" s="82" t="str" cm="1">
        <f t="array" ref="A37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378" s="79" t="str" cm="1">
        <f t="array" ref="B37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378" s="108" t="str" cm="1">
        <f t="array" ref="C37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378" s="79" t="str" cm="1">
        <f t="array" ref="D37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378" s="79" t="str" cm="1">
        <f t="array" ref="E37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378" s="80" t="str" cm="1">
        <f t="array" ref="F37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378" s="80" t="str" cm="1">
        <f t="array" ref="G37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378" s="80" t="str" cm="1">
        <f t="array" ref="H37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378" s="78" t="str" cm="1">
        <f t="array" ref="I37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379" spans="1:9" hidden="1" x14ac:dyDescent="0.3">
      <c r="A379" s="82" t="str" cm="1">
        <f t="array" ref="A37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379" s="79" t="str" cm="1">
        <f t="array" ref="B37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379" s="108" t="str" cm="1">
        <f t="array" ref="C37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379" s="79" t="str" cm="1">
        <f t="array" ref="D37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379" s="79" t="str" cm="1">
        <f t="array" ref="E37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379" s="80" t="str" cm="1">
        <f t="array" ref="F37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379" s="80" t="str" cm="1">
        <f t="array" ref="G37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379" s="80" t="str" cm="1">
        <f t="array" ref="H37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379" s="78" t="str" cm="1">
        <f t="array" ref="I37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380" spans="1:9" hidden="1" x14ac:dyDescent="0.3">
      <c r="A380" s="82" t="str" cm="1">
        <f t="array" ref="A38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380" s="79" t="str" cm="1">
        <f t="array" ref="B38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380" s="108" t="str" cm="1">
        <f t="array" ref="C38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380" s="79" t="str" cm="1">
        <f t="array" ref="D38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380" s="79" t="str" cm="1">
        <f t="array" ref="E38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380" s="80" t="str" cm="1">
        <f t="array" ref="F38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380" s="80" t="str" cm="1">
        <f t="array" ref="G38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380" s="80" t="str" cm="1">
        <f t="array" ref="H38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380" s="78" t="str" cm="1">
        <f t="array" ref="I38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381" spans="1:9" hidden="1" x14ac:dyDescent="0.3">
      <c r="A381" s="82" t="str" cm="1">
        <f t="array" ref="A38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381" s="79" t="str" cm="1">
        <f t="array" ref="B38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381" s="108" t="str" cm="1">
        <f t="array" ref="C38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381" s="79" t="str" cm="1">
        <f t="array" ref="D38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381" s="79" t="str" cm="1">
        <f t="array" ref="E38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381" s="80" t="str" cm="1">
        <f t="array" ref="F38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381" s="80" t="str" cm="1">
        <f t="array" ref="G38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381" s="80" t="str" cm="1">
        <f t="array" ref="H38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381" s="78" t="str" cm="1">
        <f t="array" ref="I38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382" spans="1:9" hidden="1" x14ac:dyDescent="0.3">
      <c r="A382" s="82" t="str" cm="1">
        <f t="array" ref="A38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382" s="79" t="str" cm="1">
        <f t="array" ref="B38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382" s="108" t="str" cm="1">
        <f t="array" ref="C38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382" s="79" t="str" cm="1">
        <f t="array" ref="D38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382" s="79" t="str" cm="1">
        <f t="array" ref="E38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382" s="80" t="str" cm="1">
        <f t="array" ref="F38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382" s="80" t="str" cm="1">
        <f t="array" ref="G38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382" s="80" t="str" cm="1">
        <f t="array" ref="H38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382" s="78" t="str" cm="1">
        <f t="array" ref="I38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383" spans="1:9" hidden="1" x14ac:dyDescent="0.3">
      <c r="A383" s="82" t="str" cm="1">
        <f t="array" ref="A38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383" s="79" t="str" cm="1">
        <f t="array" ref="B38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383" s="108" t="str" cm="1">
        <f t="array" ref="C38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383" s="79" t="str" cm="1">
        <f t="array" ref="D38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383" s="79" t="str" cm="1">
        <f t="array" ref="E38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383" s="80" t="str" cm="1">
        <f t="array" ref="F38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383" s="80" t="str" cm="1">
        <f t="array" ref="G38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383" s="80" t="str" cm="1">
        <f t="array" ref="H38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383" s="78" t="str" cm="1">
        <f t="array" ref="I38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384" spans="1:9" hidden="1" x14ac:dyDescent="0.3">
      <c r="A384" s="82" t="str" cm="1">
        <f t="array" ref="A38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384" s="79" t="str" cm="1">
        <f t="array" ref="B38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384" s="108" t="str" cm="1">
        <f t="array" ref="C38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384" s="79" t="str" cm="1">
        <f t="array" ref="D38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384" s="79" t="str" cm="1">
        <f t="array" ref="E38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384" s="80" t="str" cm="1">
        <f t="array" ref="F38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384" s="80" t="str" cm="1">
        <f t="array" ref="G38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384" s="80" t="str" cm="1">
        <f t="array" ref="H38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384" s="78" t="str" cm="1">
        <f t="array" ref="I38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385" spans="1:9" hidden="1" x14ac:dyDescent="0.3">
      <c r="A385" s="82" t="str" cm="1">
        <f t="array" ref="A38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385" s="79" t="str" cm="1">
        <f t="array" ref="B38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385" s="108" t="str" cm="1">
        <f t="array" ref="C38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385" s="79" t="str" cm="1">
        <f t="array" ref="D38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385" s="79" t="str" cm="1">
        <f t="array" ref="E38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385" s="80" t="str" cm="1">
        <f t="array" ref="F38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385" s="80" t="str" cm="1">
        <f t="array" ref="G38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385" s="80" t="str" cm="1">
        <f t="array" ref="H38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385" s="78" t="str" cm="1">
        <f t="array" ref="I38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386" spans="1:9" hidden="1" x14ac:dyDescent="0.3">
      <c r="A386" s="82" t="str" cm="1">
        <f t="array" ref="A38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386" s="79" t="str" cm="1">
        <f t="array" ref="B38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386" s="108" t="str" cm="1">
        <f t="array" ref="C38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386" s="79" t="str" cm="1">
        <f t="array" ref="D38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386" s="79" t="str" cm="1">
        <f t="array" ref="E38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386" s="80" t="str" cm="1">
        <f t="array" ref="F38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386" s="80" t="str" cm="1">
        <f t="array" ref="G38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386" s="80" t="str" cm="1">
        <f t="array" ref="H38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386" s="78" t="str" cm="1">
        <f t="array" ref="I38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387" spans="1:9" hidden="1" x14ac:dyDescent="0.3">
      <c r="A387" s="82" t="str" cm="1">
        <f t="array" ref="A38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387" s="79" t="str" cm="1">
        <f t="array" ref="B38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387" s="108" t="str" cm="1">
        <f t="array" ref="C38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387" s="79" t="str" cm="1">
        <f t="array" ref="D38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387" s="79" t="str" cm="1">
        <f t="array" ref="E38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387" s="80" t="str" cm="1">
        <f t="array" ref="F38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387" s="80" t="str" cm="1">
        <f t="array" ref="G38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387" s="80" t="str" cm="1">
        <f t="array" ref="H38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387" s="78" t="str" cm="1">
        <f t="array" ref="I38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388" spans="1:9" hidden="1" x14ac:dyDescent="0.3">
      <c r="A388" s="82" t="str" cm="1">
        <f t="array" ref="A38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388" s="79" t="str" cm="1">
        <f t="array" ref="B38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388" s="108" t="str" cm="1">
        <f t="array" ref="C38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388" s="79" t="str" cm="1">
        <f t="array" ref="D38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388" s="79" t="str" cm="1">
        <f t="array" ref="E38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388" s="80" t="str" cm="1">
        <f t="array" ref="F38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388" s="80" t="str" cm="1">
        <f t="array" ref="G38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388" s="80" t="str" cm="1">
        <f t="array" ref="H38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388" s="78" t="str" cm="1">
        <f t="array" ref="I38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389" spans="1:9" hidden="1" x14ac:dyDescent="0.3">
      <c r="A389" s="82" t="str" cm="1">
        <f t="array" ref="A38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389" s="79" t="str" cm="1">
        <f t="array" ref="B38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389" s="108" t="str" cm="1">
        <f t="array" ref="C38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389" s="79" t="str" cm="1">
        <f t="array" ref="D38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389" s="79" t="str" cm="1">
        <f t="array" ref="E38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389" s="80" t="str" cm="1">
        <f t="array" ref="F38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389" s="80" t="str" cm="1">
        <f t="array" ref="G38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389" s="80" t="str" cm="1">
        <f t="array" ref="H38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389" s="78" t="str" cm="1">
        <f t="array" ref="I38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390" spans="1:9" hidden="1" x14ac:dyDescent="0.3">
      <c r="A390" s="82" t="str" cm="1">
        <f t="array" ref="A39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390" s="79" t="str" cm="1">
        <f t="array" ref="B39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390" s="108" t="str" cm="1">
        <f t="array" ref="C39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390" s="79" t="str" cm="1">
        <f t="array" ref="D39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390" s="79" t="str" cm="1">
        <f t="array" ref="E39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390" s="80" t="str" cm="1">
        <f t="array" ref="F39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390" s="80" t="str" cm="1">
        <f t="array" ref="G39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390" s="80" t="str" cm="1">
        <f t="array" ref="H39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390" s="78" t="str" cm="1">
        <f t="array" ref="I39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391" spans="1:9" hidden="1" x14ac:dyDescent="0.3">
      <c r="A391" s="82" t="str" cm="1">
        <f t="array" ref="A39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391" s="79" t="str" cm="1">
        <f t="array" ref="B39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391" s="108" t="str" cm="1">
        <f t="array" ref="C39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391" s="79" t="str" cm="1">
        <f t="array" ref="D39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391" s="79" t="str" cm="1">
        <f t="array" ref="E39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391" s="80" t="str" cm="1">
        <f t="array" ref="F39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391" s="80" t="str" cm="1">
        <f t="array" ref="G39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391" s="80" t="str" cm="1">
        <f t="array" ref="H39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391" s="78" t="str" cm="1">
        <f t="array" ref="I39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392" spans="1:9" hidden="1" x14ac:dyDescent="0.3">
      <c r="A392" s="82" t="str" cm="1">
        <f t="array" ref="A39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392" s="79" t="str" cm="1">
        <f t="array" ref="B39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392" s="108" t="str" cm="1">
        <f t="array" ref="C39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392" s="79" t="str" cm="1">
        <f t="array" ref="D39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392" s="79" t="str" cm="1">
        <f t="array" ref="E39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392" s="80" t="str" cm="1">
        <f t="array" ref="F39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392" s="80" t="str" cm="1">
        <f t="array" ref="G39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392" s="80" t="str" cm="1">
        <f t="array" ref="H39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392" s="78" t="str" cm="1">
        <f t="array" ref="I39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393" spans="1:9" hidden="1" x14ac:dyDescent="0.3">
      <c r="A393" s="82" t="str" cm="1">
        <f t="array" ref="A39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393" s="79" t="str" cm="1">
        <f t="array" ref="B39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393" s="108" t="str" cm="1">
        <f t="array" ref="C39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393" s="79" t="str" cm="1">
        <f t="array" ref="D39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393" s="79" t="str" cm="1">
        <f t="array" ref="E39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393" s="80" t="str" cm="1">
        <f t="array" ref="F39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393" s="80" t="str" cm="1">
        <f t="array" ref="G39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393" s="80" t="str" cm="1">
        <f t="array" ref="H39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393" s="78" t="str" cm="1">
        <f t="array" ref="I39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394" spans="1:9" hidden="1" x14ac:dyDescent="0.3">
      <c r="A394" s="82" t="str" cm="1">
        <f t="array" ref="A39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394" s="79" t="str" cm="1">
        <f t="array" ref="B39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394" s="108" t="str" cm="1">
        <f t="array" ref="C39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394" s="79" t="str" cm="1">
        <f t="array" ref="D39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394" s="79" t="str" cm="1">
        <f t="array" ref="E39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394" s="80" t="str" cm="1">
        <f t="array" ref="F39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394" s="80" t="str" cm="1">
        <f t="array" ref="G39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394" s="80" t="str" cm="1">
        <f t="array" ref="H39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394" s="78" t="str" cm="1">
        <f t="array" ref="I39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395" spans="1:9" hidden="1" x14ac:dyDescent="0.3">
      <c r="A395" s="82" t="str" cm="1">
        <f t="array" ref="A39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395" s="79" t="str" cm="1">
        <f t="array" ref="B39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395" s="108" t="str" cm="1">
        <f t="array" ref="C39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395" s="79" t="str" cm="1">
        <f t="array" ref="D39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395" s="79" t="str" cm="1">
        <f t="array" ref="E39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395" s="80" t="str" cm="1">
        <f t="array" ref="F39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395" s="80" t="str" cm="1">
        <f t="array" ref="G39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395" s="80" t="str" cm="1">
        <f t="array" ref="H39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395" s="78" t="str" cm="1">
        <f t="array" ref="I39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396" spans="1:9" hidden="1" x14ac:dyDescent="0.3">
      <c r="A396" s="82" t="str" cm="1">
        <f t="array" ref="A39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396" s="79" t="str" cm="1">
        <f t="array" ref="B39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396" s="108" t="str" cm="1">
        <f t="array" ref="C39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396" s="79" t="str" cm="1">
        <f t="array" ref="D39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396" s="79" t="str" cm="1">
        <f t="array" ref="E39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396" s="80" t="str" cm="1">
        <f t="array" ref="F39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396" s="80" t="str" cm="1">
        <f t="array" ref="G39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396" s="80" t="str" cm="1">
        <f t="array" ref="H39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396" s="78" t="str" cm="1">
        <f t="array" ref="I39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397" spans="1:9" hidden="1" x14ac:dyDescent="0.3">
      <c r="A397" s="82" t="str" cm="1">
        <f t="array" ref="A39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397" s="79" t="str" cm="1">
        <f t="array" ref="B39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397" s="108" t="str" cm="1">
        <f t="array" ref="C39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397" s="79" t="str" cm="1">
        <f t="array" ref="D39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397" s="79" t="str" cm="1">
        <f t="array" ref="E39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397" s="80" t="str" cm="1">
        <f t="array" ref="F39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397" s="80" t="str" cm="1">
        <f t="array" ref="G39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397" s="80" t="str" cm="1">
        <f t="array" ref="H39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397" s="78" t="str" cm="1">
        <f t="array" ref="I39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398" spans="1:9" hidden="1" x14ac:dyDescent="0.3">
      <c r="A398" s="82" t="str" cm="1">
        <f t="array" ref="A39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398" s="79" t="str" cm="1">
        <f t="array" ref="B39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398" s="108" t="str" cm="1">
        <f t="array" ref="C39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398" s="79" t="str" cm="1">
        <f t="array" ref="D39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398" s="79" t="str" cm="1">
        <f t="array" ref="E39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398" s="80" t="str" cm="1">
        <f t="array" ref="F39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398" s="80" t="str" cm="1">
        <f t="array" ref="G39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398" s="80" t="str" cm="1">
        <f t="array" ref="H39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398" s="78" t="str" cm="1">
        <f t="array" ref="I39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399" spans="1:9" hidden="1" x14ac:dyDescent="0.3">
      <c r="A399" s="82" t="str" cm="1">
        <f t="array" ref="A39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399" s="79" t="str" cm="1">
        <f t="array" ref="B39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399" s="108" t="str" cm="1">
        <f t="array" ref="C39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399" s="79" t="str" cm="1">
        <f t="array" ref="D39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399" s="79" t="str" cm="1">
        <f t="array" ref="E39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399" s="80" t="str" cm="1">
        <f t="array" ref="F39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399" s="80" t="str" cm="1">
        <f t="array" ref="G39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399" s="80" t="str" cm="1">
        <f t="array" ref="H39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399" s="78" t="str" cm="1">
        <f t="array" ref="I39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400" spans="1:9" hidden="1" x14ac:dyDescent="0.3">
      <c r="A400" s="82" t="str" cm="1">
        <f t="array" ref="A40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400" s="79" t="str" cm="1">
        <f t="array" ref="B40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400" s="108" t="str" cm="1">
        <f t="array" ref="C40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400" s="79" t="str" cm="1">
        <f t="array" ref="D40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400" s="79" t="str" cm="1">
        <f t="array" ref="E40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400" s="80" t="str" cm="1">
        <f t="array" ref="F40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400" s="80" t="str" cm="1">
        <f t="array" ref="G40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400" s="80" t="str" cm="1">
        <f t="array" ref="H40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400" s="78" t="str" cm="1">
        <f t="array" ref="I40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401" spans="1:9" hidden="1" x14ac:dyDescent="0.3">
      <c r="A401" s="82" t="str" cm="1">
        <f t="array" ref="A40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401" s="79" t="str" cm="1">
        <f t="array" ref="B40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401" s="108" t="str" cm="1">
        <f t="array" ref="C40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401" s="79" t="str" cm="1">
        <f t="array" ref="D40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401" s="79" t="str" cm="1">
        <f t="array" ref="E40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401" s="80" t="str" cm="1">
        <f t="array" ref="F40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401" s="80" t="str" cm="1">
        <f t="array" ref="G40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401" s="80" t="str" cm="1">
        <f t="array" ref="H40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401" s="78" t="str" cm="1">
        <f t="array" ref="I40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402" spans="1:9" hidden="1" x14ac:dyDescent="0.3">
      <c r="A402" s="82" t="str" cm="1">
        <f t="array" ref="A40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402" s="79" t="str" cm="1">
        <f t="array" ref="B40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402" s="108" t="str" cm="1">
        <f t="array" ref="C40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402" s="79" t="str" cm="1">
        <f t="array" ref="D40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402" s="79" t="str" cm="1">
        <f t="array" ref="E40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402" s="80" t="str" cm="1">
        <f t="array" ref="F40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402" s="80" t="str" cm="1">
        <f t="array" ref="G40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402" s="80" t="str" cm="1">
        <f t="array" ref="H40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402" s="78" t="str" cm="1">
        <f t="array" ref="I40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403" spans="1:9" hidden="1" x14ac:dyDescent="0.3">
      <c r="A403" s="82" t="str" cm="1">
        <f t="array" ref="A40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403" s="79" t="str" cm="1">
        <f t="array" ref="B40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403" s="108" t="str" cm="1">
        <f t="array" ref="C40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403" s="79" t="str" cm="1">
        <f t="array" ref="D40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403" s="79" t="str" cm="1">
        <f t="array" ref="E40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403" s="80" t="str" cm="1">
        <f t="array" ref="F40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403" s="80" t="str" cm="1">
        <f t="array" ref="G40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403" s="80" t="str" cm="1">
        <f t="array" ref="H40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403" s="78" t="str" cm="1">
        <f t="array" ref="I40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404" spans="1:9" hidden="1" x14ac:dyDescent="0.3">
      <c r="A404" s="82" t="str" cm="1">
        <f t="array" ref="A40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404" s="79" t="str" cm="1">
        <f t="array" ref="B40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404" s="108" t="str" cm="1">
        <f t="array" ref="C40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404" s="79" t="str" cm="1">
        <f t="array" ref="D40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404" s="79" t="str" cm="1">
        <f t="array" ref="E40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404" s="80" t="str" cm="1">
        <f t="array" ref="F40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404" s="80" t="str" cm="1">
        <f t="array" ref="G40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404" s="80" t="str" cm="1">
        <f t="array" ref="H40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404" s="78" t="str" cm="1">
        <f t="array" ref="I40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405" spans="1:9" hidden="1" x14ac:dyDescent="0.3">
      <c r="A405" s="82" t="str" cm="1">
        <f t="array" ref="A40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405" s="79" t="str" cm="1">
        <f t="array" ref="B40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405" s="108" t="str" cm="1">
        <f t="array" ref="C40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405" s="79" t="str" cm="1">
        <f t="array" ref="D40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405" s="79" t="str" cm="1">
        <f t="array" ref="E40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405" s="80" t="str" cm="1">
        <f t="array" ref="F40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405" s="80" t="str" cm="1">
        <f t="array" ref="G40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405" s="80" t="str" cm="1">
        <f t="array" ref="H40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405" s="78" t="str" cm="1">
        <f t="array" ref="I40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406" spans="1:9" hidden="1" x14ac:dyDescent="0.3">
      <c r="A406" s="82" t="str" cm="1">
        <f t="array" ref="A40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406" s="79" t="str" cm="1">
        <f t="array" ref="B40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406" s="108" t="str" cm="1">
        <f t="array" ref="C40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406" s="79" t="str" cm="1">
        <f t="array" ref="D40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406" s="79" t="str" cm="1">
        <f t="array" ref="E40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406" s="80" t="str" cm="1">
        <f t="array" ref="F40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406" s="80" t="str" cm="1">
        <f t="array" ref="G40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406" s="80" t="str" cm="1">
        <f t="array" ref="H40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406" s="78" t="str" cm="1">
        <f t="array" ref="I40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407" spans="1:9" hidden="1" x14ac:dyDescent="0.3">
      <c r="A407" s="82" t="str" cm="1">
        <f t="array" ref="A40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407" s="79" t="str" cm="1">
        <f t="array" ref="B40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407" s="108" t="str" cm="1">
        <f t="array" ref="C40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407" s="79" t="str" cm="1">
        <f t="array" ref="D40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407" s="79" t="str" cm="1">
        <f t="array" ref="E40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407" s="80" t="str" cm="1">
        <f t="array" ref="F40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407" s="80" t="str" cm="1">
        <f t="array" ref="G40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407" s="80" t="str" cm="1">
        <f t="array" ref="H40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407" s="78" t="str" cm="1">
        <f t="array" ref="I40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408" spans="1:9" hidden="1" x14ac:dyDescent="0.3">
      <c r="A408" s="82" t="str" cm="1">
        <f t="array" ref="A40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408" s="79" t="str" cm="1">
        <f t="array" ref="B40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408" s="108" t="str" cm="1">
        <f t="array" ref="C40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408" s="79" t="str" cm="1">
        <f t="array" ref="D40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408" s="79" t="str" cm="1">
        <f t="array" ref="E40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408" s="80" t="str" cm="1">
        <f t="array" ref="F40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408" s="80" t="str" cm="1">
        <f t="array" ref="G40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408" s="80" t="str" cm="1">
        <f t="array" ref="H40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408" s="78" t="str" cm="1">
        <f t="array" ref="I40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409" spans="1:9" hidden="1" x14ac:dyDescent="0.3">
      <c r="A409" s="82" t="str" cm="1">
        <f t="array" ref="A40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409" s="79" t="str" cm="1">
        <f t="array" ref="B40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409" s="108" t="str" cm="1">
        <f t="array" ref="C40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409" s="79" t="str" cm="1">
        <f t="array" ref="D40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409" s="79" t="str" cm="1">
        <f t="array" ref="E40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409" s="80" t="str" cm="1">
        <f t="array" ref="F40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409" s="80" t="str" cm="1">
        <f t="array" ref="G40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409" s="80" t="str" cm="1">
        <f t="array" ref="H40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409" s="78" t="str" cm="1">
        <f t="array" ref="I40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410" spans="1:9" hidden="1" x14ac:dyDescent="0.3">
      <c r="A410" s="82" t="str" cm="1">
        <f t="array" ref="A41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410" s="79" t="str" cm="1">
        <f t="array" ref="B41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410" s="108" t="str" cm="1">
        <f t="array" ref="C41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410" s="79" t="str" cm="1">
        <f t="array" ref="D41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410" s="79" t="str" cm="1">
        <f t="array" ref="E41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410" s="80" t="str" cm="1">
        <f t="array" ref="F41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410" s="80" t="str" cm="1">
        <f t="array" ref="G41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410" s="80" t="str" cm="1">
        <f t="array" ref="H41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410" s="78" t="str" cm="1">
        <f t="array" ref="I41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411" spans="1:9" hidden="1" x14ac:dyDescent="0.3">
      <c r="A411" s="82" t="str" cm="1">
        <f t="array" ref="A41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411" s="79" t="str" cm="1">
        <f t="array" ref="B41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411" s="108" t="str" cm="1">
        <f t="array" ref="C41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411" s="79" t="str" cm="1">
        <f t="array" ref="D41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411" s="79" t="str" cm="1">
        <f t="array" ref="E41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411" s="80" t="str" cm="1">
        <f t="array" ref="F41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411" s="80" t="str" cm="1">
        <f t="array" ref="G41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411" s="80" t="str" cm="1">
        <f t="array" ref="H41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411" s="78" t="str" cm="1">
        <f t="array" ref="I41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412" spans="1:9" hidden="1" x14ac:dyDescent="0.3">
      <c r="A412" s="82" t="str" cm="1">
        <f t="array" ref="A41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412" s="79" t="str" cm="1">
        <f t="array" ref="B41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412" s="108" t="str" cm="1">
        <f t="array" ref="C41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412" s="79" t="str" cm="1">
        <f t="array" ref="D41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412" s="79" t="str" cm="1">
        <f t="array" ref="E41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412" s="80" t="str" cm="1">
        <f t="array" ref="F41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412" s="80" t="str" cm="1">
        <f t="array" ref="G41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412" s="80" t="str" cm="1">
        <f t="array" ref="H41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412" s="78" t="str" cm="1">
        <f t="array" ref="I41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413" spans="1:9" hidden="1" x14ac:dyDescent="0.3">
      <c r="A413" s="82" t="str" cm="1">
        <f t="array" ref="A41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413" s="79" t="str" cm="1">
        <f t="array" ref="B41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413" s="108" t="str" cm="1">
        <f t="array" ref="C41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413" s="79" t="str" cm="1">
        <f t="array" ref="D41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413" s="79" t="str" cm="1">
        <f t="array" ref="E41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413" s="80" t="str" cm="1">
        <f t="array" ref="F41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413" s="80" t="str" cm="1">
        <f t="array" ref="G41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413" s="80" t="str" cm="1">
        <f t="array" ref="H41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413" s="78" t="str" cm="1">
        <f t="array" ref="I41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414" spans="1:9" hidden="1" x14ac:dyDescent="0.3">
      <c r="A414" s="82" t="str" cm="1">
        <f t="array" ref="A41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414" s="79" t="str" cm="1">
        <f t="array" ref="B41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414" s="108" t="str" cm="1">
        <f t="array" ref="C41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414" s="79" t="str" cm="1">
        <f t="array" ref="D41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414" s="79" t="str" cm="1">
        <f t="array" ref="E41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414" s="80" t="str" cm="1">
        <f t="array" ref="F41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414" s="80" t="str" cm="1">
        <f t="array" ref="G41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414" s="80" t="str" cm="1">
        <f t="array" ref="H41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414" s="78" t="str" cm="1">
        <f t="array" ref="I41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415" spans="1:9" hidden="1" x14ac:dyDescent="0.3">
      <c r="A415" s="82" t="str" cm="1">
        <f t="array" ref="A41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415" s="79" t="str" cm="1">
        <f t="array" ref="B41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415" s="108" t="str" cm="1">
        <f t="array" ref="C41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415" s="79" t="str" cm="1">
        <f t="array" ref="D41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415" s="79" t="str" cm="1">
        <f t="array" ref="E41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415" s="80" t="str" cm="1">
        <f t="array" ref="F41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415" s="80" t="str" cm="1">
        <f t="array" ref="G41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415" s="80" t="str" cm="1">
        <f t="array" ref="H41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415" s="78" t="str" cm="1">
        <f t="array" ref="I41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416" spans="1:9" hidden="1" x14ac:dyDescent="0.3">
      <c r="A416" s="82" t="str" cm="1">
        <f t="array" ref="A41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416" s="79" t="str" cm="1">
        <f t="array" ref="B41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416" s="108" t="str" cm="1">
        <f t="array" ref="C41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416" s="79" t="str" cm="1">
        <f t="array" ref="D41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416" s="79" t="str" cm="1">
        <f t="array" ref="E41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416" s="80" t="str" cm="1">
        <f t="array" ref="F41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416" s="80" t="str" cm="1">
        <f t="array" ref="G41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416" s="80" t="str" cm="1">
        <f t="array" ref="H41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416" s="78" t="str" cm="1">
        <f t="array" ref="I41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417" spans="1:9" hidden="1" x14ac:dyDescent="0.3">
      <c r="A417" s="82" t="str" cm="1">
        <f t="array" ref="A41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417" s="79" t="str" cm="1">
        <f t="array" ref="B41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417" s="108" t="str" cm="1">
        <f t="array" ref="C41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417" s="79" t="str" cm="1">
        <f t="array" ref="D41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417" s="79" t="str" cm="1">
        <f t="array" ref="E41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417" s="80" t="str" cm="1">
        <f t="array" ref="F41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417" s="80" t="str" cm="1">
        <f t="array" ref="G41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417" s="80" t="str" cm="1">
        <f t="array" ref="H41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417" s="78" t="str" cm="1">
        <f t="array" ref="I41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418" spans="1:9" hidden="1" x14ac:dyDescent="0.3">
      <c r="A418" s="82" t="str" cm="1">
        <f t="array" ref="A41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418" s="79" t="str" cm="1">
        <f t="array" ref="B41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418" s="108" t="str" cm="1">
        <f t="array" ref="C41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418" s="79" t="str" cm="1">
        <f t="array" ref="D41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418" s="79" t="str" cm="1">
        <f t="array" ref="E41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418" s="80" t="str" cm="1">
        <f t="array" ref="F41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418" s="80" t="str" cm="1">
        <f t="array" ref="G41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418" s="80" t="str" cm="1">
        <f t="array" ref="H41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418" s="78" t="str" cm="1">
        <f t="array" ref="I41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419" spans="1:9" hidden="1" x14ac:dyDescent="0.3">
      <c r="A419" s="82" t="str" cm="1">
        <f t="array" ref="A41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419" s="79" t="str" cm="1">
        <f t="array" ref="B41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419" s="108" t="str" cm="1">
        <f t="array" ref="C41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419" s="79" t="str" cm="1">
        <f t="array" ref="D41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419" s="79" t="str" cm="1">
        <f t="array" ref="E41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419" s="80" t="str" cm="1">
        <f t="array" ref="F41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419" s="80" t="str" cm="1">
        <f t="array" ref="G41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419" s="80" t="str" cm="1">
        <f t="array" ref="H41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419" s="78" t="str" cm="1">
        <f t="array" ref="I41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420" spans="1:9" hidden="1" x14ac:dyDescent="0.3">
      <c r="A420" s="82" t="str" cm="1">
        <f t="array" ref="A42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420" s="79" t="str" cm="1">
        <f t="array" ref="B42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420" s="108" t="str" cm="1">
        <f t="array" ref="C42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420" s="79" t="str" cm="1">
        <f t="array" ref="D42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420" s="79" t="str" cm="1">
        <f t="array" ref="E42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420" s="80" t="str" cm="1">
        <f t="array" ref="F42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420" s="80" t="str" cm="1">
        <f t="array" ref="G42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420" s="80" t="str" cm="1">
        <f t="array" ref="H42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420" s="78" t="str" cm="1">
        <f t="array" ref="I42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421" spans="1:9" hidden="1" x14ac:dyDescent="0.3">
      <c r="A421" s="82" t="str" cm="1">
        <f t="array" ref="A42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421" s="79" t="str" cm="1">
        <f t="array" ref="B42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421" s="108" t="str" cm="1">
        <f t="array" ref="C42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421" s="79" t="str" cm="1">
        <f t="array" ref="D42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421" s="79" t="str" cm="1">
        <f t="array" ref="E42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421" s="80" t="str" cm="1">
        <f t="array" ref="F42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421" s="80" t="str" cm="1">
        <f t="array" ref="G42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421" s="80" t="str" cm="1">
        <f t="array" ref="H42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421" s="78" t="str" cm="1">
        <f t="array" ref="I42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422" spans="1:9" hidden="1" x14ac:dyDescent="0.3">
      <c r="A422" s="82" t="str" cm="1">
        <f t="array" ref="A42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422" s="79" t="str" cm="1">
        <f t="array" ref="B42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422" s="108" t="str" cm="1">
        <f t="array" ref="C42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422" s="79" t="str" cm="1">
        <f t="array" ref="D42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422" s="79" t="str" cm="1">
        <f t="array" ref="E42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422" s="80" t="str" cm="1">
        <f t="array" ref="F42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422" s="80" t="str" cm="1">
        <f t="array" ref="G42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422" s="80" t="str" cm="1">
        <f t="array" ref="H42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422" s="78" t="str" cm="1">
        <f t="array" ref="I42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423" spans="1:9" hidden="1" x14ac:dyDescent="0.3">
      <c r="A423" s="82" t="str" cm="1">
        <f t="array" ref="A42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423" s="79" t="str" cm="1">
        <f t="array" ref="B42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423" s="108" t="str" cm="1">
        <f t="array" ref="C42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423" s="79" t="str" cm="1">
        <f t="array" ref="D42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423" s="79" t="str" cm="1">
        <f t="array" ref="E42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423" s="80" t="str" cm="1">
        <f t="array" ref="F42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423" s="80" t="str" cm="1">
        <f t="array" ref="G42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423" s="80" t="str" cm="1">
        <f t="array" ref="H42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423" s="78" t="str" cm="1">
        <f t="array" ref="I42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424" spans="1:9" hidden="1" x14ac:dyDescent="0.3">
      <c r="A424" s="82" t="str" cm="1">
        <f t="array" ref="A42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424" s="79" t="str" cm="1">
        <f t="array" ref="B42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424" s="108" t="str" cm="1">
        <f t="array" ref="C42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424" s="79" t="str" cm="1">
        <f t="array" ref="D42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424" s="79" t="str" cm="1">
        <f t="array" ref="E42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424" s="80" t="str" cm="1">
        <f t="array" ref="F42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424" s="80" t="str" cm="1">
        <f t="array" ref="G42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424" s="80" t="str" cm="1">
        <f t="array" ref="H42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424" s="78" t="str" cm="1">
        <f t="array" ref="I42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425" spans="1:9" hidden="1" x14ac:dyDescent="0.3">
      <c r="A425" s="82" t="str" cm="1">
        <f t="array" ref="A42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425" s="79" t="str" cm="1">
        <f t="array" ref="B42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425" s="108" t="str" cm="1">
        <f t="array" ref="C42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425" s="79" t="str" cm="1">
        <f t="array" ref="D42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425" s="79" t="str" cm="1">
        <f t="array" ref="E42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425" s="80" t="str" cm="1">
        <f t="array" ref="F42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425" s="80" t="str" cm="1">
        <f t="array" ref="G42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425" s="80" t="str" cm="1">
        <f t="array" ref="H42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425" s="78" t="str" cm="1">
        <f t="array" ref="I42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426" spans="1:9" hidden="1" x14ac:dyDescent="0.3">
      <c r="A426" s="82" t="str" cm="1">
        <f t="array" ref="A42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426" s="79" t="str" cm="1">
        <f t="array" ref="B42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426" s="108" t="str" cm="1">
        <f t="array" ref="C42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426" s="79" t="str" cm="1">
        <f t="array" ref="D42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426" s="79" t="str" cm="1">
        <f t="array" ref="E42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426" s="80" t="str" cm="1">
        <f t="array" ref="F42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426" s="80" t="str" cm="1">
        <f t="array" ref="G42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426" s="80" t="str" cm="1">
        <f t="array" ref="H42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426" s="78" t="str" cm="1">
        <f t="array" ref="I42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427" spans="1:9" hidden="1" x14ac:dyDescent="0.3">
      <c r="A427" s="82" t="str" cm="1">
        <f t="array" ref="A42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427" s="79" t="str" cm="1">
        <f t="array" ref="B42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427" s="108" t="str" cm="1">
        <f t="array" ref="C42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427" s="79" t="str" cm="1">
        <f t="array" ref="D42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427" s="79" t="str" cm="1">
        <f t="array" ref="E42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427" s="80" t="str" cm="1">
        <f t="array" ref="F42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427" s="80" t="str" cm="1">
        <f t="array" ref="G42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427" s="80" t="str" cm="1">
        <f t="array" ref="H42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427" s="78" t="str" cm="1">
        <f t="array" ref="I42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428" spans="1:9" hidden="1" x14ac:dyDescent="0.3">
      <c r="A428" s="82" t="str" cm="1">
        <f t="array" ref="A42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428" s="79" t="str" cm="1">
        <f t="array" ref="B42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428" s="108" t="str" cm="1">
        <f t="array" ref="C42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428" s="79" t="str" cm="1">
        <f t="array" ref="D42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428" s="79" t="str" cm="1">
        <f t="array" ref="E42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428" s="80" t="str" cm="1">
        <f t="array" ref="F42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428" s="80" t="str" cm="1">
        <f t="array" ref="G42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428" s="80" t="str" cm="1">
        <f t="array" ref="H42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428" s="78" t="str" cm="1">
        <f t="array" ref="I42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429" spans="1:9" hidden="1" x14ac:dyDescent="0.3">
      <c r="A429" s="82" t="str" cm="1">
        <f t="array" ref="A42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429" s="79" t="str" cm="1">
        <f t="array" ref="B42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429" s="108" t="str" cm="1">
        <f t="array" ref="C42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429" s="79" t="str" cm="1">
        <f t="array" ref="D42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429" s="79" t="str" cm="1">
        <f t="array" ref="E42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429" s="80" t="str" cm="1">
        <f t="array" ref="F42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429" s="80" t="str" cm="1">
        <f t="array" ref="G42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429" s="80" t="str" cm="1">
        <f t="array" ref="H42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429" s="78" t="str" cm="1">
        <f t="array" ref="I42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430" spans="1:9" hidden="1" x14ac:dyDescent="0.3">
      <c r="A430" s="82" t="str" cm="1">
        <f t="array" ref="A43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430" s="79" t="str" cm="1">
        <f t="array" ref="B43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430" s="108" t="str" cm="1">
        <f t="array" ref="C43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430" s="79" t="str" cm="1">
        <f t="array" ref="D43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430" s="79" t="str" cm="1">
        <f t="array" ref="E43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430" s="80" t="str" cm="1">
        <f t="array" ref="F43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430" s="80" t="str" cm="1">
        <f t="array" ref="G43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430" s="80" t="str" cm="1">
        <f t="array" ref="H43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430" s="78" t="str" cm="1">
        <f t="array" ref="I43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431" spans="1:9" hidden="1" x14ac:dyDescent="0.3">
      <c r="A431" s="82" t="str" cm="1">
        <f t="array" ref="A43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431" s="79" t="str" cm="1">
        <f t="array" ref="B43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431" s="108" t="str" cm="1">
        <f t="array" ref="C43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431" s="79" t="str" cm="1">
        <f t="array" ref="D43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431" s="79" t="str" cm="1">
        <f t="array" ref="E43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431" s="80" t="str" cm="1">
        <f t="array" ref="F43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431" s="80" t="str" cm="1">
        <f t="array" ref="G43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431" s="80" t="str" cm="1">
        <f t="array" ref="H43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431" s="78" t="str" cm="1">
        <f t="array" ref="I43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432" spans="1:9" hidden="1" x14ac:dyDescent="0.3">
      <c r="A432" s="82" t="str" cm="1">
        <f t="array" ref="A43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432" s="79" t="str" cm="1">
        <f t="array" ref="B43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432" s="108" t="str" cm="1">
        <f t="array" ref="C43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432" s="79" t="str" cm="1">
        <f t="array" ref="D43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432" s="79" t="str" cm="1">
        <f t="array" ref="E43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432" s="80" t="str" cm="1">
        <f t="array" ref="F43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432" s="80" t="str" cm="1">
        <f t="array" ref="G43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432" s="80" t="str" cm="1">
        <f t="array" ref="H43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432" s="78" t="str" cm="1">
        <f t="array" ref="I43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433" spans="1:9" hidden="1" x14ac:dyDescent="0.3">
      <c r="A433" s="82" t="str" cm="1">
        <f t="array" ref="A43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433" s="79" t="str" cm="1">
        <f t="array" ref="B43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433" s="108" t="str" cm="1">
        <f t="array" ref="C43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433" s="79" t="str" cm="1">
        <f t="array" ref="D43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433" s="79" t="str" cm="1">
        <f t="array" ref="E43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433" s="80" t="str" cm="1">
        <f t="array" ref="F43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433" s="80" t="str" cm="1">
        <f t="array" ref="G43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433" s="80" t="str" cm="1">
        <f t="array" ref="H43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433" s="78" t="str" cm="1">
        <f t="array" ref="I43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434" spans="1:9" hidden="1" x14ac:dyDescent="0.3">
      <c r="A434" s="82" t="str" cm="1">
        <f t="array" ref="A43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434" s="79" t="str" cm="1">
        <f t="array" ref="B43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434" s="108" t="str" cm="1">
        <f t="array" ref="C43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434" s="79" t="str" cm="1">
        <f t="array" ref="D43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434" s="79" t="str" cm="1">
        <f t="array" ref="E43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434" s="80" t="str" cm="1">
        <f t="array" ref="F43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434" s="80" t="str" cm="1">
        <f t="array" ref="G43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434" s="80" t="str" cm="1">
        <f t="array" ref="H43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434" s="78" t="str" cm="1">
        <f t="array" ref="I43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435" spans="1:9" hidden="1" x14ac:dyDescent="0.3">
      <c r="A435" s="82" t="str" cm="1">
        <f t="array" ref="A43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435" s="79" t="str" cm="1">
        <f t="array" ref="B43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435" s="108" t="str" cm="1">
        <f t="array" ref="C43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435" s="79" t="str" cm="1">
        <f t="array" ref="D43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435" s="79" t="str" cm="1">
        <f t="array" ref="E43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435" s="80" t="str" cm="1">
        <f t="array" ref="F43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435" s="80" t="str" cm="1">
        <f t="array" ref="G43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435" s="80" t="str" cm="1">
        <f t="array" ref="H43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435" s="78" t="str" cm="1">
        <f t="array" ref="I43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436" spans="1:9" hidden="1" x14ac:dyDescent="0.3">
      <c r="A436" s="82" t="str" cm="1">
        <f t="array" ref="A43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436" s="79" t="str" cm="1">
        <f t="array" ref="B43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436" s="108" t="str" cm="1">
        <f t="array" ref="C43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436" s="79" t="str" cm="1">
        <f t="array" ref="D43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436" s="79" t="str" cm="1">
        <f t="array" ref="E43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436" s="80" t="str" cm="1">
        <f t="array" ref="F43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436" s="80" t="str" cm="1">
        <f t="array" ref="G43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436" s="80" t="str" cm="1">
        <f t="array" ref="H43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436" s="78" t="str" cm="1">
        <f t="array" ref="I43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437" spans="1:9" hidden="1" x14ac:dyDescent="0.3">
      <c r="A437" s="82" t="str" cm="1">
        <f t="array" ref="A43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437" s="79" t="str" cm="1">
        <f t="array" ref="B43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437" s="108" t="str" cm="1">
        <f t="array" ref="C43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437" s="79" t="str" cm="1">
        <f t="array" ref="D43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437" s="79" t="str" cm="1">
        <f t="array" ref="E43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437" s="80" t="str" cm="1">
        <f t="array" ref="F43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437" s="80" t="str" cm="1">
        <f t="array" ref="G43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437" s="80" t="str" cm="1">
        <f t="array" ref="H43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437" s="78" t="str" cm="1">
        <f t="array" ref="I43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438" spans="1:9" hidden="1" x14ac:dyDescent="0.3">
      <c r="A438" s="82" t="str" cm="1">
        <f t="array" ref="A43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438" s="79" t="str" cm="1">
        <f t="array" ref="B43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438" s="108" t="str" cm="1">
        <f t="array" ref="C43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438" s="79" t="str" cm="1">
        <f t="array" ref="D43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438" s="79" t="str" cm="1">
        <f t="array" ref="E43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438" s="80" t="str" cm="1">
        <f t="array" ref="F43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438" s="80" t="str" cm="1">
        <f t="array" ref="G43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438" s="80" t="str" cm="1">
        <f t="array" ref="H43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438" s="78" t="str" cm="1">
        <f t="array" ref="I43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439" spans="1:9" hidden="1" x14ac:dyDescent="0.3">
      <c r="A439" s="82" t="str" cm="1">
        <f t="array" ref="A43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439" s="79" t="str" cm="1">
        <f t="array" ref="B43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439" s="108" t="str" cm="1">
        <f t="array" ref="C43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439" s="79" t="str" cm="1">
        <f t="array" ref="D43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439" s="79" t="str" cm="1">
        <f t="array" ref="E43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439" s="80" t="str" cm="1">
        <f t="array" ref="F43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439" s="80" t="str" cm="1">
        <f t="array" ref="G43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439" s="80" t="str" cm="1">
        <f t="array" ref="H43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439" s="78" t="str" cm="1">
        <f t="array" ref="I43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440" spans="1:9" hidden="1" x14ac:dyDescent="0.3">
      <c r="A440" s="82" t="str" cm="1">
        <f t="array" ref="A44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440" s="79" t="str" cm="1">
        <f t="array" ref="B44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440" s="108" t="str" cm="1">
        <f t="array" ref="C44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440" s="79" t="str" cm="1">
        <f t="array" ref="D44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440" s="79" t="str" cm="1">
        <f t="array" ref="E44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440" s="80" t="str" cm="1">
        <f t="array" ref="F44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440" s="80" t="str" cm="1">
        <f t="array" ref="G44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440" s="80" t="str" cm="1">
        <f t="array" ref="H44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440" s="78" t="str" cm="1">
        <f t="array" ref="I44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441" spans="1:9" hidden="1" x14ac:dyDescent="0.3">
      <c r="A441" s="82" t="str" cm="1">
        <f t="array" ref="A44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441" s="79" t="str" cm="1">
        <f t="array" ref="B44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441" s="108" t="str" cm="1">
        <f t="array" ref="C44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441" s="79" t="str" cm="1">
        <f t="array" ref="D44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441" s="79" t="str" cm="1">
        <f t="array" ref="E44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441" s="80" t="str" cm="1">
        <f t="array" ref="F44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441" s="80" t="str" cm="1">
        <f t="array" ref="G44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441" s="80" t="str" cm="1">
        <f t="array" ref="H44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441" s="78" t="str" cm="1">
        <f t="array" ref="I44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442" spans="1:9" hidden="1" x14ac:dyDescent="0.3">
      <c r="A442" s="82" t="str" cm="1">
        <f t="array" ref="A44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442" s="79" t="str" cm="1">
        <f t="array" ref="B44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442" s="108" t="str" cm="1">
        <f t="array" ref="C44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442" s="79" t="str" cm="1">
        <f t="array" ref="D44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442" s="79" t="str" cm="1">
        <f t="array" ref="E44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442" s="80" t="str" cm="1">
        <f t="array" ref="F44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442" s="80" t="str" cm="1">
        <f t="array" ref="G44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442" s="80" t="str" cm="1">
        <f t="array" ref="H44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442" s="78" t="str" cm="1">
        <f t="array" ref="I44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443" spans="1:9" hidden="1" x14ac:dyDescent="0.3">
      <c r="A443" s="82" t="str" cm="1">
        <f t="array" ref="A44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443" s="79" t="str" cm="1">
        <f t="array" ref="B44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443" s="108" t="str" cm="1">
        <f t="array" ref="C44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443" s="79" t="str" cm="1">
        <f t="array" ref="D44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443" s="79" t="str" cm="1">
        <f t="array" ref="E44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443" s="80" t="str" cm="1">
        <f t="array" ref="F44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443" s="80" t="str" cm="1">
        <f t="array" ref="G44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443" s="80" t="str" cm="1">
        <f t="array" ref="H44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443" s="78" t="str" cm="1">
        <f t="array" ref="I44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444" spans="1:9" hidden="1" x14ac:dyDescent="0.3">
      <c r="A444" s="82" t="str" cm="1">
        <f t="array" ref="A44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444" s="79" t="str" cm="1">
        <f t="array" ref="B44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444" s="108" t="str" cm="1">
        <f t="array" ref="C44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444" s="79" t="str" cm="1">
        <f t="array" ref="D44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444" s="79" t="str" cm="1">
        <f t="array" ref="E44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444" s="80" t="str" cm="1">
        <f t="array" ref="F44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444" s="80" t="str" cm="1">
        <f t="array" ref="G44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444" s="80" t="str" cm="1">
        <f t="array" ref="H44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444" s="78" t="str" cm="1">
        <f t="array" ref="I44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445" spans="1:9" hidden="1" x14ac:dyDescent="0.3">
      <c r="A445" s="82" t="str" cm="1">
        <f t="array" ref="A44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445" s="79" t="str" cm="1">
        <f t="array" ref="B44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445" s="108" t="str" cm="1">
        <f t="array" ref="C44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445" s="79" t="str" cm="1">
        <f t="array" ref="D44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445" s="79" t="str" cm="1">
        <f t="array" ref="E44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445" s="80" t="str" cm="1">
        <f t="array" ref="F44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445" s="80" t="str" cm="1">
        <f t="array" ref="G44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445" s="80" t="str" cm="1">
        <f t="array" ref="H44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445" s="78" t="str" cm="1">
        <f t="array" ref="I44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446" spans="1:9" hidden="1" x14ac:dyDescent="0.3">
      <c r="A446" s="82" t="str" cm="1">
        <f t="array" ref="A44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446" s="79" t="str" cm="1">
        <f t="array" ref="B44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446" s="108" t="str" cm="1">
        <f t="array" ref="C44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446" s="79" t="str" cm="1">
        <f t="array" ref="D44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446" s="79" t="str" cm="1">
        <f t="array" ref="E44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446" s="80" t="str" cm="1">
        <f t="array" ref="F44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446" s="80" t="str" cm="1">
        <f t="array" ref="G44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446" s="80" t="str" cm="1">
        <f t="array" ref="H44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446" s="78" t="str" cm="1">
        <f t="array" ref="I44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447" spans="1:9" hidden="1" x14ac:dyDescent="0.3">
      <c r="A447" s="82" t="str" cm="1">
        <f t="array" ref="A44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447" s="79" t="str" cm="1">
        <f t="array" ref="B44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447" s="108" t="str" cm="1">
        <f t="array" ref="C44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447" s="79" t="str" cm="1">
        <f t="array" ref="D44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447" s="79" t="str" cm="1">
        <f t="array" ref="E44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447" s="80" t="str" cm="1">
        <f t="array" ref="F44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447" s="80" t="str" cm="1">
        <f t="array" ref="G44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447" s="80" t="str" cm="1">
        <f t="array" ref="H44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447" s="78" t="str" cm="1">
        <f t="array" ref="I44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448" spans="1:9" hidden="1" x14ac:dyDescent="0.3">
      <c r="A448" s="82" t="str" cm="1">
        <f t="array" ref="A44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448" s="79" t="str" cm="1">
        <f t="array" ref="B44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448" s="108" t="str" cm="1">
        <f t="array" ref="C44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448" s="79" t="str" cm="1">
        <f t="array" ref="D44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448" s="79" t="str" cm="1">
        <f t="array" ref="E44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448" s="80" t="str" cm="1">
        <f t="array" ref="F44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448" s="80" t="str" cm="1">
        <f t="array" ref="G44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448" s="80" t="str" cm="1">
        <f t="array" ref="H44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448" s="78" t="str" cm="1">
        <f t="array" ref="I44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449" spans="1:9" hidden="1" x14ac:dyDescent="0.3">
      <c r="A449" s="82" t="str" cm="1">
        <f t="array" ref="A44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449" s="79" t="str" cm="1">
        <f t="array" ref="B44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449" s="108" t="str" cm="1">
        <f t="array" ref="C44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449" s="79" t="str" cm="1">
        <f t="array" ref="D44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449" s="79" t="str" cm="1">
        <f t="array" ref="E44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449" s="80" t="str" cm="1">
        <f t="array" ref="F44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449" s="80" t="str" cm="1">
        <f t="array" ref="G44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449" s="80" t="str" cm="1">
        <f t="array" ref="H44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449" s="78" t="str" cm="1">
        <f t="array" ref="I44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450" spans="1:9" hidden="1" x14ac:dyDescent="0.3">
      <c r="A450" s="82" t="str" cm="1">
        <f t="array" ref="A45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450" s="79" t="str" cm="1">
        <f t="array" ref="B45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450" s="108" t="str" cm="1">
        <f t="array" ref="C45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450" s="79" t="str" cm="1">
        <f t="array" ref="D45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450" s="79" t="str" cm="1">
        <f t="array" ref="E45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450" s="80" t="str" cm="1">
        <f t="array" ref="F45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450" s="80" t="str" cm="1">
        <f t="array" ref="G45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450" s="80" t="str" cm="1">
        <f t="array" ref="H45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450" s="78" t="str" cm="1">
        <f t="array" ref="I45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451" spans="1:9" hidden="1" x14ac:dyDescent="0.3">
      <c r="A451" s="82" t="str" cm="1">
        <f t="array" ref="A45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451" s="79" t="str" cm="1">
        <f t="array" ref="B45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451" s="108" t="str" cm="1">
        <f t="array" ref="C45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451" s="79" t="str" cm="1">
        <f t="array" ref="D45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451" s="79" t="str" cm="1">
        <f t="array" ref="E45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451" s="80" t="str" cm="1">
        <f t="array" ref="F45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451" s="80" t="str" cm="1">
        <f t="array" ref="G45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451" s="80" t="str" cm="1">
        <f t="array" ref="H45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451" s="78" t="str" cm="1">
        <f t="array" ref="I45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452" spans="1:9" hidden="1" x14ac:dyDescent="0.3">
      <c r="A452" s="82" t="str" cm="1">
        <f t="array" ref="A45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452" s="79" t="str" cm="1">
        <f t="array" ref="B45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452" s="108" t="str" cm="1">
        <f t="array" ref="C45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452" s="79" t="str" cm="1">
        <f t="array" ref="D45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452" s="79" t="str" cm="1">
        <f t="array" ref="E45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452" s="80" t="str" cm="1">
        <f t="array" ref="F45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452" s="80" t="str" cm="1">
        <f t="array" ref="G45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452" s="80" t="str" cm="1">
        <f t="array" ref="H45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452" s="78" t="str" cm="1">
        <f t="array" ref="I45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453" spans="1:9" hidden="1" x14ac:dyDescent="0.3">
      <c r="A453" s="82" t="str" cm="1">
        <f t="array" ref="A45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453" s="79" t="str" cm="1">
        <f t="array" ref="B45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453" s="108" t="str" cm="1">
        <f t="array" ref="C45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453" s="79" t="str" cm="1">
        <f t="array" ref="D45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453" s="79" t="str" cm="1">
        <f t="array" ref="E45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453" s="80" t="str" cm="1">
        <f t="array" ref="F45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453" s="80" t="str" cm="1">
        <f t="array" ref="G45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453" s="80" t="str" cm="1">
        <f t="array" ref="H45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453" s="78" t="str" cm="1">
        <f t="array" ref="I45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454" spans="1:9" hidden="1" x14ac:dyDescent="0.3">
      <c r="A454" s="82" t="str" cm="1">
        <f t="array" ref="A45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454" s="79" t="str" cm="1">
        <f t="array" ref="B45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454" s="108" t="str" cm="1">
        <f t="array" ref="C45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454" s="79" t="str" cm="1">
        <f t="array" ref="D45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454" s="79" t="str" cm="1">
        <f t="array" ref="E45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454" s="80" t="str" cm="1">
        <f t="array" ref="F45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454" s="80" t="str" cm="1">
        <f t="array" ref="G45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454" s="80" t="str" cm="1">
        <f t="array" ref="H45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454" s="78" t="str" cm="1">
        <f t="array" ref="I45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455" spans="1:9" hidden="1" x14ac:dyDescent="0.3">
      <c r="A455" s="82" t="str" cm="1">
        <f t="array" ref="A45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455" s="79" t="str" cm="1">
        <f t="array" ref="B45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455" s="108" t="str" cm="1">
        <f t="array" ref="C45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455" s="79" t="str" cm="1">
        <f t="array" ref="D45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455" s="79" t="str" cm="1">
        <f t="array" ref="E45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455" s="80" t="str" cm="1">
        <f t="array" ref="F45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455" s="80" t="str" cm="1">
        <f t="array" ref="G45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455" s="80" t="str" cm="1">
        <f t="array" ref="H45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455" s="78" t="str" cm="1">
        <f t="array" ref="I45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456" spans="1:9" hidden="1" x14ac:dyDescent="0.3">
      <c r="A456" s="82" t="str" cm="1">
        <f t="array" ref="A45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456" s="79" t="str" cm="1">
        <f t="array" ref="B45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456" s="108" t="str" cm="1">
        <f t="array" ref="C45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456" s="79" t="str" cm="1">
        <f t="array" ref="D45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456" s="79" t="str" cm="1">
        <f t="array" ref="E45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456" s="80" t="str" cm="1">
        <f t="array" ref="F45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456" s="80" t="str" cm="1">
        <f t="array" ref="G45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456" s="80" t="str" cm="1">
        <f t="array" ref="H45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456" s="78" t="str" cm="1">
        <f t="array" ref="I45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457" spans="1:9" hidden="1" x14ac:dyDescent="0.3">
      <c r="A457" s="82" t="str" cm="1">
        <f t="array" ref="A45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457" s="79" t="str" cm="1">
        <f t="array" ref="B45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457" s="108" t="str" cm="1">
        <f t="array" ref="C45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457" s="79" t="str" cm="1">
        <f t="array" ref="D45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457" s="79" t="str" cm="1">
        <f t="array" ref="E45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457" s="80" t="str" cm="1">
        <f t="array" ref="F45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457" s="80" t="str" cm="1">
        <f t="array" ref="G45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457" s="80" t="str" cm="1">
        <f t="array" ref="H45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457" s="78" t="str" cm="1">
        <f t="array" ref="I45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458" spans="1:9" hidden="1" x14ac:dyDescent="0.3">
      <c r="A458" s="82" t="str" cm="1">
        <f t="array" ref="A45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458" s="79" t="str" cm="1">
        <f t="array" ref="B45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458" s="108" t="str" cm="1">
        <f t="array" ref="C45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458" s="79" t="str" cm="1">
        <f t="array" ref="D45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458" s="79" t="str" cm="1">
        <f t="array" ref="E45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458" s="80" t="str" cm="1">
        <f t="array" ref="F45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458" s="80" t="str" cm="1">
        <f t="array" ref="G45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458" s="80" t="str" cm="1">
        <f t="array" ref="H45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458" s="78" t="str" cm="1">
        <f t="array" ref="I45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459" spans="1:9" hidden="1" x14ac:dyDescent="0.3">
      <c r="A459" s="82" t="str" cm="1">
        <f t="array" ref="A45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459" s="79" t="str" cm="1">
        <f t="array" ref="B45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459" s="108" t="str" cm="1">
        <f t="array" ref="C45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459" s="79" t="str" cm="1">
        <f t="array" ref="D45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459" s="79" t="str" cm="1">
        <f t="array" ref="E45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459" s="80" t="str" cm="1">
        <f t="array" ref="F45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459" s="80" t="str" cm="1">
        <f t="array" ref="G45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459" s="80" t="str" cm="1">
        <f t="array" ref="H45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459" s="78" t="str" cm="1">
        <f t="array" ref="I45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460" spans="1:9" hidden="1" x14ac:dyDescent="0.3">
      <c r="A460" s="82" t="str" cm="1">
        <f t="array" ref="A46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460" s="79" t="str" cm="1">
        <f t="array" ref="B46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460" s="108" t="str" cm="1">
        <f t="array" ref="C46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460" s="79" t="str" cm="1">
        <f t="array" ref="D46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460" s="79" t="str" cm="1">
        <f t="array" ref="E46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460" s="80" t="str" cm="1">
        <f t="array" ref="F46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460" s="80" t="str" cm="1">
        <f t="array" ref="G46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460" s="80" t="str" cm="1">
        <f t="array" ref="H46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460" s="78" t="str" cm="1">
        <f t="array" ref="I46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461" spans="1:9" hidden="1" x14ac:dyDescent="0.3">
      <c r="A461" s="82" t="str" cm="1">
        <f t="array" ref="A46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461" s="79" t="str" cm="1">
        <f t="array" ref="B46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461" s="108" t="str" cm="1">
        <f t="array" ref="C46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461" s="79" t="str" cm="1">
        <f t="array" ref="D46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461" s="79" t="str" cm="1">
        <f t="array" ref="E46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461" s="80" t="str" cm="1">
        <f t="array" ref="F46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461" s="80" t="str" cm="1">
        <f t="array" ref="G46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461" s="80" t="str" cm="1">
        <f t="array" ref="H46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461" s="78" t="str" cm="1">
        <f t="array" ref="I46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462" spans="1:9" hidden="1" x14ac:dyDescent="0.3">
      <c r="A462" s="82" t="str" cm="1">
        <f t="array" ref="A46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462" s="79" t="str" cm="1">
        <f t="array" ref="B46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462" s="108" t="str" cm="1">
        <f t="array" ref="C46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462" s="79" t="str" cm="1">
        <f t="array" ref="D46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462" s="79" t="str" cm="1">
        <f t="array" ref="E46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462" s="80" t="str" cm="1">
        <f t="array" ref="F46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462" s="80" t="str" cm="1">
        <f t="array" ref="G46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462" s="80" t="str" cm="1">
        <f t="array" ref="H46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462" s="78" t="str" cm="1">
        <f t="array" ref="I46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463" spans="1:9" hidden="1" x14ac:dyDescent="0.3">
      <c r="A463" s="82" t="str" cm="1">
        <f t="array" ref="A46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463" s="79" t="str" cm="1">
        <f t="array" ref="B46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463" s="108" t="str" cm="1">
        <f t="array" ref="C46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463" s="79" t="str" cm="1">
        <f t="array" ref="D46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463" s="79" t="str" cm="1">
        <f t="array" ref="E46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463" s="80" t="str" cm="1">
        <f t="array" ref="F46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463" s="80" t="str" cm="1">
        <f t="array" ref="G46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463" s="80" t="str" cm="1">
        <f t="array" ref="H46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463" s="78" t="str" cm="1">
        <f t="array" ref="I46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464" spans="1:9" hidden="1" x14ac:dyDescent="0.3">
      <c r="A464" s="82" t="str" cm="1">
        <f t="array" ref="A46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464" s="79" t="str" cm="1">
        <f t="array" ref="B46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464" s="108" t="str" cm="1">
        <f t="array" ref="C46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464" s="79" t="str" cm="1">
        <f t="array" ref="D46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464" s="79" t="str" cm="1">
        <f t="array" ref="E46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464" s="80" t="str" cm="1">
        <f t="array" ref="F46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464" s="80" t="str" cm="1">
        <f t="array" ref="G46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464" s="80" t="str" cm="1">
        <f t="array" ref="H46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464" s="78" t="str" cm="1">
        <f t="array" ref="I46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465" spans="1:9" hidden="1" x14ac:dyDescent="0.3">
      <c r="A465" s="82" t="str" cm="1">
        <f t="array" ref="A46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465" s="79" t="str" cm="1">
        <f t="array" ref="B46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465" s="108" t="str" cm="1">
        <f t="array" ref="C46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465" s="79" t="str" cm="1">
        <f t="array" ref="D46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465" s="79" t="str" cm="1">
        <f t="array" ref="E46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465" s="80" t="str" cm="1">
        <f t="array" ref="F46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465" s="80" t="str" cm="1">
        <f t="array" ref="G46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465" s="80" t="str" cm="1">
        <f t="array" ref="H46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465" s="78" t="str" cm="1">
        <f t="array" ref="I46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466" spans="1:9" hidden="1" x14ac:dyDescent="0.3">
      <c r="A466" s="82" t="str" cm="1">
        <f t="array" ref="A46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466" s="79" t="str" cm="1">
        <f t="array" ref="B46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466" s="108" t="str" cm="1">
        <f t="array" ref="C46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466" s="79" t="str" cm="1">
        <f t="array" ref="D46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466" s="79" t="str" cm="1">
        <f t="array" ref="E46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466" s="80" t="str" cm="1">
        <f t="array" ref="F46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466" s="80" t="str" cm="1">
        <f t="array" ref="G46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466" s="80" t="str" cm="1">
        <f t="array" ref="H46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466" s="78" t="str" cm="1">
        <f t="array" ref="I46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467" spans="1:9" hidden="1" x14ac:dyDescent="0.3">
      <c r="A467" s="82" t="str" cm="1">
        <f t="array" ref="A46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467" s="79" t="str" cm="1">
        <f t="array" ref="B46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467" s="108" t="str" cm="1">
        <f t="array" ref="C46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467" s="79" t="str" cm="1">
        <f t="array" ref="D46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467" s="79" t="str" cm="1">
        <f t="array" ref="E46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467" s="80" t="str" cm="1">
        <f t="array" ref="F46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467" s="80" t="str" cm="1">
        <f t="array" ref="G46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467" s="80" t="str" cm="1">
        <f t="array" ref="H46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467" s="78" t="str" cm="1">
        <f t="array" ref="I46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468" spans="1:9" hidden="1" x14ac:dyDescent="0.3">
      <c r="A468" s="82" t="str" cm="1">
        <f t="array" ref="A46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468" s="79" t="str" cm="1">
        <f t="array" ref="B46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468" s="108" t="str" cm="1">
        <f t="array" ref="C46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468" s="79" t="str" cm="1">
        <f t="array" ref="D46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468" s="79" t="str" cm="1">
        <f t="array" ref="E46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468" s="80" t="str" cm="1">
        <f t="array" ref="F46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468" s="80" t="str" cm="1">
        <f t="array" ref="G46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468" s="80" t="str" cm="1">
        <f t="array" ref="H46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468" s="78" t="str" cm="1">
        <f t="array" ref="I46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469" spans="1:9" hidden="1" x14ac:dyDescent="0.3">
      <c r="A469" s="82" t="str" cm="1">
        <f t="array" ref="A46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469" s="79" t="str" cm="1">
        <f t="array" ref="B46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469" s="108" t="str" cm="1">
        <f t="array" ref="C46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469" s="79" t="str" cm="1">
        <f t="array" ref="D46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469" s="79" t="str" cm="1">
        <f t="array" ref="E46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469" s="80" t="str" cm="1">
        <f t="array" ref="F46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469" s="80" t="str" cm="1">
        <f t="array" ref="G46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469" s="80" t="str" cm="1">
        <f t="array" ref="H46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469" s="78" t="str" cm="1">
        <f t="array" ref="I46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470" spans="1:9" hidden="1" x14ac:dyDescent="0.3">
      <c r="A470" s="82" t="str" cm="1">
        <f t="array" ref="A47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470" s="79" t="str" cm="1">
        <f t="array" ref="B47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470" s="108" t="str" cm="1">
        <f t="array" ref="C47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470" s="79" t="str" cm="1">
        <f t="array" ref="D47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470" s="79" t="str" cm="1">
        <f t="array" ref="E47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470" s="80" t="str" cm="1">
        <f t="array" ref="F47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470" s="80" t="str" cm="1">
        <f t="array" ref="G47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470" s="80" t="str" cm="1">
        <f t="array" ref="H47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470" s="78" t="str" cm="1">
        <f t="array" ref="I47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471" spans="1:9" hidden="1" x14ac:dyDescent="0.3">
      <c r="A471" s="82" t="str" cm="1">
        <f t="array" ref="A47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471" s="79" t="str" cm="1">
        <f t="array" ref="B47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471" s="108" t="str" cm="1">
        <f t="array" ref="C47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471" s="79" t="str" cm="1">
        <f t="array" ref="D47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471" s="79" t="str" cm="1">
        <f t="array" ref="E47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471" s="80" t="str" cm="1">
        <f t="array" ref="F47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471" s="80" t="str" cm="1">
        <f t="array" ref="G47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471" s="80" t="str" cm="1">
        <f t="array" ref="H47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471" s="78" t="str" cm="1">
        <f t="array" ref="I47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472" spans="1:9" hidden="1" x14ac:dyDescent="0.3">
      <c r="A472" s="82" t="str" cm="1">
        <f t="array" ref="A47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472" s="79" t="str" cm="1">
        <f t="array" ref="B47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472" s="108" t="str" cm="1">
        <f t="array" ref="C47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472" s="79" t="str" cm="1">
        <f t="array" ref="D47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472" s="79" t="str" cm="1">
        <f t="array" ref="E47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472" s="80" t="str" cm="1">
        <f t="array" ref="F47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472" s="80" t="str" cm="1">
        <f t="array" ref="G47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472" s="80" t="str" cm="1">
        <f t="array" ref="H47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472" s="78" t="str" cm="1">
        <f t="array" ref="I47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473" spans="1:9" hidden="1" x14ac:dyDescent="0.3">
      <c r="A473" s="82" t="str" cm="1">
        <f t="array" ref="A47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473" s="79" t="str" cm="1">
        <f t="array" ref="B47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473" s="108" t="str" cm="1">
        <f t="array" ref="C47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473" s="79" t="str" cm="1">
        <f t="array" ref="D47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473" s="79" t="str" cm="1">
        <f t="array" ref="E47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473" s="80" t="str" cm="1">
        <f t="array" ref="F47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473" s="80" t="str" cm="1">
        <f t="array" ref="G47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473" s="80" t="str" cm="1">
        <f t="array" ref="H47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473" s="78" t="str" cm="1">
        <f t="array" ref="I47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474" spans="1:9" hidden="1" x14ac:dyDescent="0.3">
      <c r="A474" s="82" t="str" cm="1">
        <f t="array" ref="A47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474" s="79" t="str" cm="1">
        <f t="array" ref="B47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474" s="108" t="str" cm="1">
        <f t="array" ref="C47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474" s="79" t="str" cm="1">
        <f t="array" ref="D47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474" s="79" t="str" cm="1">
        <f t="array" ref="E47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474" s="80" t="str" cm="1">
        <f t="array" ref="F47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474" s="80" t="str" cm="1">
        <f t="array" ref="G47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474" s="80" t="str" cm="1">
        <f t="array" ref="H47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474" s="78" t="str" cm="1">
        <f t="array" ref="I47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475" spans="1:9" hidden="1" x14ac:dyDescent="0.3">
      <c r="A475" s="82" t="str" cm="1">
        <f t="array" ref="A47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475" s="79" t="str" cm="1">
        <f t="array" ref="B47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475" s="108" t="str" cm="1">
        <f t="array" ref="C47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475" s="79" t="str" cm="1">
        <f t="array" ref="D47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475" s="79" t="str" cm="1">
        <f t="array" ref="E47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475" s="80" t="str" cm="1">
        <f t="array" ref="F47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475" s="80" t="str" cm="1">
        <f t="array" ref="G47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475" s="80" t="str" cm="1">
        <f t="array" ref="H47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475" s="78" t="str" cm="1">
        <f t="array" ref="I47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476" spans="1:9" hidden="1" x14ac:dyDescent="0.3">
      <c r="A476" s="82" t="str" cm="1">
        <f t="array" ref="A47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476" s="79" t="str" cm="1">
        <f t="array" ref="B47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476" s="108" t="str" cm="1">
        <f t="array" ref="C47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476" s="79" t="str" cm="1">
        <f t="array" ref="D47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476" s="79" t="str" cm="1">
        <f t="array" ref="E47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476" s="80" t="str" cm="1">
        <f t="array" ref="F47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476" s="80" t="str" cm="1">
        <f t="array" ref="G47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476" s="80" t="str" cm="1">
        <f t="array" ref="H47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476" s="78" t="str" cm="1">
        <f t="array" ref="I47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477" spans="1:9" hidden="1" x14ac:dyDescent="0.3">
      <c r="A477" s="82" t="str" cm="1">
        <f t="array" ref="A47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477" s="79" t="str" cm="1">
        <f t="array" ref="B47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477" s="108" t="str" cm="1">
        <f t="array" ref="C47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477" s="79" t="str" cm="1">
        <f t="array" ref="D47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477" s="79" t="str" cm="1">
        <f t="array" ref="E47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477" s="80" t="str" cm="1">
        <f t="array" ref="F47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477" s="80" t="str" cm="1">
        <f t="array" ref="G47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477" s="80" t="str" cm="1">
        <f t="array" ref="H47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477" s="78" t="str" cm="1">
        <f t="array" ref="I47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478" spans="1:9" hidden="1" x14ac:dyDescent="0.3">
      <c r="A478" s="82" t="str" cm="1">
        <f t="array" ref="A47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478" s="79" t="str" cm="1">
        <f t="array" ref="B47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478" s="108" t="str" cm="1">
        <f t="array" ref="C47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478" s="79" t="str" cm="1">
        <f t="array" ref="D47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478" s="79" t="str" cm="1">
        <f t="array" ref="E47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478" s="80" t="str" cm="1">
        <f t="array" ref="F47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478" s="80" t="str" cm="1">
        <f t="array" ref="G47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478" s="80" t="str" cm="1">
        <f t="array" ref="H47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478" s="78" t="str" cm="1">
        <f t="array" ref="I47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479" spans="1:9" hidden="1" x14ac:dyDescent="0.3">
      <c r="A479" s="82" t="str" cm="1">
        <f t="array" ref="A47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479" s="79" t="str" cm="1">
        <f t="array" ref="B47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479" s="108" t="str" cm="1">
        <f t="array" ref="C47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479" s="79" t="str" cm="1">
        <f t="array" ref="D47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479" s="79" t="str" cm="1">
        <f t="array" ref="E47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479" s="80" t="str" cm="1">
        <f t="array" ref="F47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479" s="80" t="str" cm="1">
        <f t="array" ref="G47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479" s="80" t="str" cm="1">
        <f t="array" ref="H47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479" s="78" t="str" cm="1">
        <f t="array" ref="I47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480" spans="1:9" hidden="1" x14ac:dyDescent="0.3">
      <c r="A480" s="82" t="str" cm="1">
        <f t="array" ref="A48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480" s="79" t="str" cm="1">
        <f t="array" ref="B48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480" s="108" t="str" cm="1">
        <f t="array" ref="C48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480" s="79" t="str" cm="1">
        <f t="array" ref="D48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480" s="79" t="str" cm="1">
        <f t="array" ref="E48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480" s="80" t="str" cm="1">
        <f t="array" ref="F48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480" s="80" t="str" cm="1">
        <f t="array" ref="G48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480" s="80" t="str" cm="1">
        <f t="array" ref="H48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480" s="78" t="str" cm="1">
        <f t="array" ref="I48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481" spans="1:9" hidden="1" x14ac:dyDescent="0.3">
      <c r="A481" s="82" t="str" cm="1">
        <f t="array" ref="A48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481" s="79" t="str" cm="1">
        <f t="array" ref="B48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481" s="108" t="str" cm="1">
        <f t="array" ref="C48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481" s="79" t="str" cm="1">
        <f t="array" ref="D48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481" s="79" t="str" cm="1">
        <f t="array" ref="E48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481" s="80" t="str" cm="1">
        <f t="array" ref="F48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481" s="80" t="str" cm="1">
        <f t="array" ref="G48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481" s="80" t="str" cm="1">
        <f t="array" ref="H48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481" s="78" t="str" cm="1">
        <f t="array" ref="I48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482" spans="1:9" hidden="1" x14ac:dyDescent="0.3">
      <c r="A482" s="82" t="str" cm="1">
        <f t="array" ref="A48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482" s="79" t="str" cm="1">
        <f t="array" ref="B48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482" s="108" t="str" cm="1">
        <f t="array" ref="C48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482" s="79" t="str" cm="1">
        <f t="array" ref="D48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482" s="79" t="str" cm="1">
        <f t="array" ref="E48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482" s="80" t="str" cm="1">
        <f t="array" ref="F48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482" s="80" t="str" cm="1">
        <f t="array" ref="G48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482" s="80" t="str" cm="1">
        <f t="array" ref="H48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482" s="78" t="str" cm="1">
        <f t="array" ref="I48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483" spans="1:9" hidden="1" x14ac:dyDescent="0.3">
      <c r="A483" s="82" t="str" cm="1">
        <f t="array" ref="A48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483" s="79" t="str" cm="1">
        <f t="array" ref="B48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483" s="108" t="str" cm="1">
        <f t="array" ref="C48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483" s="79" t="str" cm="1">
        <f t="array" ref="D48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483" s="79" t="str" cm="1">
        <f t="array" ref="E48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483" s="80" t="str" cm="1">
        <f t="array" ref="F48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483" s="80" t="str" cm="1">
        <f t="array" ref="G48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483" s="80" t="str" cm="1">
        <f t="array" ref="H48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483" s="78" t="str" cm="1">
        <f t="array" ref="I48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484" spans="1:9" hidden="1" x14ac:dyDescent="0.3">
      <c r="A484" s="82" t="str" cm="1">
        <f t="array" ref="A48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484" s="79" t="str" cm="1">
        <f t="array" ref="B48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484" s="108" t="str" cm="1">
        <f t="array" ref="C48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484" s="79" t="str" cm="1">
        <f t="array" ref="D48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484" s="79" t="str" cm="1">
        <f t="array" ref="E48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484" s="80" t="str" cm="1">
        <f t="array" ref="F48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484" s="80" t="str" cm="1">
        <f t="array" ref="G48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484" s="80" t="str" cm="1">
        <f t="array" ref="H48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484" s="78" t="str" cm="1">
        <f t="array" ref="I48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485" spans="1:9" hidden="1" x14ac:dyDescent="0.3">
      <c r="A485" s="82" t="str" cm="1">
        <f t="array" ref="A48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485" s="79" t="str" cm="1">
        <f t="array" ref="B48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485" s="108" t="str" cm="1">
        <f t="array" ref="C48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485" s="79" t="str" cm="1">
        <f t="array" ref="D48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485" s="79" t="str" cm="1">
        <f t="array" ref="E48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485" s="80" t="str" cm="1">
        <f t="array" ref="F48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485" s="80" t="str" cm="1">
        <f t="array" ref="G48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485" s="80" t="str" cm="1">
        <f t="array" ref="H48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485" s="78" t="str" cm="1">
        <f t="array" ref="I48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486" spans="1:9" hidden="1" x14ac:dyDescent="0.3">
      <c r="A486" s="82" t="str" cm="1">
        <f t="array" ref="A48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486" s="79" t="str" cm="1">
        <f t="array" ref="B48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486" s="108" t="str" cm="1">
        <f t="array" ref="C48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486" s="79" t="str" cm="1">
        <f t="array" ref="D48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486" s="79" t="str" cm="1">
        <f t="array" ref="E48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486" s="80" t="str" cm="1">
        <f t="array" ref="F48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486" s="80" t="str" cm="1">
        <f t="array" ref="G48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486" s="80" t="str" cm="1">
        <f t="array" ref="H48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486" s="78" t="str" cm="1">
        <f t="array" ref="I48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487" spans="1:9" hidden="1" x14ac:dyDescent="0.3">
      <c r="A487" s="82" t="str" cm="1">
        <f t="array" ref="A48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487" s="79" t="str" cm="1">
        <f t="array" ref="B48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487" s="108" t="str" cm="1">
        <f t="array" ref="C48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487" s="79" t="str" cm="1">
        <f t="array" ref="D48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487" s="79" t="str" cm="1">
        <f t="array" ref="E48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487" s="80" t="str" cm="1">
        <f t="array" ref="F48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487" s="80" t="str" cm="1">
        <f t="array" ref="G48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487" s="80" t="str" cm="1">
        <f t="array" ref="H48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487" s="78" t="str" cm="1">
        <f t="array" ref="I48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488" spans="1:9" hidden="1" x14ac:dyDescent="0.3">
      <c r="A488" s="82" t="str" cm="1">
        <f t="array" ref="A48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488" s="79" t="str" cm="1">
        <f t="array" ref="B48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488" s="108" t="str" cm="1">
        <f t="array" ref="C48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488" s="79" t="str" cm="1">
        <f t="array" ref="D48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488" s="79" t="str" cm="1">
        <f t="array" ref="E48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488" s="80" t="str" cm="1">
        <f t="array" ref="F48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488" s="80" t="str" cm="1">
        <f t="array" ref="G48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488" s="80" t="str" cm="1">
        <f t="array" ref="H48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488" s="78" t="str" cm="1">
        <f t="array" ref="I48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489" spans="1:9" hidden="1" x14ac:dyDescent="0.3">
      <c r="A489" s="82" t="str" cm="1">
        <f t="array" ref="A48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489" s="79" t="str" cm="1">
        <f t="array" ref="B48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489" s="108" t="str" cm="1">
        <f t="array" ref="C48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489" s="79" t="str" cm="1">
        <f t="array" ref="D48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489" s="79" t="str" cm="1">
        <f t="array" ref="E48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489" s="80" t="str" cm="1">
        <f t="array" ref="F48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489" s="80" t="str" cm="1">
        <f t="array" ref="G48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489" s="80" t="str" cm="1">
        <f t="array" ref="H48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489" s="78" t="str" cm="1">
        <f t="array" ref="I48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490" spans="1:9" hidden="1" x14ac:dyDescent="0.3">
      <c r="A490" s="82" t="str" cm="1">
        <f t="array" ref="A49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490" s="79" t="str" cm="1">
        <f t="array" ref="B49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490" s="108" t="str" cm="1">
        <f t="array" ref="C49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490" s="79" t="str" cm="1">
        <f t="array" ref="D49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490" s="79" t="str" cm="1">
        <f t="array" ref="E49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490" s="80" t="str" cm="1">
        <f t="array" ref="F49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490" s="80" t="str" cm="1">
        <f t="array" ref="G49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490" s="80" t="str" cm="1">
        <f t="array" ref="H49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490" s="78" t="str" cm="1">
        <f t="array" ref="I49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491" spans="1:9" hidden="1" x14ac:dyDescent="0.3">
      <c r="A491" s="82" t="str" cm="1">
        <f t="array" ref="A49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491" s="79" t="str" cm="1">
        <f t="array" ref="B49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491" s="108" t="str" cm="1">
        <f t="array" ref="C49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491" s="79" t="str" cm="1">
        <f t="array" ref="D49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491" s="79" t="str" cm="1">
        <f t="array" ref="E49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491" s="80" t="str" cm="1">
        <f t="array" ref="F49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491" s="80" t="str" cm="1">
        <f t="array" ref="G49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491" s="80" t="str" cm="1">
        <f t="array" ref="H49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491" s="78" t="str" cm="1">
        <f t="array" ref="I49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492" spans="1:9" hidden="1" x14ac:dyDescent="0.3">
      <c r="A492" s="82" t="str" cm="1">
        <f t="array" ref="A49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492" s="79" t="str" cm="1">
        <f t="array" ref="B49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492" s="108" t="str" cm="1">
        <f t="array" ref="C49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492" s="79" t="str" cm="1">
        <f t="array" ref="D49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492" s="79" t="str" cm="1">
        <f t="array" ref="E49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492" s="80" t="str" cm="1">
        <f t="array" ref="F49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492" s="80" t="str" cm="1">
        <f t="array" ref="G49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492" s="80" t="str" cm="1">
        <f t="array" ref="H49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492" s="78" t="str" cm="1">
        <f t="array" ref="I49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493" spans="1:9" hidden="1" x14ac:dyDescent="0.3">
      <c r="A493" s="82" t="str" cm="1">
        <f t="array" ref="A49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493" s="79" t="str" cm="1">
        <f t="array" ref="B49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493" s="108" t="str" cm="1">
        <f t="array" ref="C49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493" s="79" t="str" cm="1">
        <f t="array" ref="D49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493" s="79" t="str" cm="1">
        <f t="array" ref="E49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493" s="80" t="str" cm="1">
        <f t="array" ref="F49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493" s="80" t="str" cm="1">
        <f t="array" ref="G49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493" s="80" t="str" cm="1">
        <f t="array" ref="H49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493" s="78" t="str" cm="1">
        <f t="array" ref="I49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494" spans="1:9" hidden="1" x14ac:dyDescent="0.3">
      <c r="A494" s="82" t="str" cm="1">
        <f t="array" ref="A49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494" s="79" t="str" cm="1">
        <f t="array" ref="B49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494" s="108" t="str" cm="1">
        <f t="array" ref="C49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494" s="79" t="str" cm="1">
        <f t="array" ref="D49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494" s="79" t="str" cm="1">
        <f t="array" ref="E49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494" s="80" t="str" cm="1">
        <f t="array" ref="F49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494" s="80" t="str" cm="1">
        <f t="array" ref="G49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494" s="80" t="str" cm="1">
        <f t="array" ref="H49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494" s="78" t="str" cm="1">
        <f t="array" ref="I49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495" spans="1:9" hidden="1" x14ac:dyDescent="0.3">
      <c r="A495" s="82" t="str" cm="1">
        <f t="array" ref="A49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495" s="79" t="str" cm="1">
        <f t="array" ref="B49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495" s="108" t="str" cm="1">
        <f t="array" ref="C49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495" s="79" t="str" cm="1">
        <f t="array" ref="D49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495" s="79" t="str" cm="1">
        <f t="array" ref="E49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495" s="80" t="str" cm="1">
        <f t="array" ref="F49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495" s="80" t="str" cm="1">
        <f t="array" ref="G49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495" s="80" t="str" cm="1">
        <f t="array" ref="H49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495" s="78" t="str" cm="1">
        <f t="array" ref="I49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496" spans="1:9" hidden="1" x14ac:dyDescent="0.3">
      <c r="A496" s="82" t="str" cm="1">
        <f t="array" ref="A49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496" s="79" t="str" cm="1">
        <f t="array" ref="B49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496" s="108" t="str" cm="1">
        <f t="array" ref="C49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496" s="79" t="str" cm="1">
        <f t="array" ref="D49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496" s="79" t="str" cm="1">
        <f t="array" ref="E49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496" s="80" t="str" cm="1">
        <f t="array" ref="F49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496" s="80" t="str" cm="1">
        <f t="array" ref="G49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496" s="80" t="str" cm="1">
        <f t="array" ref="H49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496" s="78" t="str" cm="1">
        <f t="array" ref="I49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497" spans="1:9" hidden="1" x14ac:dyDescent="0.3">
      <c r="A497" s="82" t="str" cm="1">
        <f t="array" ref="A49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497" s="79" t="str" cm="1">
        <f t="array" ref="B49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497" s="108" t="str" cm="1">
        <f t="array" ref="C49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497" s="79" t="str" cm="1">
        <f t="array" ref="D49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497" s="79" t="str" cm="1">
        <f t="array" ref="E49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497" s="80" t="str" cm="1">
        <f t="array" ref="F49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497" s="80" t="str" cm="1">
        <f t="array" ref="G49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497" s="80" t="str" cm="1">
        <f t="array" ref="H49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497" s="78" t="str" cm="1">
        <f t="array" ref="I49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498" spans="1:9" hidden="1" x14ac:dyDescent="0.3">
      <c r="A498" s="82" t="str" cm="1">
        <f t="array" ref="A49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498" s="79" t="str" cm="1">
        <f t="array" ref="B49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498" s="108" t="str" cm="1">
        <f t="array" ref="C49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498" s="79" t="str" cm="1">
        <f t="array" ref="D49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498" s="79" t="str" cm="1">
        <f t="array" ref="E49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498" s="80" t="str" cm="1">
        <f t="array" ref="F49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498" s="80" t="str" cm="1">
        <f t="array" ref="G49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498" s="80" t="str" cm="1">
        <f t="array" ref="H49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498" s="78" t="str" cm="1">
        <f t="array" ref="I49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499" spans="1:9" hidden="1" x14ac:dyDescent="0.3">
      <c r="A499" s="82" t="str" cm="1">
        <f t="array" ref="A49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499" s="79" t="str" cm="1">
        <f t="array" ref="B49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499" s="108" t="str" cm="1">
        <f t="array" ref="C49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499" s="79" t="str" cm="1">
        <f t="array" ref="D49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499" s="79" t="str" cm="1">
        <f t="array" ref="E49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499" s="80" t="str" cm="1">
        <f t="array" ref="F49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499" s="80" t="str" cm="1">
        <f t="array" ref="G49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499" s="80" t="str" cm="1">
        <f t="array" ref="H49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499" s="78" t="str" cm="1">
        <f t="array" ref="I49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500" spans="1:9" hidden="1" x14ac:dyDescent="0.3">
      <c r="A500" s="82" t="str" cm="1">
        <f t="array" ref="A50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500" s="79" t="str" cm="1">
        <f t="array" ref="B50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500" s="108" t="str" cm="1">
        <f t="array" ref="C50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500" s="79" t="str" cm="1">
        <f t="array" ref="D50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500" s="79" t="str" cm="1">
        <f t="array" ref="E50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500" s="80" t="str" cm="1">
        <f t="array" ref="F50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500" s="80" t="str" cm="1">
        <f t="array" ref="G50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500" s="80" t="str" cm="1">
        <f t="array" ref="H50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500" s="78" t="str" cm="1">
        <f t="array" ref="I50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501" spans="1:9" hidden="1" x14ac:dyDescent="0.3">
      <c r="A501" s="82" t="str" cm="1">
        <f t="array" ref="A50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501" s="79" t="str" cm="1">
        <f t="array" ref="B50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501" s="108" t="str" cm="1">
        <f t="array" ref="C50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501" s="79" t="str" cm="1">
        <f t="array" ref="D50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501" s="79" t="str" cm="1">
        <f t="array" ref="E50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501" s="80" t="str" cm="1">
        <f t="array" ref="F50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501" s="80" t="str" cm="1">
        <f t="array" ref="G50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501" s="80" t="str" cm="1">
        <f t="array" ref="H50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501" s="78" t="str" cm="1">
        <f t="array" ref="I50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502" spans="1:9" hidden="1" x14ac:dyDescent="0.3">
      <c r="A502" s="82" t="str" cm="1">
        <f t="array" ref="A50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502" s="79" t="str" cm="1">
        <f t="array" ref="B50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502" s="108" t="str" cm="1">
        <f t="array" ref="C50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502" s="79" t="str" cm="1">
        <f t="array" ref="D50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502" s="79" t="str" cm="1">
        <f t="array" ref="E50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502" s="80" t="str" cm="1">
        <f t="array" ref="F50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502" s="80" t="str" cm="1">
        <f t="array" ref="G50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502" s="80" t="str" cm="1">
        <f t="array" ref="H50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502" s="78" t="str" cm="1">
        <f t="array" ref="I50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503" spans="1:9" hidden="1" x14ac:dyDescent="0.3">
      <c r="A503" s="82" t="str" cm="1">
        <f t="array" ref="A50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503" s="79" t="str" cm="1">
        <f t="array" ref="B50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503" s="108" t="str" cm="1">
        <f t="array" ref="C50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503" s="79" t="str" cm="1">
        <f t="array" ref="D50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503" s="79" t="str" cm="1">
        <f t="array" ref="E50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503" s="80" t="str" cm="1">
        <f t="array" ref="F50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503" s="80" t="str" cm="1">
        <f t="array" ref="G50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503" s="80" t="str" cm="1">
        <f t="array" ref="H50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503" s="78" t="str" cm="1">
        <f t="array" ref="I50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504" spans="1:9" hidden="1" x14ac:dyDescent="0.3">
      <c r="A504" s="82" t="str" cm="1">
        <f t="array" ref="A50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504" s="79" t="str" cm="1">
        <f t="array" ref="B50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504" s="108" t="str" cm="1">
        <f t="array" ref="C50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504" s="79" t="str" cm="1">
        <f t="array" ref="D50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504" s="79" t="str" cm="1">
        <f t="array" ref="E50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504" s="80" t="str" cm="1">
        <f t="array" ref="F50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504" s="80" t="str" cm="1">
        <f t="array" ref="G50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504" s="80" t="str" cm="1">
        <f t="array" ref="H50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504" s="78" t="str" cm="1">
        <f t="array" ref="I50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505" spans="1:9" hidden="1" x14ac:dyDescent="0.3">
      <c r="A505" s="82" t="str" cm="1">
        <f t="array" ref="A50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505" s="79" t="str" cm="1">
        <f t="array" ref="B50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505" s="108" t="str" cm="1">
        <f t="array" ref="C50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505" s="79" t="str" cm="1">
        <f t="array" ref="D50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505" s="79" t="str" cm="1">
        <f t="array" ref="E50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505" s="80" t="str" cm="1">
        <f t="array" ref="F50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505" s="80" t="str" cm="1">
        <f t="array" ref="G50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505" s="80" t="str" cm="1">
        <f t="array" ref="H50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505" s="78" t="str" cm="1">
        <f t="array" ref="I50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506" spans="1:9" hidden="1" x14ac:dyDescent="0.3">
      <c r="A506" s="82" t="str" cm="1">
        <f t="array" ref="A50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506" s="79" t="str" cm="1">
        <f t="array" ref="B50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506" s="108" t="str" cm="1">
        <f t="array" ref="C50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506" s="79" t="str" cm="1">
        <f t="array" ref="D50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506" s="79" t="str" cm="1">
        <f t="array" ref="E50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506" s="80" t="str" cm="1">
        <f t="array" ref="F50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506" s="80" t="str" cm="1">
        <f t="array" ref="G50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506" s="80" t="str" cm="1">
        <f t="array" ref="H50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506" s="78" t="str" cm="1">
        <f t="array" ref="I50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507" spans="1:9" hidden="1" x14ac:dyDescent="0.3">
      <c r="A507" s="82" t="str" cm="1">
        <f t="array" ref="A50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507" s="79" t="str" cm="1">
        <f t="array" ref="B50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507" s="108" t="str" cm="1">
        <f t="array" ref="C50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507" s="79" t="str" cm="1">
        <f t="array" ref="D50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507" s="79" t="str" cm="1">
        <f t="array" ref="E50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507" s="80" t="str" cm="1">
        <f t="array" ref="F50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507" s="80" t="str" cm="1">
        <f t="array" ref="G50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507" s="80" t="str" cm="1">
        <f t="array" ref="H50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507" s="78" t="str" cm="1">
        <f t="array" ref="I50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508" spans="1:9" hidden="1" x14ac:dyDescent="0.3">
      <c r="A508" s="82" t="str" cm="1">
        <f t="array" ref="A50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508" s="79" t="str" cm="1">
        <f t="array" ref="B50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508" s="108" t="str" cm="1">
        <f t="array" ref="C50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508" s="79" t="str" cm="1">
        <f t="array" ref="D50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508" s="79" t="str" cm="1">
        <f t="array" ref="E50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508" s="80" t="str" cm="1">
        <f t="array" ref="F50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508" s="80" t="str" cm="1">
        <f t="array" ref="G50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508" s="80" t="str" cm="1">
        <f t="array" ref="H50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508" s="78" t="str" cm="1">
        <f t="array" ref="I50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509" spans="1:9" hidden="1" x14ac:dyDescent="0.3">
      <c r="A509" s="82" t="str" cm="1">
        <f t="array" ref="A50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509" s="79" t="str" cm="1">
        <f t="array" ref="B50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509" s="108" t="str" cm="1">
        <f t="array" ref="C50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509" s="79" t="str" cm="1">
        <f t="array" ref="D50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509" s="79" t="str" cm="1">
        <f t="array" ref="E50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509" s="80" t="str" cm="1">
        <f t="array" ref="F50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509" s="80" t="str" cm="1">
        <f t="array" ref="G50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509" s="80" t="str" cm="1">
        <f t="array" ref="H50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509" s="78" t="str" cm="1">
        <f t="array" ref="I50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510" spans="1:9" hidden="1" x14ac:dyDescent="0.3">
      <c r="A510" s="82" t="str" cm="1">
        <f t="array" ref="A51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510" s="79" t="str" cm="1">
        <f t="array" ref="B51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510" s="108" t="str" cm="1">
        <f t="array" ref="C51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510" s="79" t="str" cm="1">
        <f t="array" ref="D51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510" s="79" t="str" cm="1">
        <f t="array" ref="E51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510" s="80" t="str" cm="1">
        <f t="array" ref="F51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510" s="80" t="str" cm="1">
        <f t="array" ref="G51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510" s="80" t="str" cm="1">
        <f t="array" ref="H51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510" s="78" t="str" cm="1">
        <f t="array" ref="I51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511" spans="1:9" hidden="1" x14ac:dyDescent="0.3">
      <c r="A511" s="82" t="str" cm="1">
        <f t="array" ref="A51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511" s="79" t="str" cm="1">
        <f t="array" ref="B51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511" s="108" t="str" cm="1">
        <f t="array" ref="C51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511" s="79" t="str" cm="1">
        <f t="array" ref="D51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511" s="79" t="str" cm="1">
        <f t="array" ref="E51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511" s="80" t="str" cm="1">
        <f t="array" ref="F51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511" s="80" t="str" cm="1">
        <f t="array" ref="G51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511" s="80" t="str" cm="1">
        <f t="array" ref="H51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511" s="78" t="str" cm="1">
        <f t="array" ref="I51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512" spans="1:9" hidden="1" x14ac:dyDescent="0.3">
      <c r="A512" s="82" t="str" cm="1">
        <f t="array" ref="A51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512" s="79" t="str" cm="1">
        <f t="array" ref="B51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512" s="108" t="str" cm="1">
        <f t="array" ref="C51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512" s="79" t="str" cm="1">
        <f t="array" ref="D51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512" s="79" t="str" cm="1">
        <f t="array" ref="E51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512" s="80" t="str" cm="1">
        <f t="array" ref="F51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512" s="80" t="str" cm="1">
        <f t="array" ref="G51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512" s="80" t="str" cm="1">
        <f t="array" ref="H51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512" s="78" t="str" cm="1">
        <f t="array" ref="I51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513" spans="1:9" hidden="1" x14ac:dyDescent="0.3">
      <c r="A513" s="82" t="str" cm="1">
        <f t="array" ref="A51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513" s="79" t="str" cm="1">
        <f t="array" ref="B51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513" s="108" t="str" cm="1">
        <f t="array" ref="C51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513" s="79" t="str" cm="1">
        <f t="array" ref="D51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513" s="79" t="str" cm="1">
        <f t="array" ref="E51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513" s="80" t="str" cm="1">
        <f t="array" ref="F51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513" s="80" t="str" cm="1">
        <f t="array" ref="G51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513" s="80" t="str" cm="1">
        <f t="array" ref="H51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513" s="78" t="str" cm="1">
        <f t="array" ref="I51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514" spans="1:9" hidden="1" x14ac:dyDescent="0.3">
      <c r="A514" s="82" t="str" cm="1">
        <f t="array" ref="A51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514" s="79" t="str" cm="1">
        <f t="array" ref="B51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514" s="108" t="str" cm="1">
        <f t="array" ref="C51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514" s="79" t="str" cm="1">
        <f t="array" ref="D51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514" s="79" t="str" cm="1">
        <f t="array" ref="E51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514" s="80" t="str" cm="1">
        <f t="array" ref="F51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514" s="80" t="str" cm="1">
        <f t="array" ref="G51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514" s="80" t="str" cm="1">
        <f t="array" ref="H51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514" s="78" t="str" cm="1">
        <f t="array" ref="I51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515" spans="1:9" hidden="1" x14ac:dyDescent="0.3">
      <c r="A515" s="82" t="str" cm="1">
        <f t="array" ref="A51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515" s="79" t="str" cm="1">
        <f t="array" ref="B51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515" s="108" t="str" cm="1">
        <f t="array" ref="C51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515" s="79" t="str" cm="1">
        <f t="array" ref="D51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515" s="79" t="str" cm="1">
        <f t="array" ref="E51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515" s="80" t="str" cm="1">
        <f t="array" ref="F51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515" s="80" t="str" cm="1">
        <f t="array" ref="G51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515" s="80" t="str" cm="1">
        <f t="array" ref="H51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515" s="78" t="str" cm="1">
        <f t="array" ref="I51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516" spans="1:9" hidden="1" x14ac:dyDescent="0.3">
      <c r="A516" s="82" t="str" cm="1">
        <f t="array" ref="A51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516" s="79" t="str" cm="1">
        <f t="array" ref="B51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516" s="108" t="str" cm="1">
        <f t="array" ref="C51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516" s="79" t="str" cm="1">
        <f t="array" ref="D51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516" s="79" t="str" cm="1">
        <f t="array" ref="E51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516" s="80" t="str" cm="1">
        <f t="array" ref="F51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516" s="80" t="str" cm="1">
        <f t="array" ref="G51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516" s="80" t="str" cm="1">
        <f t="array" ref="H51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516" s="78" t="str" cm="1">
        <f t="array" ref="I51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517" spans="1:9" hidden="1" x14ac:dyDescent="0.3">
      <c r="A517" s="82" t="str" cm="1">
        <f t="array" ref="A51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517" s="79" t="str" cm="1">
        <f t="array" ref="B51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517" s="108" t="str" cm="1">
        <f t="array" ref="C51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517" s="79" t="str" cm="1">
        <f t="array" ref="D51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517" s="79" t="str" cm="1">
        <f t="array" ref="E51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517" s="80" t="str" cm="1">
        <f t="array" ref="F51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517" s="80" t="str" cm="1">
        <f t="array" ref="G51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517" s="80" t="str" cm="1">
        <f t="array" ref="H51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517" s="78" t="str" cm="1">
        <f t="array" ref="I51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518" spans="1:9" hidden="1" x14ac:dyDescent="0.3">
      <c r="A518" s="82" t="str" cm="1">
        <f t="array" ref="A51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518" s="79" t="str" cm="1">
        <f t="array" ref="B51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518" s="108" t="str" cm="1">
        <f t="array" ref="C51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518" s="79" t="str" cm="1">
        <f t="array" ref="D51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518" s="79" t="str" cm="1">
        <f t="array" ref="E51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518" s="80" t="str" cm="1">
        <f t="array" ref="F51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518" s="80" t="str" cm="1">
        <f t="array" ref="G51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518" s="80" t="str" cm="1">
        <f t="array" ref="H51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518" s="78" t="str" cm="1">
        <f t="array" ref="I51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519" spans="1:9" hidden="1" x14ac:dyDescent="0.3">
      <c r="A519" s="82" t="str" cm="1">
        <f t="array" ref="A51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519" s="79" t="str" cm="1">
        <f t="array" ref="B51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519" s="108" t="str" cm="1">
        <f t="array" ref="C51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519" s="79" t="str" cm="1">
        <f t="array" ref="D51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519" s="79" t="str" cm="1">
        <f t="array" ref="E51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519" s="80" t="str" cm="1">
        <f t="array" ref="F51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519" s="80" t="str" cm="1">
        <f t="array" ref="G51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519" s="80" t="str" cm="1">
        <f t="array" ref="H51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519" s="78" t="str" cm="1">
        <f t="array" ref="I51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520" spans="1:9" hidden="1" x14ac:dyDescent="0.3">
      <c r="A520" s="82" t="str" cm="1">
        <f t="array" ref="A52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520" s="79" t="str" cm="1">
        <f t="array" ref="B52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520" s="108" t="str" cm="1">
        <f t="array" ref="C52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520" s="79" t="str" cm="1">
        <f t="array" ref="D52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520" s="79" t="str" cm="1">
        <f t="array" ref="E52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520" s="80" t="str" cm="1">
        <f t="array" ref="F52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520" s="80" t="str" cm="1">
        <f t="array" ref="G52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520" s="80" t="str" cm="1">
        <f t="array" ref="H52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520" s="78" t="str" cm="1">
        <f t="array" ref="I52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521" spans="1:9" hidden="1" x14ac:dyDescent="0.3">
      <c r="A521" s="82" t="str" cm="1">
        <f t="array" ref="A52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521" s="79" t="str" cm="1">
        <f t="array" ref="B52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521" s="108" t="str" cm="1">
        <f t="array" ref="C52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521" s="79" t="str" cm="1">
        <f t="array" ref="D52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521" s="79" t="str" cm="1">
        <f t="array" ref="E52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521" s="80" t="str" cm="1">
        <f t="array" ref="F52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521" s="80" t="str" cm="1">
        <f t="array" ref="G52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521" s="80" t="str" cm="1">
        <f t="array" ref="H52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521" s="78" t="str" cm="1">
        <f t="array" ref="I52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522" spans="1:9" hidden="1" x14ac:dyDescent="0.3">
      <c r="A522" s="82" t="str" cm="1">
        <f t="array" ref="A52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522" s="79" t="str" cm="1">
        <f t="array" ref="B52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522" s="108" t="str" cm="1">
        <f t="array" ref="C52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522" s="79" t="str" cm="1">
        <f t="array" ref="D52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522" s="79" t="str" cm="1">
        <f t="array" ref="E52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522" s="80" t="str" cm="1">
        <f t="array" ref="F52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522" s="80" t="str" cm="1">
        <f t="array" ref="G52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522" s="80" t="str" cm="1">
        <f t="array" ref="H52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522" s="78" t="str" cm="1">
        <f t="array" ref="I52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523" spans="1:9" hidden="1" x14ac:dyDescent="0.3">
      <c r="A523" s="82" t="str" cm="1">
        <f t="array" ref="A52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523" s="79" t="str" cm="1">
        <f t="array" ref="B52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523" s="108" t="str" cm="1">
        <f t="array" ref="C52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523" s="79" t="str" cm="1">
        <f t="array" ref="D52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523" s="79" t="str" cm="1">
        <f t="array" ref="E52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523" s="80" t="str" cm="1">
        <f t="array" ref="F52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523" s="80" t="str" cm="1">
        <f t="array" ref="G52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523" s="80" t="str" cm="1">
        <f t="array" ref="H52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523" s="78" t="str" cm="1">
        <f t="array" ref="I52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524" spans="1:9" hidden="1" x14ac:dyDescent="0.3">
      <c r="A524" s="82" t="str" cm="1">
        <f t="array" ref="A52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524" s="79" t="str" cm="1">
        <f t="array" ref="B52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524" s="108" t="str" cm="1">
        <f t="array" ref="C52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524" s="79" t="str" cm="1">
        <f t="array" ref="D52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524" s="79" t="str" cm="1">
        <f t="array" ref="E52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524" s="80" t="str" cm="1">
        <f t="array" ref="F52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524" s="80" t="str" cm="1">
        <f t="array" ref="G52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524" s="80" t="str" cm="1">
        <f t="array" ref="H52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524" s="78" t="str" cm="1">
        <f t="array" ref="I52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525" spans="1:9" hidden="1" x14ac:dyDescent="0.3">
      <c r="A525" s="82" t="str" cm="1">
        <f t="array" ref="A52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525" s="79" t="str" cm="1">
        <f t="array" ref="B52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525" s="108" t="str" cm="1">
        <f t="array" ref="C52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525" s="79" t="str" cm="1">
        <f t="array" ref="D52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525" s="79" t="str" cm="1">
        <f t="array" ref="E52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525" s="80" t="str" cm="1">
        <f t="array" ref="F52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525" s="80" t="str" cm="1">
        <f t="array" ref="G52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525" s="80" t="str" cm="1">
        <f t="array" ref="H52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525" s="78" t="str" cm="1">
        <f t="array" ref="I52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526" spans="1:9" hidden="1" x14ac:dyDescent="0.3">
      <c r="A526" s="82" t="str" cm="1">
        <f t="array" ref="A52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526" s="79" t="str" cm="1">
        <f t="array" ref="B52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526" s="108" t="str" cm="1">
        <f t="array" ref="C52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526" s="79" t="str" cm="1">
        <f t="array" ref="D52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526" s="79" t="str" cm="1">
        <f t="array" ref="E52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526" s="80" t="str" cm="1">
        <f t="array" ref="F52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526" s="80" t="str" cm="1">
        <f t="array" ref="G52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526" s="80" t="str" cm="1">
        <f t="array" ref="H52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526" s="78" t="str" cm="1">
        <f t="array" ref="I52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527" spans="1:9" hidden="1" x14ac:dyDescent="0.3">
      <c r="A527" s="82" t="str" cm="1">
        <f t="array" ref="A52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527" s="79" t="str" cm="1">
        <f t="array" ref="B52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527" s="108" t="str" cm="1">
        <f t="array" ref="C52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527" s="79" t="str" cm="1">
        <f t="array" ref="D52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527" s="79" t="str" cm="1">
        <f t="array" ref="E52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527" s="80" t="str" cm="1">
        <f t="array" ref="F52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527" s="80" t="str" cm="1">
        <f t="array" ref="G52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527" s="80" t="str" cm="1">
        <f t="array" ref="H52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527" s="78" t="str" cm="1">
        <f t="array" ref="I52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528" spans="1:9" hidden="1" x14ac:dyDescent="0.3">
      <c r="A528" s="82" t="str" cm="1">
        <f t="array" ref="A52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528" s="79" t="str" cm="1">
        <f t="array" ref="B52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528" s="108" t="str" cm="1">
        <f t="array" ref="C52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528" s="79" t="str" cm="1">
        <f t="array" ref="D52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528" s="79" t="str" cm="1">
        <f t="array" ref="E52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528" s="80" t="str" cm="1">
        <f t="array" ref="F52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528" s="80" t="str" cm="1">
        <f t="array" ref="G52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528" s="80" t="str" cm="1">
        <f t="array" ref="H52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528" s="78" t="str" cm="1">
        <f t="array" ref="I52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529" spans="1:9" hidden="1" x14ac:dyDescent="0.3">
      <c r="A529" s="82" t="str" cm="1">
        <f t="array" ref="A52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529" s="79" t="str" cm="1">
        <f t="array" ref="B52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529" s="108" t="str" cm="1">
        <f t="array" ref="C52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529" s="79" t="str" cm="1">
        <f t="array" ref="D52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529" s="79" t="str" cm="1">
        <f t="array" ref="E52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529" s="80" t="str" cm="1">
        <f t="array" ref="F52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529" s="80" t="str" cm="1">
        <f t="array" ref="G52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529" s="80" t="str" cm="1">
        <f t="array" ref="H52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529" s="78" t="str" cm="1">
        <f t="array" ref="I52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530" spans="1:9" hidden="1" x14ac:dyDescent="0.3">
      <c r="A530" s="82" t="str" cm="1">
        <f t="array" ref="A53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530" s="79" t="str" cm="1">
        <f t="array" ref="B53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530" s="108" t="str" cm="1">
        <f t="array" ref="C53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530" s="79" t="str" cm="1">
        <f t="array" ref="D53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530" s="79" t="str" cm="1">
        <f t="array" ref="E53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530" s="80" t="str" cm="1">
        <f t="array" ref="F53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530" s="80" t="str" cm="1">
        <f t="array" ref="G53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530" s="80" t="str" cm="1">
        <f t="array" ref="H53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530" s="78" t="str" cm="1">
        <f t="array" ref="I53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531" spans="1:9" hidden="1" x14ac:dyDescent="0.3">
      <c r="A531" s="82" t="str" cm="1">
        <f t="array" ref="A53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531" s="79" t="str" cm="1">
        <f t="array" ref="B53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531" s="108" t="str" cm="1">
        <f t="array" ref="C53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531" s="79" t="str" cm="1">
        <f t="array" ref="D53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531" s="79" t="str" cm="1">
        <f t="array" ref="E53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531" s="80" t="str" cm="1">
        <f t="array" ref="F53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531" s="80" t="str" cm="1">
        <f t="array" ref="G53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531" s="80" t="str" cm="1">
        <f t="array" ref="H53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531" s="78" t="str" cm="1">
        <f t="array" ref="I53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532" spans="1:9" hidden="1" x14ac:dyDescent="0.3">
      <c r="A532" s="82" t="str" cm="1">
        <f t="array" ref="A53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532" s="79" t="str" cm="1">
        <f t="array" ref="B53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532" s="108" t="str" cm="1">
        <f t="array" ref="C53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532" s="79" t="str" cm="1">
        <f t="array" ref="D53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532" s="79" t="str" cm="1">
        <f t="array" ref="E53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532" s="80" t="str" cm="1">
        <f t="array" ref="F53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532" s="80" t="str" cm="1">
        <f t="array" ref="G53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532" s="80" t="str" cm="1">
        <f t="array" ref="H53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532" s="78" t="str" cm="1">
        <f t="array" ref="I53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533" spans="1:9" hidden="1" x14ac:dyDescent="0.3">
      <c r="A533" s="82" t="str" cm="1">
        <f t="array" ref="A53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533" s="79" t="str" cm="1">
        <f t="array" ref="B53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533" s="108" t="str" cm="1">
        <f t="array" ref="C53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533" s="79" t="str" cm="1">
        <f t="array" ref="D53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533" s="79" t="str" cm="1">
        <f t="array" ref="E53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533" s="80" t="str" cm="1">
        <f t="array" ref="F53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533" s="80" t="str" cm="1">
        <f t="array" ref="G53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533" s="80" t="str" cm="1">
        <f t="array" ref="H53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533" s="78" t="str" cm="1">
        <f t="array" ref="I53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534" spans="1:9" hidden="1" x14ac:dyDescent="0.3">
      <c r="A534" s="82" t="str" cm="1">
        <f t="array" ref="A53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534" s="79" t="str" cm="1">
        <f t="array" ref="B53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534" s="108" t="str" cm="1">
        <f t="array" ref="C53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534" s="79" t="str" cm="1">
        <f t="array" ref="D53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534" s="79" t="str" cm="1">
        <f t="array" ref="E53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534" s="80" t="str" cm="1">
        <f t="array" ref="F53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534" s="80" t="str" cm="1">
        <f t="array" ref="G53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534" s="80" t="str" cm="1">
        <f t="array" ref="H53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534" s="78" t="str" cm="1">
        <f t="array" ref="I53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535" spans="1:9" hidden="1" x14ac:dyDescent="0.3">
      <c r="A535" s="82" t="str" cm="1">
        <f t="array" ref="A53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535" s="79" t="str" cm="1">
        <f t="array" ref="B53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535" s="108" t="str" cm="1">
        <f t="array" ref="C53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535" s="79" t="str" cm="1">
        <f t="array" ref="D53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535" s="79" t="str" cm="1">
        <f t="array" ref="E53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535" s="80" t="str" cm="1">
        <f t="array" ref="F53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535" s="80" t="str" cm="1">
        <f t="array" ref="G53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535" s="80" t="str" cm="1">
        <f t="array" ref="H53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535" s="78" t="str" cm="1">
        <f t="array" ref="I53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536" spans="1:9" hidden="1" x14ac:dyDescent="0.3">
      <c r="A536" s="82" t="str" cm="1">
        <f t="array" ref="A53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536" s="79" t="str" cm="1">
        <f t="array" ref="B53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536" s="108" t="str" cm="1">
        <f t="array" ref="C53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536" s="79" t="str" cm="1">
        <f t="array" ref="D53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536" s="79" t="str" cm="1">
        <f t="array" ref="E53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536" s="80" t="str" cm="1">
        <f t="array" ref="F53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536" s="80" t="str" cm="1">
        <f t="array" ref="G53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536" s="80" t="str" cm="1">
        <f t="array" ref="H53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536" s="78" t="str" cm="1">
        <f t="array" ref="I53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537" spans="1:9" hidden="1" x14ac:dyDescent="0.3">
      <c r="A537" s="82" t="str" cm="1">
        <f t="array" ref="A53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537" s="79" t="str" cm="1">
        <f t="array" ref="B53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537" s="108" t="str" cm="1">
        <f t="array" ref="C53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537" s="79" t="str" cm="1">
        <f t="array" ref="D53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537" s="79" t="str" cm="1">
        <f t="array" ref="E53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537" s="80" t="str" cm="1">
        <f t="array" ref="F53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537" s="80" t="str" cm="1">
        <f t="array" ref="G53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537" s="80" t="str" cm="1">
        <f t="array" ref="H53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537" s="78" t="str" cm="1">
        <f t="array" ref="I53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538" spans="1:9" hidden="1" x14ac:dyDescent="0.3">
      <c r="A538" s="82" t="str" cm="1">
        <f t="array" ref="A53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538" s="79" t="str" cm="1">
        <f t="array" ref="B53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538" s="108" t="str" cm="1">
        <f t="array" ref="C53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538" s="79" t="str" cm="1">
        <f t="array" ref="D53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538" s="79" t="str" cm="1">
        <f t="array" ref="E53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538" s="80" t="str" cm="1">
        <f t="array" ref="F53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538" s="80" t="str" cm="1">
        <f t="array" ref="G53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538" s="80" t="str" cm="1">
        <f t="array" ref="H53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538" s="78" t="str" cm="1">
        <f t="array" ref="I53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539" spans="1:9" hidden="1" x14ac:dyDescent="0.3">
      <c r="A539" s="82" t="str" cm="1">
        <f t="array" ref="A53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539" s="79" t="str" cm="1">
        <f t="array" ref="B53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539" s="108" t="str" cm="1">
        <f t="array" ref="C53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539" s="79" t="str" cm="1">
        <f t="array" ref="D53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539" s="79" t="str" cm="1">
        <f t="array" ref="E53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539" s="80" t="str" cm="1">
        <f t="array" ref="F53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539" s="80" t="str" cm="1">
        <f t="array" ref="G53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539" s="80" t="str" cm="1">
        <f t="array" ref="H53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539" s="78" t="str" cm="1">
        <f t="array" ref="I53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540" spans="1:9" hidden="1" x14ac:dyDescent="0.3">
      <c r="A540" s="82" t="str" cm="1">
        <f t="array" ref="A54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540" s="79" t="str" cm="1">
        <f t="array" ref="B54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540" s="108" t="str" cm="1">
        <f t="array" ref="C54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540" s="79" t="str" cm="1">
        <f t="array" ref="D54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540" s="79" t="str" cm="1">
        <f t="array" ref="E54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540" s="80" t="str" cm="1">
        <f t="array" ref="F54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540" s="80" t="str" cm="1">
        <f t="array" ref="G54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540" s="80" t="str" cm="1">
        <f t="array" ref="H54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540" s="78" t="str" cm="1">
        <f t="array" ref="I54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541" spans="1:9" hidden="1" x14ac:dyDescent="0.3">
      <c r="A541" s="82" t="str" cm="1">
        <f t="array" ref="A54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541" s="79" t="str" cm="1">
        <f t="array" ref="B54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541" s="108" t="str" cm="1">
        <f t="array" ref="C54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541" s="79" t="str" cm="1">
        <f t="array" ref="D54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541" s="79" t="str" cm="1">
        <f t="array" ref="E54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541" s="80" t="str" cm="1">
        <f t="array" ref="F54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541" s="80" t="str" cm="1">
        <f t="array" ref="G54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541" s="80" t="str" cm="1">
        <f t="array" ref="H54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541" s="78" t="str" cm="1">
        <f t="array" ref="I54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542" spans="1:9" hidden="1" x14ac:dyDescent="0.3">
      <c r="A542" s="82" t="str" cm="1">
        <f t="array" ref="A54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542" s="79" t="str" cm="1">
        <f t="array" ref="B54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542" s="108" t="str" cm="1">
        <f t="array" ref="C54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542" s="79" t="str" cm="1">
        <f t="array" ref="D54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542" s="79" t="str" cm="1">
        <f t="array" ref="E54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542" s="80" t="str" cm="1">
        <f t="array" ref="F54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542" s="80" t="str" cm="1">
        <f t="array" ref="G54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542" s="80" t="str" cm="1">
        <f t="array" ref="H54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542" s="78" t="str" cm="1">
        <f t="array" ref="I54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543" spans="1:9" hidden="1" x14ac:dyDescent="0.3">
      <c r="A543" s="82" t="str" cm="1">
        <f t="array" ref="A54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543" s="79" t="str" cm="1">
        <f t="array" ref="B54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543" s="108" t="str" cm="1">
        <f t="array" ref="C54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543" s="79" t="str" cm="1">
        <f t="array" ref="D54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543" s="79" t="str" cm="1">
        <f t="array" ref="E54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543" s="80" t="str" cm="1">
        <f t="array" ref="F54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543" s="80" t="str" cm="1">
        <f t="array" ref="G54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543" s="80" t="str" cm="1">
        <f t="array" ref="H54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543" s="78" t="str" cm="1">
        <f t="array" ref="I54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544" spans="1:9" hidden="1" x14ac:dyDescent="0.3">
      <c r="A544" s="82" t="str" cm="1">
        <f t="array" ref="A54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544" s="79" t="str" cm="1">
        <f t="array" ref="B54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544" s="108" t="str" cm="1">
        <f t="array" ref="C54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544" s="79" t="str" cm="1">
        <f t="array" ref="D54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544" s="79" t="str" cm="1">
        <f t="array" ref="E54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544" s="80" t="str" cm="1">
        <f t="array" ref="F54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544" s="80" t="str" cm="1">
        <f t="array" ref="G54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544" s="80" t="str" cm="1">
        <f t="array" ref="H54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544" s="78" t="str" cm="1">
        <f t="array" ref="I54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545" spans="1:9" hidden="1" x14ac:dyDescent="0.3">
      <c r="A545" s="82" t="str" cm="1">
        <f t="array" ref="A54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545" s="79" t="str" cm="1">
        <f t="array" ref="B54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545" s="108" t="str" cm="1">
        <f t="array" ref="C54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545" s="79" t="str" cm="1">
        <f t="array" ref="D54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545" s="79" t="str" cm="1">
        <f t="array" ref="E54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545" s="80" t="str" cm="1">
        <f t="array" ref="F54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545" s="80" t="str" cm="1">
        <f t="array" ref="G54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545" s="80" t="str" cm="1">
        <f t="array" ref="H54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545" s="78" t="str" cm="1">
        <f t="array" ref="I54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546" spans="1:9" hidden="1" x14ac:dyDescent="0.3">
      <c r="A546" s="82" t="str" cm="1">
        <f t="array" ref="A54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546" s="79" t="str" cm="1">
        <f t="array" ref="B54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546" s="108" t="str" cm="1">
        <f t="array" ref="C54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546" s="79" t="str" cm="1">
        <f t="array" ref="D54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546" s="79" t="str" cm="1">
        <f t="array" ref="E54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546" s="80" t="str" cm="1">
        <f t="array" ref="F54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546" s="80" t="str" cm="1">
        <f t="array" ref="G54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546" s="80" t="str" cm="1">
        <f t="array" ref="H54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546" s="78" t="str" cm="1">
        <f t="array" ref="I54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547" spans="1:9" hidden="1" x14ac:dyDescent="0.3">
      <c r="A547" s="82" t="str" cm="1">
        <f t="array" ref="A54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547" s="79" t="str" cm="1">
        <f t="array" ref="B54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547" s="108" t="str" cm="1">
        <f t="array" ref="C54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547" s="79" t="str" cm="1">
        <f t="array" ref="D54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547" s="79" t="str" cm="1">
        <f t="array" ref="E54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547" s="80" t="str" cm="1">
        <f t="array" ref="F54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547" s="80" t="str" cm="1">
        <f t="array" ref="G54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547" s="80" t="str" cm="1">
        <f t="array" ref="H54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547" s="78" t="str" cm="1">
        <f t="array" ref="I54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548" spans="1:9" hidden="1" x14ac:dyDescent="0.3">
      <c r="A548" s="82" t="str" cm="1">
        <f t="array" ref="A54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548" s="79" t="str" cm="1">
        <f t="array" ref="B54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548" s="108" t="str" cm="1">
        <f t="array" ref="C54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548" s="79" t="str" cm="1">
        <f t="array" ref="D54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548" s="79" t="str" cm="1">
        <f t="array" ref="E54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548" s="80" t="str" cm="1">
        <f t="array" ref="F54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548" s="80" t="str" cm="1">
        <f t="array" ref="G54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548" s="80" t="str" cm="1">
        <f t="array" ref="H54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548" s="78" t="str" cm="1">
        <f t="array" ref="I54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549" spans="1:9" hidden="1" x14ac:dyDescent="0.3">
      <c r="A549" s="82" t="str" cm="1">
        <f t="array" ref="A54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549" s="79" t="str" cm="1">
        <f t="array" ref="B54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549" s="108" t="str" cm="1">
        <f t="array" ref="C54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549" s="79" t="str" cm="1">
        <f t="array" ref="D54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549" s="79" t="str" cm="1">
        <f t="array" ref="E54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549" s="80" t="str" cm="1">
        <f t="array" ref="F54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549" s="80" t="str" cm="1">
        <f t="array" ref="G54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549" s="80" t="str" cm="1">
        <f t="array" ref="H54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549" s="78" t="str" cm="1">
        <f t="array" ref="I54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550" spans="1:9" hidden="1" x14ac:dyDescent="0.3">
      <c r="A550" s="82" t="str" cm="1">
        <f t="array" ref="A55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550" s="79" t="str" cm="1">
        <f t="array" ref="B55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550" s="108" t="str" cm="1">
        <f t="array" ref="C55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550" s="79" t="str" cm="1">
        <f t="array" ref="D55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550" s="79" t="str" cm="1">
        <f t="array" ref="E55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550" s="80" t="str" cm="1">
        <f t="array" ref="F55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550" s="80" t="str" cm="1">
        <f t="array" ref="G55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550" s="80" t="str" cm="1">
        <f t="array" ref="H55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550" s="78" t="str" cm="1">
        <f t="array" ref="I55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551" spans="1:9" hidden="1" x14ac:dyDescent="0.3">
      <c r="A551" s="82" t="str" cm="1">
        <f t="array" ref="A55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551" s="79" t="str" cm="1">
        <f t="array" ref="B55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551" s="108" t="str" cm="1">
        <f t="array" ref="C55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551" s="79" t="str" cm="1">
        <f t="array" ref="D55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551" s="79" t="str" cm="1">
        <f t="array" ref="E55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551" s="80" t="str" cm="1">
        <f t="array" ref="F55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551" s="80" t="str" cm="1">
        <f t="array" ref="G55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551" s="80" t="str" cm="1">
        <f t="array" ref="H55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551" s="78" t="str" cm="1">
        <f t="array" ref="I55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552" spans="1:9" hidden="1" x14ac:dyDescent="0.3">
      <c r="A552" s="82" t="str" cm="1">
        <f t="array" ref="A55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552" s="79" t="str" cm="1">
        <f t="array" ref="B55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552" s="108" t="str" cm="1">
        <f t="array" ref="C55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552" s="79" t="str" cm="1">
        <f t="array" ref="D55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552" s="79" t="str" cm="1">
        <f t="array" ref="E55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552" s="80" t="str" cm="1">
        <f t="array" ref="F55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552" s="80" t="str" cm="1">
        <f t="array" ref="G55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552" s="80" t="str" cm="1">
        <f t="array" ref="H55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552" s="78" t="str" cm="1">
        <f t="array" ref="I55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553" spans="1:9" hidden="1" x14ac:dyDescent="0.3">
      <c r="A553" s="82" t="str" cm="1">
        <f t="array" ref="A55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553" s="79" t="str" cm="1">
        <f t="array" ref="B55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553" s="108" t="str" cm="1">
        <f t="array" ref="C55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553" s="79" t="str" cm="1">
        <f t="array" ref="D55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553" s="79" t="str" cm="1">
        <f t="array" ref="E55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553" s="80" t="str" cm="1">
        <f t="array" ref="F55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553" s="80" t="str" cm="1">
        <f t="array" ref="G55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553" s="80" t="str" cm="1">
        <f t="array" ref="H55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553" s="78" t="str" cm="1">
        <f t="array" ref="I55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554" spans="1:9" hidden="1" x14ac:dyDescent="0.3">
      <c r="A554" s="82" t="str" cm="1">
        <f t="array" ref="A55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554" s="79" t="str" cm="1">
        <f t="array" ref="B55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554" s="108" t="str" cm="1">
        <f t="array" ref="C55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554" s="79" t="str" cm="1">
        <f t="array" ref="D55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554" s="79" t="str" cm="1">
        <f t="array" ref="E55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554" s="80" t="str" cm="1">
        <f t="array" ref="F55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554" s="80" t="str" cm="1">
        <f t="array" ref="G55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554" s="80" t="str" cm="1">
        <f t="array" ref="H55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554" s="78" t="str" cm="1">
        <f t="array" ref="I55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555" spans="1:9" hidden="1" x14ac:dyDescent="0.3">
      <c r="A555" s="82" t="str" cm="1">
        <f t="array" ref="A55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555" s="79" t="str" cm="1">
        <f t="array" ref="B55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555" s="108" t="str" cm="1">
        <f t="array" ref="C55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555" s="79" t="str" cm="1">
        <f t="array" ref="D55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555" s="79" t="str" cm="1">
        <f t="array" ref="E55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555" s="80" t="str" cm="1">
        <f t="array" ref="F55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555" s="80" t="str" cm="1">
        <f t="array" ref="G55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555" s="80" t="str" cm="1">
        <f t="array" ref="H55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555" s="78" t="str" cm="1">
        <f t="array" ref="I55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556" spans="1:9" hidden="1" x14ac:dyDescent="0.3">
      <c r="A556" s="82" t="str" cm="1">
        <f t="array" ref="A55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556" s="79" t="str" cm="1">
        <f t="array" ref="B55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556" s="108" t="str" cm="1">
        <f t="array" ref="C55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556" s="79" t="str" cm="1">
        <f t="array" ref="D55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556" s="79" t="str" cm="1">
        <f t="array" ref="E55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556" s="80" t="str" cm="1">
        <f t="array" ref="F55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556" s="80" t="str" cm="1">
        <f t="array" ref="G55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556" s="80" t="str" cm="1">
        <f t="array" ref="H55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556" s="78" t="str" cm="1">
        <f t="array" ref="I55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557" spans="1:9" hidden="1" x14ac:dyDescent="0.3">
      <c r="A557" s="82" t="str" cm="1">
        <f t="array" ref="A55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557" s="79" t="str" cm="1">
        <f t="array" ref="B55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557" s="108" t="str" cm="1">
        <f t="array" ref="C55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557" s="79" t="str" cm="1">
        <f t="array" ref="D55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557" s="79" t="str" cm="1">
        <f t="array" ref="E55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557" s="80" t="str" cm="1">
        <f t="array" ref="F55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557" s="80" t="str" cm="1">
        <f t="array" ref="G55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557" s="80" t="str" cm="1">
        <f t="array" ref="H55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557" s="78" t="str" cm="1">
        <f t="array" ref="I55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558" spans="1:9" hidden="1" x14ac:dyDescent="0.3">
      <c r="A558" s="82" t="str" cm="1">
        <f t="array" ref="A55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558" s="79" t="str" cm="1">
        <f t="array" ref="B55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558" s="108" t="str" cm="1">
        <f t="array" ref="C55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558" s="79" t="str" cm="1">
        <f t="array" ref="D55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558" s="79" t="str" cm="1">
        <f t="array" ref="E55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558" s="80" t="str" cm="1">
        <f t="array" ref="F55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558" s="80" t="str" cm="1">
        <f t="array" ref="G55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558" s="80" t="str" cm="1">
        <f t="array" ref="H55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558" s="78" t="str" cm="1">
        <f t="array" ref="I55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559" spans="1:9" hidden="1" x14ac:dyDescent="0.3">
      <c r="A559" s="82" t="str" cm="1">
        <f t="array" ref="A55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559" s="79" t="str" cm="1">
        <f t="array" ref="B55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559" s="108" t="str" cm="1">
        <f t="array" ref="C55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559" s="79" t="str" cm="1">
        <f t="array" ref="D55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559" s="79" t="str" cm="1">
        <f t="array" ref="E55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559" s="80" t="str" cm="1">
        <f t="array" ref="F55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559" s="80" t="str" cm="1">
        <f t="array" ref="G55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559" s="80" t="str" cm="1">
        <f t="array" ref="H55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559" s="78" t="str" cm="1">
        <f t="array" ref="I55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560" spans="1:9" hidden="1" x14ac:dyDescent="0.3">
      <c r="A560" s="82" t="str" cm="1">
        <f t="array" ref="A56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560" s="79" t="str" cm="1">
        <f t="array" ref="B56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560" s="108" t="str" cm="1">
        <f t="array" ref="C56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560" s="79" t="str" cm="1">
        <f t="array" ref="D56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560" s="79" t="str" cm="1">
        <f t="array" ref="E56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560" s="80" t="str" cm="1">
        <f t="array" ref="F56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560" s="80" t="str" cm="1">
        <f t="array" ref="G56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560" s="80" t="str" cm="1">
        <f t="array" ref="H56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560" s="78" t="str" cm="1">
        <f t="array" ref="I56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561" spans="1:9" hidden="1" x14ac:dyDescent="0.3">
      <c r="A561" s="82" t="str" cm="1">
        <f t="array" ref="A56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561" s="79" t="str" cm="1">
        <f t="array" ref="B56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561" s="108" t="str" cm="1">
        <f t="array" ref="C56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561" s="79" t="str" cm="1">
        <f t="array" ref="D56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561" s="79" t="str" cm="1">
        <f t="array" ref="E56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561" s="80" t="str" cm="1">
        <f t="array" ref="F56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561" s="80" t="str" cm="1">
        <f t="array" ref="G56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561" s="80" t="str" cm="1">
        <f t="array" ref="H56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561" s="78" t="str" cm="1">
        <f t="array" ref="I56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562" spans="1:9" hidden="1" x14ac:dyDescent="0.3">
      <c r="A562" s="82" t="str" cm="1">
        <f t="array" ref="A56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562" s="79" t="str" cm="1">
        <f t="array" ref="B56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562" s="108" t="str" cm="1">
        <f t="array" ref="C56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562" s="79" t="str" cm="1">
        <f t="array" ref="D56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562" s="79" t="str" cm="1">
        <f t="array" ref="E56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562" s="80" t="str" cm="1">
        <f t="array" ref="F56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562" s="80" t="str" cm="1">
        <f t="array" ref="G56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562" s="80" t="str" cm="1">
        <f t="array" ref="H56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562" s="78" t="str" cm="1">
        <f t="array" ref="I56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563" spans="1:9" hidden="1" x14ac:dyDescent="0.3">
      <c r="A563" s="82" t="str" cm="1">
        <f t="array" ref="A56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563" s="79" t="str" cm="1">
        <f t="array" ref="B56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563" s="108" t="str" cm="1">
        <f t="array" ref="C56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563" s="79" t="str" cm="1">
        <f t="array" ref="D56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563" s="79" t="str" cm="1">
        <f t="array" ref="E56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563" s="80" t="str" cm="1">
        <f t="array" ref="F56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563" s="80" t="str" cm="1">
        <f t="array" ref="G56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563" s="80" t="str" cm="1">
        <f t="array" ref="H56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563" s="78" t="str" cm="1">
        <f t="array" ref="I56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564" spans="1:9" hidden="1" x14ac:dyDescent="0.3">
      <c r="A564" s="82" t="str" cm="1">
        <f t="array" ref="A56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564" s="79" t="str" cm="1">
        <f t="array" ref="B56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564" s="108" t="str" cm="1">
        <f t="array" ref="C56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564" s="79" t="str" cm="1">
        <f t="array" ref="D56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564" s="79" t="str" cm="1">
        <f t="array" ref="E56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564" s="80" t="str" cm="1">
        <f t="array" ref="F56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564" s="80" t="str" cm="1">
        <f t="array" ref="G56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564" s="80" t="str" cm="1">
        <f t="array" ref="H56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564" s="78" t="str" cm="1">
        <f t="array" ref="I56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565" spans="1:9" hidden="1" x14ac:dyDescent="0.3">
      <c r="A565" s="82" t="str" cm="1">
        <f t="array" ref="A56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565" s="79" t="str" cm="1">
        <f t="array" ref="B56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565" s="108" t="str" cm="1">
        <f t="array" ref="C56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565" s="79" t="str" cm="1">
        <f t="array" ref="D56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565" s="79" t="str" cm="1">
        <f t="array" ref="E56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565" s="80" t="str" cm="1">
        <f t="array" ref="F56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565" s="80" t="str" cm="1">
        <f t="array" ref="G56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565" s="80" t="str" cm="1">
        <f t="array" ref="H56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565" s="78" t="str" cm="1">
        <f t="array" ref="I56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566" spans="1:9" hidden="1" x14ac:dyDescent="0.3">
      <c r="A566" s="82" t="str" cm="1">
        <f t="array" ref="A56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566" s="79" t="str" cm="1">
        <f t="array" ref="B56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566" s="108" t="str" cm="1">
        <f t="array" ref="C56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566" s="79" t="str" cm="1">
        <f t="array" ref="D56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566" s="79" t="str" cm="1">
        <f t="array" ref="E56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566" s="80" t="str" cm="1">
        <f t="array" ref="F56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566" s="80" t="str" cm="1">
        <f t="array" ref="G56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566" s="80" t="str" cm="1">
        <f t="array" ref="H56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566" s="78" t="str" cm="1">
        <f t="array" ref="I56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567" spans="1:9" hidden="1" x14ac:dyDescent="0.3">
      <c r="A567" s="82" t="str" cm="1">
        <f t="array" ref="A56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567" s="79" t="str" cm="1">
        <f t="array" ref="B56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567" s="108" t="str" cm="1">
        <f t="array" ref="C56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567" s="79" t="str" cm="1">
        <f t="array" ref="D56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567" s="79" t="str" cm="1">
        <f t="array" ref="E56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567" s="80" t="str" cm="1">
        <f t="array" ref="F56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567" s="80" t="str" cm="1">
        <f t="array" ref="G56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567" s="80" t="str" cm="1">
        <f t="array" ref="H56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567" s="78" t="str" cm="1">
        <f t="array" ref="I56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568" spans="1:9" hidden="1" x14ac:dyDescent="0.3">
      <c r="A568" s="82" t="str" cm="1">
        <f t="array" ref="A56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568" s="79" t="str" cm="1">
        <f t="array" ref="B56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568" s="108" t="str" cm="1">
        <f t="array" ref="C56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568" s="79" t="str" cm="1">
        <f t="array" ref="D56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568" s="79" t="str" cm="1">
        <f t="array" ref="E56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568" s="80" t="str" cm="1">
        <f t="array" ref="F56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568" s="80" t="str" cm="1">
        <f t="array" ref="G56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568" s="80" t="str" cm="1">
        <f t="array" ref="H56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568" s="78" t="str" cm="1">
        <f t="array" ref="I56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569" spans="1:9" hidden="1" x14ac:dyDescent="0.3">
      <c r="A569" s="82" t="str" cm="1">
        <f t="array" ref="A56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569" s="79" t="str" cm="1">
        <f t="array" ref="B56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569" s="108" t="str" cm="1">
        <f t="array" ref="C56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569" s="79" t="str" cm="1">
        <f t="array" ref="D56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569" s="79" t="str" cm="1">
        <f t="array" ref="E56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569" s="80" t="str" cm="1">
        <f t="array" ref="F56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569" s="80" t="str" cm="1">
        <f t="array" ref="G56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569" s="80" t="str" cm="1">
        <f t="array" ref="H56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569" s="78" t="str" cm="1">
        <f t="array" ref="I56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570" spans="1:9" hidden="1" x14ac:dyDescent="0.3">
      <c r="A570" s="82" t="str" cm="1">
        <f t="array" ref="A57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570" s="79" t="str" cm="1">
        <f t="array" ref="B57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570" s="108" t="str" cm="1">
        <f t="array" ref="C57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570" s="79" t="str" cm="1">
        <f t="array" ref="D57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570" s="79" t="str" cm="1">
        <f t="array" ref="E57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570" s="80" t="str" cm="1">
        <f t="array" ref="F57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570" s="80" t="str" cm="1">
        <f t="array" ref="G57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570" s="80" t="str" cm="1">
        <f t="array" ref="H57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570" s="78" t="str" cm="1">
        <f t="array" ref="I57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571" spans="1:9" hidden="1" x14ac:dyDescent="0.3">
      <c r="A571" s="82" t="str" cm="1">
        <f t="array" ref="A57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571" s="79" t="str" cm="1">
        <f t="array" ref="B57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571" s="108" t="str" cm="1">
        <f t="array" ref="C57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571" s="79" t="str" cm="1">
        <f t="array" ref="D57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571" s="79" t="str" cm="1">
        <f t="array" ref="E57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571" s="80" t="str" cm="1">
        <f t="array" ref="F57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571" s="80" t="str" cm="1">
        <f t="array" ref="G57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571" s="80" t="str" cm="1">
        <f t="array" ref="H57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571" s="78" t="str" cm="1">
        <f t="array" ref="I57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572" spans="1:9" hidden="1" x14ac:dyDescent="0.3">
      <c r="A572" s="82" t="str" cm="1">
        <f t="array" ref="A57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572" s="79" t="str" cm="1">
        <f t="array" ref="B57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572" s="108" t="str" cm="1">
        <f t="array" ref="C57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572" s="79" t="str" cm="1">
        <f t="array" ref="D57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572" s="79" t="str" cm="1">
        <f t="array" ref="E57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572" s="80" t="str" cm="1">
        <f t="array" ref="F57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572" s="80" t="str" cm="1">
        <f t="array" ref="G57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572" s="80" t="str" cm="1">
        <f t="array" ref="H57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572" s="78" t="str" cm="1">
        <f t="array" ref="I57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573" spans="1:9" hidden="1" x14ac:dyDescent="0.3">
      <c r="A573" s="82" t="str" cm="1">
        <f t="array" ref="A57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573" s="79" t="str" cm="1">
        <f t="array" ref="B57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573" s="108" t="str" cm="1">
        <f t="array" ref="C57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573" s="79" t="str" cm="1">
        <f t="array" ref="D57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573" s="79" t="str" cm="1">
        <f t="array" ref="E57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573" s="80" t="str" cm="1">
        <f t="array" ref="F57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573" s="80" t="str" cm="1">
        <f t="array" ref="G57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573" s="80" t="str" cm="1">
        <f t="array" ref="H57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573" s="78" t="str" cm="1">
        <f t="array" ref="I57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574" spans="1:9" hidden="1" x14ac:dyDescent="0.3">
      <c r="A574" s="82" t="str" cm="1">
        <f t="array" ref="A57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574" s="79" t="str" cm="1">
        <f t="array" ref="B57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574" s="108" t="str" cm="1">
        <f t="array" ref="C57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574" s="79" t="str" cm="1">
        <f t="array" ref="D57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574" s="79" t="str" cm="1">
        <f t="array" ref="E57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574" s="80" t="str" cm="1">
        <f t="array" ref="F57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574" s="80" t="str" cm="1">
        <f t="array" ref="G57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574" s="80" t="str" cm="1">
        <f t="array" ref="H57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574" s="78" t="str" cm="1">
        <f t="array" ref="I57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575" spans="1:9" hidden="1" x14ac:dyDescent="0.3">
      <c r="A575" s="82" t="str" cm="1">
        <f t="array" ref="A57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575" s="79" t="str" cm="1">
        <f t="array" ref="B57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575" s="108" t="str" cm="1">
        <f t="array" ref="C57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575" s="79" t="str" cm="1">
        <f t="array" ref="D57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575" s="79" t="str" cm="1">
        <f t="array" ref="E57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575" s="80" t="str" cm="1">
        <f t="array" ref="F57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575" s="80" t="str" cm="1">
        <f t="array" ref="G57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575" s="80" t="str" cm="1">
        <f t="array" ref="H57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575" s="78" t="str" cm="1">
        <f t="array" ref="I57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576" spans="1:9" hidden="1" x14ac:dyDescent="0.3">
      <c r="A576" s="82" t="str" cm="1">
        <f t="array" ref="A57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576" s="79" t="str" cm="1">
        <f t="array" ref="B57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576" s="108" t="str" cm="1">
        <f t="array" ref="C57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576" s="79" t="str" cm="1">
        <f t="array" ref="D57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576" s="79" t="str" cm="1">
        <f t="array" ref="E57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576" s="80" t="str" cm="1">
        <f t="array" ref="F57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576" s="80" t="str" cm="1">
        <f t="array" ref="G57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576" s="80" t="str" cm="1">
        <f t="array" ref="H57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576" s="78" t="str" cm="1">
        <f t="array" ref="I57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577" spans="1:9" hidden="1" x14ac:dyDescent="0.3">
      <c r="A577" s="82" t="str" cm="1">
        <f t="array" ref="A57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577" s="79" t="str" cm="1">
        <f t="array" ref="B57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577" s="108" t="str" cm="1">
        <f t="array" ref="C57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577" s="79" t="str" cm="1">
        <f t="array" ref="D57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577" s="79" t="str" cm="1">
        <f t="array" ref="E57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577" s="80" t="str" cm="1">
        <f t="array" ref="F57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577" s="80" t="str" cm="1">
        <f t="array" ref="G57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577" s="80" t="str" cm="1">
        <f t="array" ref="H57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577" s="78" t="str" cm="1">
        <f t="array" ref="I57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578" spans="1:9" hidden="1" x14ac:dyDescent="0.3">
      <c r="A578" s="82" t="str" cm="1">
        <f t="array" ref="A57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578" s="79" t="str" cm="1">
        <f t="array" ref="B57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578" s="108" t="str" cm="1">
        <f t="array" ref="C57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578" s="79" t="str" cm="1">
        <f t="array" ref="D57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578" s="79" t="str" cm="1">
        <f t="array" ref="E57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578" s="80" t="str" cm="1">
        <f t="array" ref="F57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578" s="80" t="str" cm="1">
        <f t="array" ref="G57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578" s="80" t="str" cm="1">
        <f t="array" ref="H57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578" s="78" t="str" cm="1">
        <f t="array" ref="I57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579" spans="1:9" hidden="1" x14ac:dyDescent="0.3">
      <c r="A579" s="82" t="str" cm="1">
        <f t="array" ref="A57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579" s="79" t="str" cm="1">
        <f t="array" ref="B57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579" s="108" t="str" cm="1">
        <f t="array" ref="C57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579" s="79" t="str" cm="1">
        <f t="array" ref="D57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579" s="79" t="str" cm="1">
        <f t="array" ref="E57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579" s="80" t="str" cm="1">
        <f t="array" ref="F57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579" s="80" t="str" cm="1">
        <f t="array" ref="G57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579" s="80" t="str" cm="1">
        <f t="array" ref="H57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579" s="78" t="str" cm="1">
        <f t="array" ref="I57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580" spans="1:9" hidden="1" x14ac:dyDescent="0.3">
      <c r="A580" s="82" t="str" cm="1">
        <f t="array" ref="A58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580" s="79" t="str" cm="1">
        <f t="array" ref="B58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580" s="108" t="str" cm="1">
        <f t="array" ref="C58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580" s="79" t="str" cm="1">
        <f t="array" ref="D58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580" s="79" t="str" cm="1">
        <f t="array" ref="E58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580" s="80" t="str" cm="1">
        <f t="array" ref="F58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580" s="80" t="str" cm="1">
        <f t="array" ref="G58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580" s="80" t="str" cm="1">
        <f t="array" ref="H58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580" s="78" t="str" cm="1">
        <f t="array" ref="I58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581" spans="1:9" hidden="1" x14ac:dyDescent="0.3">
      <c r="A581" s="82" t="str" cm="1">
        <f t="array" ref="A58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581" s="79" t="str" cm="1">
        <f t="array" ref="B58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581" s="108" t="str" cm="1">
        <f t="array" ref="C58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581" s="79" t="str" cm="1">
        <f t="array" ref="D58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581" s="79" t="str" cm="1">
        <f t="array" ref="E58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581" s="80" t="str" cm="1">
        <f t="array" ref="F58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581" s="80" t="str" cm="1">
        <f t="array" ref="G58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581" s="80" t="str" cm="1">
        <f t="array" ref="H58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581" s="78" t="str" cm="1">
        <f t="array" ref="I58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582" spans="1:9" hidden="1" x14ac:dyDescent="0.3">
      <c r="A582" s="82" t="str" cm="1">
        <f t="array" ref="A58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582" s="79" t="str" cm="1">
        <f t="array" ref="B58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582" s="108" t="str" cm="1">
        <f t="array" ref="C58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582" s="79" t="str" cm="1">
        <f t="array" ref="D58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582" s="79" t="str" cm="1">
        <f t="array" ref="E58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582" s="80" t="str" cm="1">
        <f t="array" ref="F58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582" s="80" t="str" cm="1">
        <f t="array" ref="G58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582" s="80" t="str" cm="1">
        <f t="array" ref="H58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582" s="78" t="str" cm="1">
        <f t="array" ref="I58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583" spans="1:9" hidden="1" x14ac:dyDescent="0.3">
      <c r="A583" s="82" t="str" cm="1">
        <f t="array" ref="A58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583" s="79" t="str" cm="1">
        <f t="array" ref="B58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583" s="108" t="str" cm="1">
        <f t="array" ref="C58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583" s="79" t="str" cm="1">
        <f t="array" ref="D58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583" s="79" t="str" cm="1">
        <f t="array" ref="E58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583" s="80" t="str" cm="1">
        <f t="array" ref="F58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583" s="80" t="str" cm="1">
        <f t="array" ref="G58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583" s="80" t="str" cm="1">
        <f t="array" ref="H58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583" s="78" t="str" cm="1">
        <f t="array" ref="I58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584" spans="1:9" hidden="1" x14ac:dyDescent="0.3">
      <c r="A584" s="82" t="str" cm="1">
        <f t="array" ref="A58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584" s="79" t="str" cm="1">
        <f t="array" ref="B58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584" s="108" t="str" cm="1">
        <f t="array" ref="C58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584" s="79" t="str" cm="1">
        <f t="array" ref="D58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584" s="79" t="str" cm="1">
        <f t="array" ref="E58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584" s="80" t="str" cm="1">
        <f t="array" ref="F58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584" s="80" t="str" cm="1">
        <f t="array" ref="G58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584" s="80" t="str" cm="1">
        <f t="array" ref="H58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584" s="78" t="str" cm="1">
        <f t="array" ref="I58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585" spans="1:9" hidden="1" x14ac:dyDescent="0.3">
      <c r="A585" s="82" t="str" cm="1">
        <f t="array" ref="A58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585" s="79" t="str" cm="1">
        <f t="array" ref="B58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585" s="108" t="str" cm="1">
        <f t="array" ref="C58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585" s="79" t="str" cm="1">
        <f t="array" ref="D58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585" s="79" t="str" cm="1">
        <f t="array" ref="E58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585" s="80" t="str" cm="1">
        <f t="array" ref="F58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585" s="80" t="str" cm="1">
        <f t="array" ref="G58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585" s="80" t="str" cm="1">
        <f t="array" ref="H58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585" s="78" t="str" cm="1">
        <f t="array" ref="I58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586" spans="1:9" hidden="1" x14ac:dyDescent="0.3">
      <c r="A586" s="82" t="str" cm="1">
        <f t="array" ref="A58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586" s="79" t="str" cm="1">
        <f t="array" ref="B58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586" s="108" t="str" cm="1">
        <f t="array" ref="C58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586" s="79" t="str" cm="1">
        <f t="array" ref="D58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586" s="79" t="str" cm="1">
        <f t="array" ref="E58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586" s="80" t="str" cm="1">
        <f t="array" ref="F58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586" s="80" t="str" cm="1">
        <f t="array" ref="G58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586" s="80" t="str" cm="1">
        <f t="array" ref="H58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586" s="78" t="str" cm="1">
        <f t="array" ref="I58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587" spans="1:9" hidden="1" x14ac:dyDescent="0.3">
      <c r="A587" s="82" t="str" cm="1">
        <f t="array" ref="A58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587" s="79" t="str" cm="1">
        <f t="array" ref="B58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587" s="108" t="str" cm="1">
        <f t="array" ref="C58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587" s="79" t="str" cm="1">
        <f t="array" ref="D58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587" s="79" t="str" cm="1">
        <f t="array" ref="E58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587" s="80" t="str" cm="1">
        <f t="array" ref="F58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587" s="80" t="str" cm="1">
        <f t="array" ref="G58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587" s="80" t="str" cm="1">
        <f t="array" ref="H58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587" s="78" t="str" cm="1">
        <f t="array" ref="I58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588" spans="1:9" hidden="1" x14ac:dyDescent="0.3">
      <c r="A588" s="82" t="str" cm="1">
        <f t="array" ref="A58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588" s="79" t="str" cm="1">
        <f t="array" ref="B58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588" s="108" t="str" cm="1">
        <f t="array" ref="C58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588" s="79" t="str" cm="1">
        <f t="array" ref="D58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588" s="79" t="str" cm="1">
        <f t="array" ref="E58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588" s="80" t="str" cm="1">
        <f t="array" ref="F58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588" s="80" t="str" cm="1">
        <f t="array" ref="G58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588" s="80" t="str" cm="1">
        <f t="array" ref="H58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588" s="78" t="str" cm="1">
        <f t="array" ref="I58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589" spans="1:9" hidden="1" x14ac:dyDescent="0.3">
      <c r="A589" s="82" t="str" cm="1">
        <f t="array" ref="A58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589" s="79" t="str" cm="1">
        <f t="array" ref="B58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589" s="108" t="str" cm="1">
        <f t="array" ref="C58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589" s="79" t="str" cm="1">
        <f t="array" ref="D58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589" s="79" t="str" cm="1">
        <f t="array" ref="E58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589" s="80" t="str" cm="1">
        <f t="array" ref="F58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589" s="80" t="str" cm="1">
        <f t="array" ref="G58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589" s="80" t="str" cm="1">
        <f t="array" ref="H58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589" s="78" t="str" cm="1">
        <f t="array" ref="I58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590" spans="1:9" hidden="1" x14ac:dyDescent="0.3">
      <c r="A590" s="82" t="str" cm="1">
        <f t="array" ref="A59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590" s="79" t="str" cm="1">
        <f t="array" ref="B59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590" s="108" t="str" cm="1">
        <f t="array" ref="C59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590" s="79" t="str" cm="1">
        <f t="array" ref="D59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590" s="79" t="str" cm="1">
        <f t="array" ref="E59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590" s="80" t="str" cm="1">
        <f t="array" ref="F59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590" s="80" t="str" cm="1">
        <f t="array" ref="G59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590" s="80" t="str" cm="1">
        <f t="array" ref="H59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590" s="78" t="str" cm="1">
        <f t="array" ref="I59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591" spans="1:9" hidden="1" x14ac:dyDescent="0.3">
      <c r="A591" s="82" t="str" cm="1">
        <f t="array" ref="A59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591" s="79" t="str" cm="1">
        <f t="array" ref="B59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591" s="108" t="str" cm="1">
        <f t="array" ref="C59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591" s="79" t="str" cm="1">
        <f t="array" ref="D59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591" s="79" t="str" cm="1">
        <f t="array" ref="E59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591" s="80" t="str" cm="1">
        <f t="array" ref="F59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591" s="80" t="str" cm="1">
        <f t="array" ref="G59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591" s="80" t="str" cm="1">
        <f t="array" ref="H59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591" s="78" t="str" cm="1">
        <f t="array" ref="I59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592" spans="1:9" hidden="1" x14ac:dyDescent="0.3">
      <c r="A592" s="82" t="str" cm="1">
        <f t="array" ref="A59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592" s="79" t="str" cm="1">
        <f t="array" ref="B59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592" s="108" t="str" cm="1">
        <f t="array" ref="C59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592" s="79" t="str" cm="1">
        <f t="array" ref="D59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592" s="79" t="str" cm="1">
        <f t="array" ref="E59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592" s="80" t="str" cm="1">
        <f t="array" ref="F59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592" s="80" t="str" cm="1">
        <f t="array" ref="G59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592" s="80" t="str" cm="1">
        <f t="array" ref="H59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592" s="78" t="str" cm="1">
        <f t="array" ref="I59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593" spans="1:9" hidden="1" x14ac:dyDescent="0.3">
      <c r="A593" s="82" t="str" cm="1">
        <f t="array" ref="A59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593" s="79" t="str" cm="1">
        <f t="array" ref="B59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593" s="108" t="str" cm="1">
        <f t="array" ref="C59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593" s="79" t="str" cm="1">
        <f t="array" ref="D59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593" s="79" t="str" cm="1">
        <f t="array" ref="E59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593" s="80" t="str" cm="1">
        <f t="array" ref="F59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593" s="80" t="str" cm="1">
        <f t="array" ref="G59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593" s="80" t="str" cm="1">
        <f t="array" ref="H59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593" s="78" t="str" cm="1">
        <f t="array" ref="I59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594" spans="1:9" hidden="1" x14ac:dyDescent="0.3">
      <c r="A594" s="82" t="str" cm="1">
        <f t="array" ref="A59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594" s="79" t="str" cm="1">
        <f t="array" ref="B59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594" s="108" t="str" cm="1">
        <f t="array" ref="C59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594" s="79" t="str" cm="1">
        <f t="array" ref="D59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594" s="79" t="str" cm="1">
        <f t="array" ref="E59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594" s="80" t="str" cm="1">
        <f t="array" ref="F59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594" s="80" t="str" cm="1">
        <f t="array" ref="G59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594" s="80" t="str" cm="1">
        <f t="array" ref="H59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594" s="78" t="str" cm="1">
        <f t="array" ref="I59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595" spans="1:9" hidden="1" x14ac:dyDescent="0.3">
      <c r="A595" s="82" t="str" cm="1">
        <f t="array" ref="A59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595" s="79" t="str" cm="1">
        <f t="array" ref="B59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595" s="108" t="str" cm="1">
        <f t="array" ref="C59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595" s="79" t="str" cm="1">
        <f t="array" ref="D59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595" s="79" t="str" cm="1">
        <f t="array" ref="E59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595" s="80" t="str" cm="1">
        <f t="array" ref="F59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595" s="80" t="str" cm="1">
        <f t="array" ref="G59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595" s="80" t="str" cm="1">
        <f t="array" ref="H59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595" s="78" t="str" cm="1">
        <f t="array" ref="I59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596" spans="1:9" hidden="1" x14ac:dyDescent="0.3">
      <c r="A596" s="82" t="str" cm="1">
        <f t="array" ref="A59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596" s="79" t="str" cm="1">
        <f t="array" ref="B59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596" s="108" t="str" cm="1">
        <f t="array" ref="C59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596" s="79" t="str" cm="1">
        <f t="array" ref="D59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596" s="79" t="str" cm="1">
        <f t="array" ref="E59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596" s="80" t="str" cm="1">
        <f t="array" ref="F59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596" s="80" t="str" cm="1">
        <f t="array" ref="G59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596" s="80" t="str" cm="1">
        <f t="array" ref="H59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596" s="78" t="str" cm="1">
        <f t="array" ref="I59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597" spans="1:9" hidden="1" x14ac:dyDescent="0.3">
      <c r="A597" s="82" t="str" cm="1">
        <f t="array" ref="A59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597" s="79" t="str" cm="1">
        <f t="array" ref="B59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597" s="108" t="str" cm="1">
        <f t="array" ref="C59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597" s="79" t="str" cm="1">
        <f t="array" ref="D59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597" s="79" t="str" cm="1">
        <f t="array" ref="E59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597" s="80" t="str" cm="1">
        <f t="array" ref="F59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597" s="80" t="str" cm="1">
        <f t="array" ref="G59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597" s="80" t="str" cm="1">
        <f t="array" ref="H59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597" s="78" t="str" cm="1">
        <f t="array" ref="I59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598" spans="1:9" hidden="1" x14ac:dyDescent="0.3">
      <c r="A598" s="82" t="str" cm="1">
        <f t="array" ref="A59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598" s="79" t="str" cm="1">
        <f t="array" ref="B59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598" s="108" t="str" cm="1">
        <f t="array" ref="C59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598" s="79" t="str" cm="1">
        <f t="array" ref="D59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598" s="79" t="str" cm="1">
        <f t="array" ref="E59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598" s="80" t="str" cm="1">
        <f t="array" ref="F59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598" s="80" t="str" cm="1">
        <f t="array" ref="G59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598" s="80" t="str" cm="1">
        <f t="array" ref="H59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598" s="78" t="str" cm="1">
        <f t="array" ref="I59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599" spans="1:9" hidden="1" x14ac:dyDescent="0.3">
      <c r="A599" s="82" t="str" cm="1">
        <f t="array" ref="A59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599" s="79" t="str" cm="1">
        <f t="array" ref="B59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599" s="108" t="str" cm="1">
        <f t="array" ref="C59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599" s="79" t="str" cm="1">
        <f t="array" ref="D59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599" s="79" t="str" cm="1">
        <f t="array" ref="E59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599" s="80" t="str" cm="1">
        <f t="array" ref="F59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599" s="80" t="str" cm="1">
        <f t="array" ref="G59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599" s="80" t="str" cm="1">
        <f t="array" ref="H59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599" s="78" t="str" cm="1">
        <f t="array" ref="I59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600" spans="1:9" hidden="1" x14ac:dyDescent="0.3">
      <c r="A600" s="82" t="str" cm="1">
        <f t="array" ref="A60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600" s="79" t="str" cm="1">
        <f t="array" ref="B60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600" s="108" t="str" cm="1">
        <f t="array" ref="C60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600" s="79" t="str" cm="1">
        <f t="array" ref="D60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600" s="79" t="str" cm="1">
        <f t="array" ref="E60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600" s="80" t="str" cm="1">
        <f t="array" ref="F60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600" s="80" t="str" cm="1">
        <f t="array" ref="G60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600" s="80" t="str" cm="1">
        <f t="array" ref="H60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600" s="78" t="str" cm="1">
        <f t="array" ref="I60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601" spans="1:9" hidden="1" x14ac:dyDescent="0.3">
      <c r="A601" s="82" t="str" cm="1">
        <f t="array" ref="A60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601" s="79" t="str" cm="1">
        <f t="array" ref="B60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601" s="108" t="str" cm="1">
        <f t="array" ref="C60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601" s="79" t="str" cm="1">
        <f t="array" ref="D60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601" s="79" t="str" cm="1">
        <f t="array" ref="E60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601" s="80" t="str" cm="1">
        <f t="array" ref="F60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601" s="80" t="str" cm="1">
        <f t="array" ref="G60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601" s="80" t="str" cm="1">
        <f t="array" ref="H60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601" s="78" t="str" cm="1">
        <f t="array" ref="I60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602" spans="1:9" hidden="1" x14ac:dyDescent="0.3">
      <c r="A602" s="82" t="str" cm="1">
        <f t="array" ref="A60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602" s="79" t="str" cm="1">
        <f t="array" ref="B60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602" s="108" t="str" cm="1">
        <f t="array" ref="C60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602" s="79" t="str" cm="1">
        <f t="array" ref="D60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602" s="79" t="str" cm="1">
        <f t="array" ref="E60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602" s="80" t="str" cm="1">
        <f t="array" ref="F60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602" s="80" t="str" cm="1">
        <f t="array" ref="G60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602" s="80" t="str" cm="1">
        <f t="array" ref="H60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602" s="78" t="str" cm="1">
        <f t="array" ref="I60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603" spans="1:9" hidden="1" x14ac:dyDescent="0.3">
      <c r="A603" s="82" t="str" cm="1">
        <f t="array" ref="A60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603" s="79" t="str" cm="1">
        <f t="array" ref="B60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603" s="108" t="str" cm="1">
        <f t="array" ref="C60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603" s="79" t="str" cm="1">
        <f t="array" ref="D60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603" s="79" t="str" cm="1">
        <f t="array" ref="E60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603" s="80" t="str" cm="1">
        <f t="array" ref="F60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603" s="80" t="str" cm="1">
        <f t="array" ref="G60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603" s="80" t="str" cm="1">
        <f t="array" ref="H60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603" s="78" t="str" cm="1">
        <f t="array" ref="I60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604" spans="1:9" hidden="1" x14ac:dyDescent="0.3">
      <c r="A604" s="82" t="str" cm="1">
        <f t="array" ref="A60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604" s="79" t="str" cm="1">
        <f t="array" ref="B60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604" s="108" t="str" cm="1">
        <f t="array" ref="C60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604" s="79" t="str" cm="1">
        <f t="array" ref="D60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604" s="79" t="str" cm="1">
        <f t="array" ref="E60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604" s="80" t="str" cm="1">
        <f t="array" ref="F60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604" s="80" t="str" cm="1">
        <f t="array" ref="G60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604" s="80" t="str" cm="1">
        <f t="array" ref="H60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604" s="78" t="str" cm="1">
        <f t="array" ref="I60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605" spans="1:9" hidden="1" x14ac:dyDescent="0.3">
      <c r="A605" s="82" t="str" cm="1">
        <f t="array" ref="A60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605" s="79" t="str" cm="1">
        <f t="array" ref="B60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605" s="108" t="str" cm="1">
        <f t="array" ref="C60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605" s="79" t="str" cm="1">
        <f t="array" ref="D60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605" s="79" t="str" cm="1">
        <f t="array" ref="E60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605" s="80" t="str" cm="1">
        <f t="array" ref="F60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605" s="80" t="str" cm="1">
        <f t="array" ref="G60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605" s="80" t="str" cm="1">
        <f t="array" ref="H60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605" s="78" t="str" cm="1">
        <f t="array" ref="I60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606" spans="1:9" hidden="1" x14ac:dyDescent="0.3">
      <c r="A606" s="82" t="str" cm="1">
        <f t="array" ref="A60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606" s="79" t="str" cm="1">
        <f t="array" ref="B60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606" s="108" t="str" cm="1">
        <f t="array" ref="C60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606" s="79" t="str" cm="1">
        <f t="array" ref="D60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606" s="79" t="str" cm="1">
        <f t="array" ref="E60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606" s="80" t="str" cm="1">
        <f t="array" ref="F60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606" s="80" t="str" cm="1">
        <f t="array" ref="G60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606" s="80" t="str" cm="1">
        <f t="array" ref="H60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606" s="78" t="str" cm="1">
        <f t="array" ref="I60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607" spans="1:9" hidden="1" x14ac:dyDescent="0.3">
      <c r="A607" s="82" t="str" cm="1">
        <f t="array" ref="A60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607" s="79" t="str" cm="1">
        <f t="array" ref="B60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607" s="108" t="str" cm="1">
        <f t="array" ref="C60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607" s="79" t="str" cm="1">
        <f t="array" ref="D60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607" s="79" t="str" cm="1">
        <f t="array" ref="E60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607" s="80" t="str" cm="1">
        <f t="array" ref="F60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607" s="80" t="str" cm="1">
        <f t="array" ref="G60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607" s="80" t="str" cm="1">
        <f t="array" ref="H60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607" s="78" t="str" cm="1">
        <f t="array" ref="I60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608" spans="1:9" hidden="1" x14ac:dyDescent="0.3">
      <c r="A608" s="82" t="str" cm="1">
        <f t="array" ref="A60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608" s="79" t="str" cm="1">
        <f t="array" ref="B60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608" s="108" t="str" cm="1">
        <f t="array" ref="C60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608" s="79" t="str" cm="1">
        <f t="array" ref="D60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608" s="79" t="str" cm="1">
        <f t="array" ref="E60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608" s="80" t="str" cm="1">
        <f t="array" ref="F60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608" s="80" t="str" cm="1">
        <f t="array" ref="G60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608" s="80" t="str" cm="1">
        <f t="array" ref="H60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608" s="78" t="str" cm="1">
        <f t="array" ref="I60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609" spans="1:9" hidden="1" x14ac:dyDescent="0.3">
      <c r="A609" s="82" t="str" cm="1">
        <f t="array" ref="A60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609" s="79" t="str" cm="1">
        <f t="array" ref="B60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609" s="108" t="str" cm="1">
        <f t="array" ref="C60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609" s="79" t="str" cm="1">
        <f t="array" ref="D60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609" s="79" t="str" cm="1">
        <f t="array" ref="E60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609" s="80" t="str" cm="1">
        <f t="array" ref="F60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609" s="80" t="str" cm="1">
        <f t="array" ref="G60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609" s="80" t="str" cm="1">
        <f t="array" ref="H60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609" s="78" t="str" cm="1">
        <f t="array" ref="I60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610" spans="1:9" hidden="1" x14ac:dyDescent="0.3">
      <c r="A610" s="82" t="str" cm="1">
        <f t="array" ref="A61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610" s="79" t="str" cm="1">
        <f t="array" ref="B61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610" s="108" t="str" cm="1">
        <f t="array" ref="C61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610" s="79" t="str" cm="1">
        <f t="array" ref="D61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610" s="79" t="str" cm="1">
        <f t="array" ref="E61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610" s="80" t="str" cm="1">
        <f t="array" ref="F61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610" s="80" t="str" cm="1">
        <f t="array" ref="G61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610" s="80" t="str" cm="1">
        <f t="array" ref="H61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610" s="78" t="str" cm="1">
        <f t="array" ref="I61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611" spans="1:9" hidden="1" x14ac:dyDescent="0.3">
      <c r="A611" s="82" t="str" cm="1">
        <f t="array" ref="A61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611" s="79" t="str" cm="1">
        <f t="array" ref="B61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611" s="108" t="str" cm="1">
        <f t="array" ref="C61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611" s="79" t="str" cm="1">
        <f t="array" ref="D61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611" s="79" t="str" cm="1">
        <f t="array" ref="E61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611" s="80" t="str" cm="1">
        <f t="array" ref="F61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611" s="80" t="str" cm="1">
        <f t="array" ref="G61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611" s="80" t="str" cm="1">
        <f t="array" ref="H61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611" s="78" t="str" cm="1">
        <f t="array" ref="I61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612" spans="1:9" hidden="1" x14ac:dyDescent="0.3">
      <c r="A612" s="82" t="str" cm="1">
        <f t="array" ref="A61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612" s="79" t="str" cm="1">
        <f t="array" ref="B61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612" s="108" t="str" cm="1">
        <f t="array" ref="C61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612" s="79" t="str" cm="1">
        <f t="array" ref="D61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612" s="79" t="str" cm="1">
        <f t="array" ref="E61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612" s="80" t="str" cm="1">
        <f t="array" ref="F61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612" s="80" t="str" cm="1">
        <f t="array" ref="G61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612" s="80" t="str" cm="1">
        <f t="array" ref="H61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612" s="78" t="str" cm="1">
        <f t="array" ref="I61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613" spans="1:9" hidden="1" x14ac:dyDescent="0.3">
      <c r="A613" s="82" t="str" cm="1">
        <f t="array" ref="A61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613" s="79" t="str" cm="1">
        <f t="array" ref="B61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613" s="108" t="str" cm="1">
        <f t="array" ref="C61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613" s="79" t="str" cm="1">
        <f t="array" ref="D61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613" s="79" t="str" cm="1">
        <f t="array" ref="E61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613" s="80" t="str" cm="1">
        <f t="array" ref="F61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613" s="80" t="str" cm="1">
        <f t="array" ref="G61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613" s="80" t="str" cm="1">
        <f t="array" ref="H61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613" s="78" t="str" cm="1">
        <f t="array" ref="I61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614" spans="1:9" hidden="1" x14ac:dyDescent="0.3">
      <c r="A614" s="82" t="str" cm="1">
        <f t="array" ref="A61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614" s="79" t="str" cm="1">
        <f t="array" ref="B61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614" s="108" t="str" cm="1">
        <f t="array" ref="C61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614" s="79" t="str" cm="1">
        <f t="array" ref="D61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614" s="79" t="str" cm="1">
        <f t="array" ref="E61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614" s="80" t="str" cm="1">
        <f t="array" ref="F61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614" s="80" t="str" cm="1">
        <f t="array" ref="G61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614" s="80" t="str" cm="1">
        <f t="array" ref="H61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614" s="78" t="str" cm="1">
        <f t="array" ref="I61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615" spans="1:9" hidden="1" x14ac:dyDescent="0.3">
      <c r="A615" s="82" t="str" cm="1">
        <f t="array" ref="A61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615" s="79" t="str" cm="1">
        <f t="array" ref="B61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615" s="108" t="str" cm="1">
        <f t="array" ref="C61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615" s="79" t="str" cm="1">
        <f t="array" ref="D61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615" s="79" t="str" cm="1">
        <f t="array" ref="E61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615" s="80" t="str" cm="1">
        <f t="array" ref="F61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615" s="80" t="str" cm="1">
        <f t="array" ref="G61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615" s="80" t="str" cm="1">
        <f t="array" ref="H61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615" s="78" t="str" cm="1">
        <f t="array" ref="I61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616" spans="1:9" hidden="1" x14ac:dyDescent="0.3">
      <c r="A616" s="82" t="str" cm="1">
        <f t="array" ref="A61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616" s="79" t="str" cm="1">
        <f t="array" ref="B61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616" s="108" t="str" cm="1">
        <f t="array" ref="C61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616" s="79" t="str" cm="1">
        <f t="array" ref="D61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616" s="79" t="str" cm="1">
        <f t="array" ref="E61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616" s="80" t="str" cm="1">
        <f t="array" ref="F61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616" s="80" t="str" cm="1">
        <f t="array" ref="G61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616" s="80" t="str" cm="1">
        <f t="array" ref="H61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616" s="78" t="str" cm="1">
        <f t="array" ref="I61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617" spans="1:9" hidden="1" x14ac:dyDescent="0.3">
      <c r="A617" s="82" t="str" cm="1">
        <f t="array" ref="A61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617" s="79" t="str" cm="1">
        <f t="array" ref="B61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617" s="108" t="str" cm="1">
        <f t="array" ref="C61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617" s="79" t="str" cm="1">
        <f t="array" ref="D61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617" s="79" t="str" cm="1">
        <f t="array" ref="E61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617" s="80" t="str" cm="1">
        <f t="array" ref="F61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617" s="80" t="str" cm="1">
        <f t="array" ref="G61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617" s="80" t="str" cm="1">
        <f t="array" ref="H61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617" s="78" t="str" cm="1">
        <f t="array" ref="I61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618" spans="1:9" hidden="1" x14ac:dyDescent="0.3">
      <c r="A618" s="82" t="str" cm="1">
        <f t="array" ref="A61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618" s="79" t="str" cm="1">
        <f t="array" ref="B61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618" s="108" t="str" cm="1">
        <f t="array" ref="C61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618" s="79" t="str" cm="1">
        <f t="array" ref="D61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618" s="79" t="str" cm="1">
        <f t="array" ref="E61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618" s="80" t="str" cm="1">
        <f t="array" ref="F61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618" s="80" t="str" cm="1">
        <f t="array" ref="G61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618" s="80" t="str" cm="1">
        <f t="array" ref="H61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618" s="78" t="str" cm="1">
        <f t="array" ref="I61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619" spans="1:9" hidden="1" x14ac:dyDescent="0.3">
      <c r="A619" s="82" t="str" cm="1">
        <f t="array" ref="A61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619" s="79" t="str" cm="1">
        <f t="array" ref="B61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619" s="108" t="str" cm="1">
        <f t="array" ref="C61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619" s="79" t="str" cm="1">
        <f t="array" ref="D61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619" s="79" t="str" cm="1">
        <f t="array" ref="E61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619" s="80" t="str" cm="1">
        <f t="array" ref="F61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619" s="80" t="str" cm="1">
        <f t="array" ref="G61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619" s="80" t="str" cm="1">
        <f t="array" ref="H61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619" s="78" t="str" cm="1">
        <f t="array" ref="I61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620" spans="1:9" hidden="1" x14ac:dyDescent="0.3">
      <c r="A620" s="82" t="str" cm="1">
        <f t="array" ref="A62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620" s="79" t="str" cm="1">
        <f t="array" ref="B62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620" s="108" t="str" cm="1">
        <f t="array" ref="C62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620" s="79" t="str" cm="1">
        <f t="array" ref="D62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620" s="79" t="str" cm="1">
        <f t="array" ref="E62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620" s="80" t="str" cm="1">
        <f t="array" ref="F62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620" s="80" t="str" cm="1">
        <f t="array" ref="G62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620" s="80" t="str" cm="1">
        <f t="array" ref="H62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620" s="78" t="str" cm="1">
        <f t="array" ref="I62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621" spans="1:9" hidden="1" x14ac:dyDescent="0.3">
      <c r="A621" s="82" t="str" cm="1">
        <f t="array" ref="A62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621" s="79" t="str" cm="1">
        <f t="array" ref="B62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621" s="108" t="str" cm="1">
        <f t="array" ref="C62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621" s="79" t="str" cm="1">
        <f t="array" ref="D62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621" s="79" t="str" cm="1">
        <f t="array" ref="E62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621" s="80" t="str" cm="1">
        <f t="array" ref="F62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621" s="80" t="str" cm="1">
        <f t="array" ref="G62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621" s="80" t="str" cm="1">
        <f t="array" ref="H62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621" s="78" t="str" cm="1">
        <f t="array" ref="I62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622" spans="1:9" hidden="1" x14ac:dyDescent="0.3">
      <c r="A622" s="82" t="str" cm="1">
        <f t="array" ref="A62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622" s="79" t="str" cm="1">
        <f t="array" ref="B62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622" s="108" t="str" cm="1">
        <f t="array" ref="C62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622" s="79" t="str" cm="1">
        <f t="array" ref="D62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622" s="79" t="str" cm="1">
        <f t="array" ref="E62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622" s="80" t="str" cm="1">
        <f t="array" ref="F62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622" s="80" t="str" cm="1">
        <f t="array" ref="G62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622" s="80" t="str" cm="1">
        <f t="array" ref="H62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622" s="78" t="str" cm="1">
        <f t="array" ref="I62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623" spans="1:9" hidden="1" x14ac:dyDescent="0.3">
      <c r="A623" s="82" t="str" cm="1">
        <f t="array" ref="A62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623" s="79" t="str" cm="1">
        <f t="array" ref="B62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623" s="108" t="str" cm="1">
        <f t="array" ref="C62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623" s="79" t="str" cm="1">
        <f t="array" ref="D62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623" s="79" t="str" cm="1">
        <f t="array" ref="E62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623" s="80" t="str" cm="1">
        <f t="array" ref="F62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623" s="80" t="str" cm="1">
        <f t="array" ref="G62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623" s="80" t="str" cm="1">
        <f t="array" ref="H62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623" s="78" t="str" cm="1">
        <f t="array" ref="I62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624" spans="1:9" hidden="1" x14ac:dyDescent="0.3">
      <c r="A624" s="82" t="str" cm="1">
        <f t="array" ref="A62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624" s="79" t="str" cm="1">
        <f t="array" ref="B62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624" s="108" t="str" cm="1">
        <f t="array" ref="C62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624" s="79" t="str" cm="1">
        <f t="array" ref="D62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624" s="79" t="str" cm="1">
        <f t="array" ref="E62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624" s="80" t="str" cm="1">
        <f t="array" ref="F62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624" s="80" t="str" cm="1">
        <f t="array" ref="G62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624" s="80" t="str" cm="1">
        <f t="array" ref="H62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624" s="78" t="str" cm="1">
        <f t="array" ref="I62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625" spans="1:9" hidden="1" x14ac:dyDescent="0.3">
      <c r="A625" s="82" t="str" cm="1">
        <f t="array" ref="A62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625" s="79" t="str" cm="1">
        <f t="array" ref="B62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625" s="108" t="str" cm="1">
        <f t="array" ref="C62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625" s="79" t="str" cm="1">
        <f t="array" ref="D62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625" s="79" t="str" cm="1">
        <f t="array" ref="E62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625" s="80" t="str" cm="1">
        <f t="array" ref="F62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625" s="80" t="str" cm="1">
        <f t="array" ref="G62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625" s="80" t="str" cm="1">
        <f t="array" ref="H62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625" s="78" t="str" cm="1">
        <f t="array" ref="I62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626" spans="1:9" hidden="1" x14ac:dyDescent="0.3">
      <c r="A626" s="82" t="str" cm="1">
        <f t="array" ref="A62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626" s="79" t="str" cm="1">
        <f t="array" ref="B62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626" s="108" t="str" cm="1">
        <f t="array" ref="C62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626" s="79" t="str" cm="1">
        <f t="array" ref="D62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626" s="79" t="str" cm="1">
        <f t="array" ref="E62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626" s="80" t="str" cm="1">
        <f t="array" ref="F62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626" s="80" t="str" cm="1">
        <f t="array" ref="G62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626" s="80" t="str" cm="1">
        <f t="array" ref="H62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626" s="78" t="str" cm="1">
        <f t="array" ref="I62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627" spans="1:9" hidden="1" x14ac:dyDescent="0.3">
      <c r="A627" s="82" t="str" cm="1">
        <f t="array" ref="A62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627" s="79" t="str" cm="1">
        <f t="array" ref="B62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627" s="108" t="str" cm="1">
        <f t="array" ref="C62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627" s="79" t="str" cm="1">
        <f t="array" ref="D62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627" s="79" t="str" cm="1">
        <f t="array" ref="E62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627" s="80" t="str" cm="1">
        <f t="array" ref="F62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627" s="80" t="str" cm="1">
        <f t="array" ref="G62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627" s="80" t="str" cm="1">
        <f t="array" ref="H62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627" s="78" t="str" cm="1">
        <f t="array" ref="I62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628" spans="1:9" hidden="1" x14ac:dyDescent="0.3">
      <c r="A628" s="82" t="str" cm="1">
        <f t="array" ref="A62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628" s="79" t="str" cm="1">
        <f t="array" ref="B62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628" s="108" t="str" cm="1">
        <f t="array" ref="C62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628" s="79" t="str" cm="1">
        <f t="array" ref="D62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628" s="79" t="str" cm="1">
        <f t="array" ref="E62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628" s="80" t="str" cm="1">
        <f t="array" ref="F62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628" s="80" t="str" cm="1">
        <f t="array" ref="G62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628" s="80" t="str" cm="1">
        <f t="array" ref="H62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628" s="78" t="str" cm="1">
        <f t="array" ref="I62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629" spans="1:9" hidden="1" x14ac:dyDescent="0.3">
      <c r="A629" s="82" t="str" cm="1">
        <f t="array" ref="A62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629" s="79" t="str" cm="1">
        <f t="array" ref="B62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629" s="108" t="str" cm="1">
        <f t="array" ref="C62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629" s="79" t="str" cm="1">
        <f t="array" ref="D62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629" s="79" t="str" cm="1">
        <f t="array" ref="E62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629" s="80" t="str" cm="1">
        <f t="array" ref="F62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629" s="80" t="str" cm="1">
        <f t="array" ref="G62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629" s="80" t="str" cm="1">
        <f t="array" ref="H62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629" s="78" t="str" cm="1">
        <f t="array" ref="I62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630" spans="1:9" hidden="1" x14ac:dyDescent="0.3">
      <c r="A630" s="82" t="str" cm="1">
        <f t="array" ref="A63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630" s="79" t="str" cm="1">
        <f t="array" ref="B63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630" s="108" t="str" cm="1">
        <f t="array" ref="C63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630" s="79" t="str" cm="1">
        <f t="array" ref="D63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630" s="79" t="str" cm="1">
        <f t="array" ref="E63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630" s="80" t="str" cm="1">
        <f t="array" ref="F63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630" s="80" t="str" cm="1">
        <f t="array" ref="G63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630" s="80" t="str" cm="1">
        <f t="array" ref="H63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630" s="78" t="str" cm="1">
        <f t="array" ref="I63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631" spans="1:9" hidden="1" x14ac:dyDescent="0.3">
      <c r="A631" s="82" t="str" cm="1">
        <f t="array" ref="A63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631" s="79" t="str" cm="1">
        <f t="array" ref="B63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631" s="108" t="str" cm="1">
        <f t="array" ref="C63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631" s="79" t="str" cm="1">
        <f t="array" ref="D63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631" s="79" t="str" cm="1">
        <f t="array" ref="E63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631" s="80" t="str" cm="1">
        <f t="array" ref="F63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631" s="80" t="str" cm="1">
        <f t="array" ref="G63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631" s="80" t="str" cm="1">
        <f t="array" ref="H63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631" s="78" t="str" cm="1">
        <f t="array" ref="I63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632" spans="1:9" hidden="1" x14ac:dyDescent="0.3">
      <c r="A632" s="82" t="str" cm="1">
        <f t="array" ref="A63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632" s="79" t="str" cm="1">
        <f t="array" ref="B63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632" s="108" t="str" cm="1">
        <f t="array" ref="C63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632" s="79" t="str" cm="1">
        <f t="array" ref="D63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632" s="79" t="str" cm="1">
        <f t="array" ref="E63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632" s="80" t="str" cm="1">
        <f t="array" ref="F63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632" s="80" t="str" cm="1">
        <f t="array" ref="G63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632" s="80" t="str" cm="1">
        <f t="array" ref="H63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632" s="78" t="str" cm="1">
        <f t="array" ref="I63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633" spans="1:9" hidden="1" x14ac:dyDescent="0.3">
      <c r="A633" s="82" t="str" cm="1">
        <f t="array" ref="A63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633" s="79" t="str" cm="1">
        <f t="array" ref="B63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633" s="108" t="str" cm="1">
        <f t="array" ref="C63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633" s="79" t="str" cm="1">
        <f t="array" ref="D63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633" s="79" t="str" cm="1">
        <f t="array" ref="E63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633" s="80" t="str" cm="1">
        <f t="array" ref="F63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633" s="80" t="str" cm="1">
        <f t="array" ref="G63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633" s="80" t="str" cm="1">
        <f t="array" ref="H63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633" s="78" t="str" cm="1">
        <f t="array" ref="I63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634" spans="1:9" hidden="1" x14ac:dyDescent="0.3">
      <c r="A634" s="82" t="str" cm="1">
        <f t="array" ref="A63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634" s="79" t="str" cm="1">
        <f t="array" ref="B63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634" s="108" t="str" cm="1">
        <f t="array" ref="C63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634" s="79" t="str" cm="1">
        <f t="array" ref="D63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634" s="79" t="str" cm="1">
        <f t="array" ref="E63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634" s="80" t="str" cm="1">
        <f t="array" ref="F63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634" s="80" t="str" cm="1">
        <f t="array" ref="G63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634" s="80" t="str" cm="1">
        <f t="array" ref="H63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634" s="78" t="str" cm="1">
        <f t="array" ref="I63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635" spans="1:9" hidden="1" x14ac:dyDescent="0.3">
      <c r="A635" s="82" t="str" cm="1">
        <f t="array" ref="A63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635" s="79" t="str" cm="1">
        <f t="array" ref="B63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635" s="108" t="str" cm="1">
        <f t="array" ref="C63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635" s="79" t="str" cm="1">
        <f t="array" ref="D63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635" s="79" t="str" cm="1">
        <f t="array" ref="E63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635" s="80" t="str" cm="1">
        <f t="array" ref="F63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635" s="80" t="str" cm="1">
        <f t="array" ref="G63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635" s="80" t="str" cm="1">
        <f t="array" ref="H63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635" s="78" t="str" cm="1">
        <f t="array" ref="I63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636" spans="1:9" hidden="1" x14ac:dyDescent="0.3">
      <c r="A636" s="82" t="str" cm="1">
        <f t="array" ref="A63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636" s="79" t="str" cm="1">
        <f t="array" ref="B63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636" s="108" t="str" cm="1">
        <f t="array" ref="C63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636" s="79" t="str" cm="1">
        <f t="array" ref="D63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636" s="79" t="str" cm="1">
        <f t="array" ref="E63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636" s="80" t="str" cm="1">
        <f t="array" ref="F63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636" s="80" t="str" cm="1">
        <f t="array" ref="G63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636" s="80" t="str" cm="1">
        <f t="array" ref="H63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636" s="78" t="str" cm="1">
        <f t="array" ref="I63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637" spans="1:9" hidden="1" x14ac:dyDescent="0.3">
      <c r="A637" s="82" t="str" cm="1">
        <f t="array" ref="A63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637" s="79" t="str" cm="1">
        <f t="array" ref="B63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637" s="108" t="str" cm="1">
        <f t="array" ref="C63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637" s="79" t="str" cm="1">
        <f t="array" ref="D63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637" s="79" t="str" cm="1">
        <f t="array" ref="E63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637" s="80" t="str" cm="1">
        <f t="array" ref="F63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637" s="80" t="str" cm="1">
        <f t="array" ref="G63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637" s="80" t="str" cm="1">
        <f t="array" ref="H63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637" s="78" t="str" cm="1">
        <f t="array" ref="I63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638" spans="1:9" hidden="1" x14ac:dyDescent="0.3">
      <c r="A638" s="82" t="str" cm="1">
        <f t="array" ref="A63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638" s="79" t="str" cm="1">
        <f t="array" ref="B63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638" s="108" t="str" cm="1">
        <f t="array" ref="C63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638" s="79" t="str" cm="1">
        <f t="array" ref="D63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638" s="79" t="str" cm="1">
        <f t="array" ref="E63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638" s="80" t="str" cm="1">
        <f t="array" ref="F63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638" s="80" t="str" cm="1">
        <f t="array" ref="G63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638" s="80" t="str" cm="1">
        <f t="array" ref="H63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638" s="78" t="str" cm="1">
        <f t="array" ref="I63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639" spans="1:9" hidden="1" x14ac:dyDescent="0.3">
      <c r="A639" s="82" t="str" cm="1">
        <f t="array" ref="A63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639" s="79" t="str" cm="1">
        <f t="array" ref="B63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639" s="108" t="str" cm="1">
        <f t="array" ref="C63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639" s="79" t="str" cm="1">
        <f t="array" ref="D63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639" s="79" t="str" cm="1">
        <f t="array" ref="E63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639" s="80" t="str" cm="1">
        <f t="array" ref="F63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639" s="80" t="str" cm="1">
        <f t="array" ref="G63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639" s="80" t="str" cm="1">
        <f t="array" ref="H63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639" s="78" t="str" cm="1">
        <f t="array" ref="I63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640" spans="1:9" hidden="1" x14ac:dyDescent="0.3">
      <c r="A640" s="82" t="str" cm="1">
        <f t="array" ref="A64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640" s="79" t="str" cm="1">
        <f t="array" ref="B64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640" s="108" t="str" cm="1">
        <f t="array" ref="C64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640" s="79" t="str" cm="1">
        <f t="array" ref="D64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640" s="79" t="str" cm="1">
        <f t="array" ref="E64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640" s="80" t="str" cm="1">
        <f t="array" ref="F64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640" s="80" t="str" cm="1">
        <f t="array" ref="G64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640" s="80" t="str" cm="1">
        <f t="array" ref="H64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640" s="78" t="str" cm="1">
        <f t="array" ref="I64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641" spans="1:9" hidden="1" x14ac:dyDescent="0.3">
      <c r="A641" s="82" t="str" cm="1">
        <f t="array" ref="A64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641" s="79" t="str" cm="1">
        <f t="array" ref="B64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641" s="108" t="str" cm="1">
        <f t="array" ref="C64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641" s="79" t="str" cm="1">
        <f t="array" ref="D64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641" s="79" t="str" cm="1">
        <f t="array" ref="E64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641" s="80" t="str" cm="1">
        <f t="array" ref="F64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641" s="80" t="str" cm="1">
        <f t="array" ref="G64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641" s="80" t="str" cm="1">
        <f t="array" ref="H64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641" s="78" t="str" cm="1">
        <f t="array" ref="I64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642" spans="1:9" hidden="1" x14ac:dyDescent="0.3">
      <c r="A642" s="82" t="str" cm="1">
        <f t="array" ref="A64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642" s="79" t="str" cm="1">
        <f t="array" ref="B64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642" s="108" t="str" cm="1">
        <f t="array" ref="C64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642" s="79" t="str" cm="1">
        <f t="array" ref="D64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642" s="79" t="str" cm="1">
        <f t="array" ref="E64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642" s="80" t="str" cm="1">
        <f t="array" ref="F64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642" s="80" t="str" cm="1">
        <f t="array" ref="G64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642" s="80" t="str" cm="1">
        <f t="array" ref="H64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642" s="78" t="str" cm="1">
        <f t="array" ref="I64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643" spans="1:9" hidden="1" x14ac:dyDescent="0.3">
      <c r="A643" s="82" t="str" cm="1">
        <f t="array" ref="A64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643" s="79" t="str" cm="1">
        <f t="array" ref="B64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643" s="108" t="str" cm="1">
        <f t="array" ref="C64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643" s="79" t="str" cm="1">
        <f t="array" ref="D64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643" s="79" t="str" cm="1">
        <f t="array" ref="E64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643" s="80" t="str" cm="1">
        <f t="array" ref="F64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643" s="80" t="str" cm="1">
        <f t="array" ref="G64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643" s="80" t="str" cm="1">
        <f t="array" ref="H64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643" s="78" t="str" cm="1">
        <f t="array" ref="I64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644" spans="1:9" hidden="1" x14ac:dyDescent="0.3">
      <c r="A644" s="82" t="str" cm="1">
        <f t="array" ref="A64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644" s="79" t="str" cm="1">
        <f t="array" ref="B64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644" s="108" t="str" cm="1">
        <f t="array" ref="C64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644" s="79" t="str" cm="1">
        <f t="array" ref="D64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644" s="79" t="str" cm="1">
        <f t="array" ref="E64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644" s="80" t="str" cm="1">
        <f t="array" ref="F64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644" s="80" t="str" cm="1">
        <f t="array" ref="G64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644" s="80" t="str" cm="1">
        <f t="array" ref="H64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644" s="78" t="str" cm="1">
        <f t="array" ref="I64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645" spans="1:9" hidden="1" x14ac:dyDescent="0.3">
      <c r="A645" s="82" t="str" cm="1">
        <f t="array" ref="A64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645" s="79" t="str" cm="1">
        <f t="array" ref="B64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645" s="108" t="str" cm="1">
        <f t="array" ref="C64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645" s="79" t="str" cm="1">
        <f t="array" ref="D64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645" s="79" t="str" cm="1">
        <f t="array" ref="E64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645" s="80" t="str" cm="1">
        <f t="array" ref="F64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645" s="80" t="str" cm="1">
        <f t="array" ref="G64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645" s="80" t="str" cm="1">
        <f t="array" ref="H64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645" s="78" t="str" cm="1">
        <f t="array" ref="I64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646" spans="1:9" hidden="1" x14ac:dyDescent="0.3">
      <c r="A646" s="82" t="str" cm="1">
        <f t="array" ref="A64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646" s="79" t="str" cm="1">
        <f t="array" ref="B64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646" s="108" t="str" cm="1">
        <f t="array" ref="C64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646" s="79" t="str" cm="1">
        <f t="array" ref="D64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646" s="79" t="str" cm="1">
        <f t="array" ref="E64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646" s="80" t="str" cm="1">
        <f t="array" ref="F64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646" s="80" t="str" cm="1">
        <f t="array" ref="G64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646" s="80" t="str" cm="1">
        <f t="array" ref="H64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646" s="78" t="str" cm="1">
        <f t="array" ref="I64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647" spans="1:9" hidden="1" x14ac:dyDescent="0.3">
      <c r="A647" s="82" t="str" cm="1">
        <f t="array" ref="A64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647" s="79" t="str" cm="1">
        <f t="array" ref="B64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647" s="108" t="str" cm="1">
        <f t="array" ref="C64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647" s="79" t="str" cm="1">
        <f t="array" ref="D64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647" s="79" t="str" cm="1">
        <f t="array" ref="E64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647" s="80" t="str" cm="1">
        <f t="array" ref="F64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647" s="80" t="str" cm="1">
        <f t="array" ref="G64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647" s="80" t="str" cm="1">
        <f t="array" ref="H64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647" s="78" t="str" cm="1">
        <f t="array" ref="I64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648" spans="1:9" hidden="1" x14ac:dyDescent="0.3">
      <c r="A648" s="82" t="str" cm="1">
        <f t="array" ref="A64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648" s="79" t="str" cm="1">
        <f t="array" ref="B64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648" s="108" t="str" cm="1">
        <f t="array" ref="C64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648" s="79" t="str" cm="1">
        <f t="array" ref="D64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648" s="79" t="str" cm="1">
        <f t="array" ref="E64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648" s="80" t="str" cm="1">
        <f t="array" ref="F64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648" s="80" t="str" cm="1">
        <f t="array" ref="G64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648" s="80" t="str" cm="1">
        <f t="array" ref="H64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648" s="78" t="str" cm="1">
        <f t="array" ref="I64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649" spans="1:9" hidden="1" x14ac:dyDescent="0.3">
      <c r="A649" s="82" t="str" cm="1">
        <f t="array" ref="A64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649" s="79" t="str" cm="1">
        <f t="array" ref="B64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649" s="108" t="str" cm="1">
        <f t="array" ref="C64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649" s="79" t="str" cm="1">
        <f t="array" ref="D64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649" s="79" t="str" cm="1">
        <f t="array" ref="E64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649" s="80" t="str" cm="1">
        <f t="array" ref="F64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649" s="80" t="str" cm="1">
        <f t="array" ref="G64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649" s="80" t="str" cm="1">
        <f t="array" ref="H64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649" s="78" t="str" cm="1">
        <f t="array" ref="I64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650" spans="1:9" hidden="1" x14ac:dyDescent="0.3">
      <c r="A650" s="82" t="str" cm="1">
        <f t="array" ref="A65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650" s="79" t="str" cm="1">
        <f t="array" ref="B65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650" s="108" t="str" cm="1">
        <f t="array" ref="C65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650" s="79" t="str" cm="1">
        <f t="array" ref="D65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650" s="79" t="str" cm="1">
        <f t="array" ref="E65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650" s="80" t="str" cm="1">
        <f t="array" ref="F65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650" s="80" t="str" cm="1">
        <f t="array" ref="G65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650" s="80" t="str" cm="1">
        <f t="array" ref="H65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650" s="78" t="str" cm="1">
        <f t="array" ref="I65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651" spans="1:9" hidden="1" x14ac:dyDescent="0.3">
      <c r="A651" s="82" t="str" cm="1">
        <f t="array" ref="A65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651" s="79" t="str" cm="1">
        <f t="array" ref="B65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651" s="108" t="str" cm="1">
        <f t="array" ref="C65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651" s="79" t="str" cm="1">
        <f t="array" ref="D65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651" s="79" t="str" cm="1">
        <f t="array" ref="E65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651" s="80" t="str" cm="1">
        <f t="array" ref="F65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651" s="80" t="str" cm="1">
        <f t="array" ref="G65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651" s="80" t="str" cm="1">
        <f t="array" ref="H65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651" s="78" t="str" cm="1">
        <f t="array" ref="I65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652" spans="1:9" hidden="1" x14ac:dyDescent="0.3">
      <c r="A652" s="82" t="str" cm="1">
        <f t="array" ref="A65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652" s="79" t="str" cm="1">
        <f t="array" ref="B65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652" s="108" t="str" cm="1">
        <f t="array" ref="C65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652" s="79" t="str" cm="1">
        <f t="array" ref="D65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652" s="79" t="str" cm="1">
        <f t="array" ref="E65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652" s="80" t="str" cm="1">
        <f t="array" ref="F65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652" s="80" t="str" cm="1">
        <f t="array" ref="G65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652" s="80" t="str" cm="1">
        <f t="array" ref="H65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652" s="78" t="str" cm="1">
        <f t="array" ref="I65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653" spans="1:9" hidden="1" x14ac:dyDescent="0.3">
      <c r="A653" s="82" t="str" cm="1">
        <f t="array" ref="A65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653" s="79" t="str" cm="1">
        <f t="array" ref="B65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653" s="108" t="str" cm="1">
        <f t="array" ref="C65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653" s="79" t="str" cm="1">
        <f t="array" ref="D65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653" s="79" t="str" cm="1">
        <f t="array" ref="E65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653" s="80" t="str" cm="1">
        <f t="array" ref="F65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653" s="80" t="str" cm="1">
        <f t="array" ref="G65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653" s="80" t="str" cm="1">
        <f t="array" ref="H65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653" s="78" t="str" cm="1">
        <f t="array" ref="I65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654" spans="1:9" hidden="1" x14ac:dyDescent="0.3">
      <c r="A654" s="82" t="str" cm="1">
        <f t="array" ref="A65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654" s="79" t="str" cm="1">
        <f t="array" ref="B65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654" s="108" t="str" cm="1">
        <f t="array" ref="C65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654" s="79" t="str" cm="1">
        <f t="array" ref="D65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654" s="79" t="str" cm="1">
        <f t="array" ref="E65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654" s="80" t="str" cm="1">
        <f t="array" ref="F65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654" s="80" t="str" cm="1">
        <f t="array" ref="G65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654" s="80" t="str" cm="1">
        <f t="array" ref="H65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654" s="78" t="str" cm="1">
        <f t="array" ref="I65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655" spans="1:9" hidden="1" x14ac:dyDescent="0.3">
      <c r="A655" s="82" t="str" cm="1">
        <f t="array" ref="A65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655" s="79" t="str" cm="1">
        <f t="array" ref="B65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655" s="108" t="str" cm="1">
        <f t="array" ref="C65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655" s="79" t="str" cm="1">
        <f t="array" ref="D65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655" s="79" t="str" cm="1">
        <f t="array" ref="E65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655" s="80" t="str" cm="1">
        <f t="array" ref="F65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655" s="80" t="str" cm="1">
        <f t="array" ref="G65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655" s="80" t="str" cm="1">
        <f t="array" ref="H65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655" s="78" t="str" cm="1">
        <f t="array" ref="I65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656" spans="1:9" hidden="1" x14ac:dyDescent="0.3">
      <c r="A656" s="82" t="str" cm="1">
        <f t="array" ref="A65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656" s="79" t="str" cm="1">
        <f t="array" ref="B65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656" s="108" t="str" cm="1">
        <f t="array" ref="C65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656" s="79" t="str" cm="1">
        <f t="array" ref="D65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656" s="79" t="str" cm="1">
        <f t="array" ref="E65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656" s="80" t="str" cm="1">
        <f t="array" ref="F65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656" s="80" t="str" cm="1">
        <f t="array" ref="G65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656" s="80" t="str" cm="1">
        <f t="array" ref="H65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656" s="78" t="str" cm="1">
        <f t="array" ref="I65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657" spans="1:9" hidden="1" x14ac:dyDescent="0.3">
      <c r="A657" s="82" t="str" cm="1">
        <f t="array" ref="A65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657" s="79" t="str" cm="1">
        <f t="array" ref="B65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657" s="108" t="str" cm="1">
        <f t="array" ref="C65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657" s="79" t="str" cm="1">
        <f t="array" ref="D65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657" s="79" t="str" cm="1">
        <f t="array" ref="E65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657" s="80" t="str" cm="1">
        <f t="array" ref="F65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657" s="80" t="str" cm="1">
        <f t="array" ref="G65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657" s="80" t="str" cm="1">
        <f t="array" ref="H65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657" s="78" t="str" cm="1">
        <f t="array" ref="I65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658" spans="1:9" hidden="1" x14ac:dyDescent="0.3">
      <c r="A658" s="82" t="str" cm="1">
        <f t="array" ref="A65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658" s="79" t="str" cm="1">
        <f t="array" ref="B65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658" s="108" t="str" cm="1">
        <f t="array" ref="C65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658" s="79" t="str" cm="1">
        <f t="array" ref="D65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658" s="79" t="str" cm="1">
        <f t="array" ref="E65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658" s="80" t="str" cm="1">
        <f t="array" ref="F65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658" s="80" t="str" cm="1">
        <f t="array" ref="G65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658" s="80" t="str" cm="1">
        <f t="array" ref="H65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658" s="78" t="str" cm="1">
        <f t="array" ref="I65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659" spans="1:9" hidden="1" x14ac:dyDescent="0.3">
      <c r="A659" s="82" t="str" cm="1">
        <f t="array" ref="A65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659" s="79" t="str" cm="1">
        <f t="array" ref="B65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659" s="108" t="str" cm="1">
        <f t="array" ref="C65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659" s="79" t="str" cm="1">
        <f t="array" ref="D65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659" s="79" t="str" cm="1">
        <f t="array" ref="E65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659" s="80" t="str" cm="1">
        <f t="array" ref="F65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659" s="80" t="str" cm="1">
        <f t="array" ref="G65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659" s="80" t="str" cm="1">
        <f t="array" ref="H65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659" s="78" t="str" cm="1">
        <f t="array" ref="I65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660" spans="1:9" hidden="1" x14ac:dyDescent="0.3">
      <c r="A660" s="82" t="str" cm="1">
        <f t="array" ref="A66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660" s="79" t="str" cm="1">
        <f t="array" ref="B66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660" s="108" t="str" cm="1">
        <f t="array" ref="C66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660" s="79" t="str" cm="1">
        <f t="array" ref="D66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660" s="79" t="str" cm="1">
        <f t="array" ref="E66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660" s="80" t="str" cm="1">
        <f t="array" ref="F66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660" s="80" t="str" cm="1">
        <f t="array" ref="G66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660" s="80" t="str" cm="1">
        <f t="array" ref="H66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660" s="78" t="str" cm="1">
        <f t="array" ref="I66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661" spans="1:9" hidden="1" x14ac:dyDescent="0.3">
      <c r="A661" s="82" t="str" cm="1">
        <f t="array" ref="A66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661" s="79" t="str" cm="1">
        <f t="array" ref="B66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661" s="108" t="str" cm="1">
        <f t="array" ref="C66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661" s="79" t="str" cm="1">
        <f t="array" ref="D66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661" s="79" t="str" cm="1">
        <f t="array" ref="E66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661" s="80" t="str" cm="1">
        <f t="array" ref="F66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661" s="80" t="str" cm="1">
        <f t="array" ref="G66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661" s="80" t="str" cm="1">
        <f t="array" ref="H66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661" s="78" t="str" cm="1">
        <f t="array" ref="I66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662" spans="1:9" hidden="1" x14ac:dyDescent="0.3">
      <c r="A662" s="82" t="str" cm="1">
        <f t="array" ref="A66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662" s="79" t="str" cm="1">
        <f t="array" ref="B66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662" s="108" t="str" cm="1">
        <f t="array" ref="C66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662" s="79" t="str" cm="1">
        <f t="array" ref="D66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662" s="79" t="str" cm="1">
        <f t="array" ref="E66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662" s="80" t="str" cm="1">
        <f t="array" ref="F66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662" s="80" t="str" cm="1">
        <f t="array" ref="G66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662" s="80" t="str" cm="1">
        <f t="array" ref="H66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662" s="78" t="str" cm="1">
        <f t="array" ref="I66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663" spans="1:9" hidden="1" x14ac:dyDescent="0.3">
      <c r="A663" s="82" t="str" cm="1">
        <f t="array" ref="A66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663" s="79" t="str" cm="1">
        <f t="array" ref="B66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663" s="108" t="str" cm="1">
        <f t="array" ref="C66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663" s="79" t="str" cm="1">
        <f t="array" ref="D66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663" s="79" t="str" cm="1">
        <f t="array" ref="E66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663" s="80" t="str" cm="1">
        <f t="array" ref="F66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663" s="80" t="str" cm="1">
        <f t="array" ref="G66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663" s="80" t="str" cm="1">
        <f t="array" ref="H66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663" s="78" t="str" cm="1">
        <f t="array" ref="I66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664" spans="1:9" hidden="1" x14ac:dyDescent="0.3">
      <c r="A664" s="82" t="str" cm="1">
        <f t="array" ref="A66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664" s="79" t="str" cm="1">
        <f t="array" ref="B66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664" s="108" t="str" cm="1">
        <f t="array" ref="C66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664" s="79" t="str" cm="1">
        <f t="array" ref="D66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664" s="79" t="str" cm="1">
        <f t="array" ref="E66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664" s="80" t="str" cm="1">
        <f t="array" ref="F66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664" s="80" t="str" cm="1">
        <f t="array" ref="G66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664" s="80" t="str" cm="1">
        <f t="array" ref="H66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664" s="78" t="str" cm="1">
        <f t="array" ref="I66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665" spans="1:9" hidden="1" x14ac:dyDescent="0.3">
      <c r="A665" s="82" t="str" cm="1">
        <f t="array" ref="A66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665" s="79" t="str" cm="1">
        <f t="array" ref="B66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665" s="108" t="str" cm="1">
        <f t="array" ref="C66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665" s="79" t="str" cm="1">
        <f t="array" ref="D66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665" s="79" t="str" cm="1">
        <f t="array" ref="E66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665" s="80" t="str" cm="1">
        <f t="array" ref="F66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665" s="80" t="str" cm="1">
        <f t="array" ref="G66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665" s="80" t="str" cm="1">
        <f t="array" ref="H66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665" s="78" t="str" cm="1">
        <f t="array" ref="I66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666" spans="1:9" hidden="1" x14ac:dyDescent="0.3">
      <c r="A666" s="82" t="str" cm="1">
        <f t="array" ref="A66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666" s="79" t="str" cm="1">
        <f t="array" ref="B66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666" s="108" t="str" cm="1">
        <f t="array" ref="C66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666" s="79" t="str" cm="1">
        <f t="array" ref="D66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666" s="79" t="str" cm="1">
        <f t="array" ref="E66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666" s="80" t="str" cm="1">
        <f t="array" ref="F66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666" s="80" t="str" cm="1">
        <f t="array" ref="G66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666" s="80" t="str" cm="1">
        <f t="array" ref="H66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666" s="78" t="str" cm="1">
        <f t="array" ref="I66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667" spans="1:9" hidden="1" x14ac:dyDescent="0.3">
      <c r="A667" s="82" t="str" cm="1">
        <f t="array" ref="A66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667" s="79" t="str" cm="1">
        <f t="array" ref="B66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667" s="108" t="str" cm="1">
        <f t="array" ref="C66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667" s="79" t="str" cm="1">
        <f t="array" ref="D66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667" s="79" t="str" cm="1">
        <f t="array" ref="E66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667" s="80" t="str" cm="1">
        <f t="array" ref="F66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667" s="80" t="str" cm="1">
        <f t="array" ref="G66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667" s="80" t="str" cm="1">
        <f t="array" ref="H66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667" s="78" t="str" cm="1">
        <f t="array" ref="I66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668" spans="1:9" hidden="1" x14ac:dyDescent="0.3">
      <c r="A668" s="82" t="str" cm="1">
        <f t="array" ref="A66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668" s="79" t="str" cm="1">
        <f t="array" ref="B66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668" s="108" t="str" cm="1">
        <f t="array" ref="C66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668" s="79" t="str" cm="1">
        <f t="array" ref="D66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668" s="79" t="str" cm="1">
        <f t="array" ref="E66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668" s="80" t="str" cm="1">
        <f t="array" ref="F66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668" s="80" t="str" cm="1">
        <f t="array" ref="G66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668" s="80" t="str" cm="1">
        <f t="array" ref="H66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668" s="78" t="str" cm="1">
        <f t="array" ref="I66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669" spans="1:9" hidden="1" x14ac:dyDescent="0.3">
      <c r="A669" s="82" t="str" cm="1">
        <f t="array" ref="A66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669" s="79" t="str" cm="1">
        <f t="array" ref="B66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669" s="108" t="str" cm="1">
        <f t="array" ref="C66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669" s="79" t="str" cm="1">
        <f t="array" ref="D66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669" s="79" t="str" cm="1">
        <f t="array" ref="E66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669" s="80" t="str" cm="1">
        <f t="array" ref="F66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669" s="80" t="str" cm="1">
        <f t="array" ref="G66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669" s="80" t="str" cm="1">
        <f t="array" ref="H66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669" s="78" t="str" cm="1">
        <f t="array" ref="I66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670" spans="1:9" hidden="1" x14ac:dyDescent="0.3">
      <c r="A670" s="82" t="str" cm="1">
        <f t="array" ref="A67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670" s="79" t="str" cm="1">
        <f t="array" ref="B67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670" s="108" t="str" cm="1">
        <f t="array" ref="C67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670" s="79" t="str" cm="1">
        <f t="array" ref="D67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670" s="79" t="str" cm="1">
        <f t="array" ref="E67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670" s="80" t="str" cm="1">
        <f t="array" ref="F67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670" s="80" t="str" cm="1">
        <f t="array" ref="G67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670" s="80" t="str" cm="1">
        <f t="array" ref="H67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670" s="78" t="str" cm="1">
        <f t="array" ref="I67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671" spans="1:9" hidden="1" x14ac:dyDescent="0.3">
      <c r="A671" s="82" t="str" cm="1">
        <f t="array" ref="A67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671" s="79" t="str" cm="1">
        <f t="array" ref="B67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671" s="108" t="str" cm="1">
        <f t="array" ref="C67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671" s="79" t="str" cm="1">
        <f t="array" ref="D67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671" s="79" t="str" cm="1">
        <f t="array" ref="E67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671" s="80" t="str" cm="1">
        <f t="array" ref="F67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671" s="80" t="str" cm="1">
        <f t="array" ref="G67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671" s="80" t="str" cm="1">
        <f t="array" ref="H67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671" s="78" t="str" cm="1">
        <f t="array" ref="I67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672" spans="1:9" hidden="1" x14ac:dyDescent="0.3">
      <c r="A672" s="82" t="str" cm="1">
        <f t="array" ref="A67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672" s="79" t="str" cm="1">
        <f t="array" ref="B67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672" s="108" t="str" cm="1">
        <f t="array" ref="C67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672" s="79" t="str" cm="1">
        <f t="array" ref="D67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672" s="79" t="str" cm="1">
        <f t="array" ref="E67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672" s="80" t="str" cm="1">
        <f t="array" ref="F67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672" s="80" t="str" cm="1">
        <f t="array" ref="G67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672" s="80" t="str" cm="1">
        <f t="array" ref="H67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672" s="78" t="str" cm="1">
        <f t="array" ref="I67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673" spans="1:9" hidden="1" x14ac:dyDescent="0.3">
      <c r="A673" s="82" t="str" cm="1">
        <f t="array" ref="A67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673" s="79" t="str" cm="1">
        <f t="array" ref="B67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673" s="108" t="str" cm="1">
        <f t="array" ref="C67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673" s="79" t="str" cm="1">
        <f t="array" ref="D67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673" s="79" t="str" cm="1">
        <f t="array" ref="E67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673" s="80" t="str" cm="1">
        <f t="array" ref="F67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673" s="80" t="str" cm="1">
        <f t="array" ref="G67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673" s="80" t="str" cm="1">
        <f t="array" ref="H67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673" s="78" t="str" cm="1">
        <f t="array" ref="I67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674" spans="1:9" hidden="1" x14ac:dyDescent="0.3">
      <c r="A674" s="82" t="str" cm="1">
        <f t="array" ref="A67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674" s="79" t="str" cm="1">
        <f t="array" ref="B67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674" s="108" t="str" cm="1">
        <f t="array" ref="C67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674" s="79" t="str" cm="1">
        <f t="array" ref="D67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674" s="79" t="str" cm="1">
        <f t="array" ref="E67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674" s="80" t="str" cm="1">
        <f t="array" ref="F67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674" s="80" t="str" cm="1">
        <f t="array" ref="G67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674" s="80" t="str" cm="1">
        <f t="array" ref="H67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674" s="78" t="str" cm="1">
        <f t="array" ref="I67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675" spans="1:9" hidden="1" x14ac:dyDescent="0.3">
      <c r="A675" s="82" t="str" cm="1">
        <f t="array" ref="A67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675" s="79" t="str" cm="1">
        <f t="array" ref="B67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675" s="108" t="str" cm="1">
        <f t="array" ref="C67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675" s="79" t="str" cm="1">
        <f t="array" ref="D67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675" s="79" t="str" cm="1">
        <f t="array" ref="E67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675" s="80" t="str" cm="1">
        <f t="array" ref="F67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675" s="80" t="str" cm="1">
        <f t="array" ref="G67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675" s="80" t="str" cm="1">
        <f t="array" ref="H67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675" s="78" t="str" cm="1">
        <f t="array" ref="I67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676" spans="1:9" hidden="1" x14ac:dyDescent="0.3">
      <c r="A676" s="82" t="str" cm="1">
        <f t="array" ref="A67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676" s="79" t="str" cm="1">
        <f t="array" ref="B67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676" s="108" t="str" cm="1">
        <f t="array" ref="C67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676" s="79" t="str" cm="1">
        <f t="array" ref="D67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676" s="79" t="str" cm="1">
        <f t="array" ref="E67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676" s="80" t="str" cm="1">
        <f t="array" ref="F67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676" s="80" t="str" cm="1">
        <f t="array" ref="G67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676" s="80" t="str" cm="1">
        <f t="array" ref="H67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676" s="78" t="str" cm="1">
        <f t="array" ref="I67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677" spans="1:9" hidden="1" x14ac:dyDescent="0.3">
      <c r="A677" s="82" t="str" cm="1">
        <f t="array" ref="A67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677" s="79" t="str" cm="1">
        <f t="array" ref="B67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677" s="108" t="str" cm="1">
        <f t="array" ref="C67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677" s="79" t="str" cm="1">
        <f t="array" ref="D67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677" s="79" t="str" cm="1">
        <f t="array" ref="E67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677" s="80" t="str" cm="1">
        <f t="array" ref="F67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677" s="80" t="str" cm="1">
        <f t="array" ref="G67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677" s="80" t="str" cm="1">
        <f t="array" ref="H67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677" s="78" t="str" cm="1">
        <f t="array" ref="I67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678" spans="1:9" hidden="1" x14ac:dyDescent="0.3">
      <c r="A678" s="82" t="str" cm="1">
        <f t="array" ref="A67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678" s="79" t="str" cm="1">
        <f t="array" ref="B67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678" s="108" t="str" cm="1">
        <f t="array" ref="C67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678" s="79" t="str" cm="1">
        <f t="array" ref="D67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678" s="79" t="str" cm="1">
        <f t="array" ref="E67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678" s="80" t="str" cm="1">
        <f t="array" ref="F67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678" s="80" t="str" cm="1">
        <f t="array" ref="G67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678" s="80" t="str" cm="1">
        <f t="array" ref="H67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678" s="78" t="str" cm="1">
        <f t="array" ref="I67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679" spans="1:9" hidden="1" x14ac:dyDescent="0.3">
      <c r="A679" s="82" t="str" cm="1">
        <f t="array" ref="A67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679" s="79" t="str" cm="1">
        <f t="array" ref="B67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679" s="108" t="str" cm="1">
        <f t="array" ref="C67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679" s="79" t="str" cm="1">
        <f t="array" ref="D67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679" s="79" t="str" cm="1">
        <f t="array" ref="E67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679" s="80" t="str" cm="1">
        <f t="array" ref="F67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679" s="80" t="str" cm="1">
        <f t="array" ref="G67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679" s="80" t="str" cm="1">
        <f t="array" ref="H67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679" s="78" t="str" cm="1">
        <f t="array" ref="I67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680" spans="1:9" hidden="1" x14ac:dyDescent="0.3">
      <c r="A680" s="82" t="str" cm="1">
        <f t="array" ref="A68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680" s="79" t="str" cm="1">
        <f t="array" ref="B68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680" s="108" t="str" cm="1">
        <f t="array" ref="C68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680" s="79" t="str" cm="1">
        <f t="array" ref="D68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680" s="79" t="str" cm="1">
        <f t="array" ref="E68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680" s="80" t="str" cm="1">
        <f t="array" ref="F68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680" s="80" t="str" cm="1">
        <f t="array" ref="G68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680" s="80" t="str" cm="1">
        <f t="array" ref="H68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680" s="78" t="str" cm="1">
        <f t="array" ref="I68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681" spans="1:9" hidden="1" x14ac:dyDescent="0.3">
      <c r="A681" s="82" t="str" cm="1">
        <f t="array" ref="A68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681" s="79" t="str" cm="1">
        <f t="array" ref="B68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681" s="108" t="str" cm="1">
        <f t="array" ref="C68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681" s="79" t="str" cm="1">
        <f t="array" ref="D68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681" s="79" t="str" cm="1">
        <f t="array" ref="E68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681" s="80" t="str" cm="1">
        <f t="array" ref="F68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681" s="80" t="str" cm="1">
        <f t="array" ref="G68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681" s="80" t="str" cm="1">
        <f t="array" ref="H68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681" s="78" t="str" cm="1">
        <f t="array" ref="I68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682" spans="1:9" hidden="1" x14ac:dyDescent="0.3">
      <c r="A682" s="82" t="str" cm="1">
        <f t="array" ref="A68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682" s="79" t="str" cm="1">
        <f t="array" ref="B68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682" s="108" t="str" cm="1">
        <f t="array" ref="C68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682" s="79" t="str" cm="1">
        <f t="array" ref="D68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682" s="79" t="str" cm="1">
        <f t="array" ref="E68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682" s="80" t="str" cm="1">
        <f t="array" ref="F68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682" s="80" t="str" cm="1">
        <f t="array" ref="G68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682" s="80" t="str" cm="1">
        <f t="array" ref="H68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682" s="78" t="str" cm="1">
        <f t="array" ref="I68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683" spans="1:9" hidden="1" x14ac:dyDescent="0.3">
      <c r="A683" s="82" t="str" cm="1">
        <f t="array" ref="A68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683" s="79" t="str" cm="1">
        <f t="array" ref="B68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683" s="108" t="str" cm="1">
        <f t="array" ref="C68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683" s="79" t="str" cm="1">
        <f t="array" ref="D68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683" s="79" t="str" cm="1">
        <f t="array" ref="E68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683" s="80" t="str" cm="1">
        <f t="array" ref="F68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683" s="80" t="str" cm="1">
        <f t="array" ref="G68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683" s="80" t="str" cm="1">
        <f t="array" ref="H68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683" s="78" t="str" cm="1">
        <f t="array" ref="I68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684" spans="1:9" hidden="1" x14ac:dyDescent="0.3">
      <c r="A684" s="82" t="str" cm="1">
        <f t="array" ref="A68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684" s="79" t="str" cm="1">
        <f t="array" ref="B68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684" s="108" t="str" cm="1">
        <f t="array" ref="C68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684" s="79" t="str" cm="1">
        <f t="array" ref="D68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684" s="79" t="str" cm="1">
        <f t="array" ref="E68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684" s="80" t="str" cm="1">
        <f t="array" ref="F68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684" s="80" t="str" cm="1">
        <f t="array" ref="G68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684" s="80" t="str" cm="1">
        <f t="array" ref="H68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684" s="78" t="str" cm="1">
        <f t="array" ref="I68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685" spans="1:9" hidden="1" x14ac:dyDescent="0.3">
      <c r="A685" s="82" t="str" cm="1">
        <f t="array" ref="A68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685" s="79" t="str" cm="1">
        <f t="array" ref="B68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685" s="108" t="str" cm="1">
        <f t="array" ref="C68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685" s="79" t="str" cm="1">
        <f t="array" ref="D68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685" s="79" t="str" cm="1">
        <f t="array" ref="E68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685" s="80" t="str" cm="1">
        <f t="array" ref="F68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685" s="80" t="str" cm="1">
        <f t="array" ref="G68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685" s="80" t="str" cm="1">
        <f t="array" ref="H68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685" s="78" t="str" cm="1">
        <f t="array" ref="I68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686" spans="1:9" hidden="1" x14ac:dyDescent="0.3">
      <c r="A686" s="82" t="str" cm="1">
        <f t="array" ref="A68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686" s="79" t="str" cm="1">
        <f t="array" ref="B68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686" s="108" t="str" cm="1">
        <f t="array" ref="C68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686" s="79" t="str" cm="1">
        <f t="array" ref="D68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686" s="79" t="str" cm="1">
        <f t="array" ref="E68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686" s="80" t="str" cm="1">
        <f t="array" ref="F68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686" s="80" t="str" cm="1">
        <f t="array" ref="G68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686" s="80" t="str" cm="1">
        <f t="array" ref="H68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686" s="78" t="str" cm="1">
        <f t="array" ref="I68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687" spans="1:9" hidden="1" x14ac:dyDescent="0.3">
      <c r="A687" s="82" t="str" cm="1">
        <f t="array" ref="A68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687" s="79" t="str" cm="1">
        <f t="array" ref="B68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687" s="108" t="str" cm="1">
        <f t="array" ref="C68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687" s="79" t="str" cm="1">
        <f t="array" ref="D68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687" s="79" t="str" cm="1">
        <f t="array" ref="E68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687" s="80" t="str" cm="1">
        <f t="array" ref="F68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687" s="80" t="str" cm="1">
        <f t="array" ref="G68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687" s="80" t="str" cm="1">
        <f t="array" ref="H68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687" s="78" t="str" cm="1">
        <f t="array" ref="I68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688" spans="1:9" hidden="1" x14ac:dyDescent="0.3">
      <c r="A688" s="82" t="str" cm="1">
        <f t="array" ref="A68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688" s="79" t="str" cm="1">
        <f t="array" ref="B68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688" s="108" t="str" cm="1">
        <f t="array" ref="C68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688" s="79" t="str" cm="1">
        <f t="array" ref="D68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688" s="79" t="str" cm="1">
        <f t="array" ref="E68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688" s="80" t="str" cm="1">
        <f t="array" ref="F68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688" s="80" t="str" cm="1">
        <f t="array" ref="G68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688" s="80" t="str" cm="1">
        <f t="array" ref="H68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688" s="78" t="str" cm="1">
        <f t="array" ref="I68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689" spans="1:9" hidden="1" x14ac:dyDescent="0.3">
      <c r="A689" s="82" t="str" cm="1">
        <f t="array" ref="A68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689" s="79" t="str" cm="1">
        <f t="array" ref="B68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689" s="108" t="str" cm="1">
        <f t="array" ref="C68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689" s="79" t="str" cm="1">
        <f t="array" ref="D68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689" s="79" t="str" cm="1">
        <f t="array" ref="E68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689" s="80" t="str" cm="1">
        <f t="array" ref="F68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689" s="80" t="str" cm="1">
        <f t="array" ref="G68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689" s="80" t="str" cm="1">
        <f t="array" ref="H68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689" s="78" t="str" cm="1">
        <f t="array" ref="I68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690" spans="1:9" hidden="1" x14ac:dyDescent="0.3">
      <c r="A690" s="82" t="str" cm="1">
        <f t="array" ref="A69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690" s="79" t="str" cm="1">
        <f t="array" ref="B69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690" s="108" t="str" cm="1">
        <f t="array" ref="C69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690" s="79" t="str" cm="1">
        <f t="array" ref="D69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690" s="79" t="str" cm="1">
        <f t="array" ref="E69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690" s="80" t="str" cm="1">
        <f t="array" ref="F69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690" s="80" t="str" cm="1">
        <f t="array" ref="G69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690" s="80" t="str" cm="1">
        <f t="array" ref="H69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690" s="78" t="str" cm="1">
        <f t="array" ref="I69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691" spans="1:9" hidden="1" x14ac:dyDescent="0.3">
      <c r="A691" s="82" t="str" cm="1">
        <f t="array" ref="A69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691" s="79" t="str" cm="1">
        <f t="array" ref="B69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691" s="108" t="str" cm="1">
        <f t="array" ref="C69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691" s="79" t="str" cm="1">
        <f t="array" ref="D69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691" s="79" t="str" cm="1">
        <f t="array" ref="E69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691" s="80" t="str" cm="1">
        <f t="array" ref="F69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691" s="80" t="str" cm="1">
        <f t="array" ref="G69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691" s="80" t="str" cm="1">
        <f t="array" ref="H69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691" s="78" t="str" cm="1">
        <f t="array" ref="I69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692" spans="1:9" hidden="1" x14ac:dyDescent="0.3">
      <c r="A692" s="82" t="str" cm="1">
        <f t="array" ref="A69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692" s="79" t="str" cm="1">
        <f t="array" ref="B69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692" s="108" t="str" cm="1">
        <f t="array" ref="C69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692" s="79" t="str" cm="1">
        <f t="array" ref="D69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692" s="79" t="str" cm="1">
        <f t="array" ref="E69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692" s="80" t="str" cm="1">
        <f t="array" ref="F69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692" s="80" t="str" cm="1">
        <f t="array" ref="G69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692" s="80" t="str" cm="1">
        <f t="array" ref="H69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692" s="78" t="str" cm="1">
        <f t="array" ref="I69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693" spans="1:9" hidden="1" x14ac:dyDescent="0.3">
      <c r="A693" s="82" t="str" cm="1">
        <f t="array" ref="A69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693" s="79" t="str" cm="1">
        <f t="array" ref="B69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693" s="108" t="str" cm="1">
        <f t="array" ref="C69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693" s="79" t="str" cm="1">
        <f t="array" ref="D69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693" s="79" t="str" cm="1">
        <f t="array" ref="E69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693" s="80" t="str" cm="1">
        <f t="array" ref="F69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693" s="80" t="str" cm="1">
        <f t="array" ref="G69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693" s="80" t="str" cm="1">
        <f t="array" ref="H69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693" s="78" t="str" cm="1">
        <f t="array" ref="I69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694" spans="1:9" hidden="1" x14ac:dyDescent="0.3">
      <c r="A694" s="82" t="str" cm="1">
        <f t="array" ref="A69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694" s="79" t="str" cm="1">
        <f t="array" ref="B69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694" s="108" t="str" cm="1">
        <f t="array" ref="C69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694" s="79" t="str" cm="1">
        <f t="array" ref="D69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694" s="79" t="str" cm="1">
        <f t="array" ref="E69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694" s="80" t="str" cm="1">
        <f t="array" ref="F69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694" s="80" t="str" cm="1">
        <f t="array" ref="G69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694" s="80" t="str" cm="1">
        <f t="array" ref="H69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694" s="78" t="str" cm="1">
        <f t="array" ref="I69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695" spans="1:9" hidden="1" x14ac:dyDescent="0.3">
      <c r="A695" s="82" t="str" cm="1">
        <f t="array" ref="A69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695" s="79" t="str" cm="1">
        <f t="array" ref="B69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695" s="108" t="str" cm="1">
        <f t="array" ref="C69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695" s="79" t="str" cm="1">
        <f t="array" ref="D69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695" s="79" t="str" cm="1">
        <f t="array" ref="E69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695" s="80" t="str" cm="1">
        <f t="array" ref="F69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695" s="80" t="str" cm="1">
        <f t="array" ref="G69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695" s="80" t="str" cm="1">
        <f t="array" ref="H69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695" s="78" t="str" cm="1">
        <f t="array" ref="I69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696" spans="1:9" hidden="1" x14ac:dyDescent="0.3">
      <c r="A696" s="82" t="str" cm="1">
        <f t="array" ref="A69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696" s="79" t="str" cm="1">
        <f t="array" ref="B69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696" s="108" t="str" cm="1">
        <f t="array" ref="C69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696" s="79" t="str" cm="1">
        <f t="array" ref="D69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696" s="79" t="str" cm="1">
        <f t="array" ref="E69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696" s="80" t="str" cm="1">
        <f t="array" ref="F69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696" s="80" t="str" cm="1">
        <f t="array" ref="G69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696" s="80" t="str" cm="1">
        <f t="array" ref="H69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696" s="78" t="str" cm="1">
        <f t="array" ref="I69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697" spans="1:9" hidden="1" x14ac:dyDescent="0.3">
      <c r="A697" s="82" t="str" cm="1">
        <f t="array" ref="A69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697" s="79" t="str" cm="1">
        <f t="array" ref="B69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697" s="108" t="str" cm="1">
        <f t="array" ref="C69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697" s="79" t="str" cm="1">
        <f t="array" ref="D69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697" s="79" t="str" cm="1">
        <f t="array" ref="E69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697" s="80" t="str" cm="1">
        <f t="array" ref="F69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697" s="80" t="str" cm="1">
        <f t="array" ref="G69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697" s="80" t="str" cm="1">
        <f t="array" ref="H69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697" s="78" t="str" cm="1">
        <f t="array" ref="I69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698" spans="1:9" hidden="1" x14ac:dyDescent="0.3">
      <c r="A698" s="82" t="str" cm="1">
        <f t="array" ref="A69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698" s="79" t="str" cm="1">
        <f t="array" ref="B69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698" s="108" t="str" cm="1">
        <f t="array" ref="C69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698" s="79" t="str" cm="1">
        <f t="array" ref="D69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698" s="79" t="str" cm="1">
        <f t="array" ref="E69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698" s="80" t="str" cm="1">
        <f t="array" ref="F69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698" s="80" t="str" cm="1">
        <f t="array" ref="G69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698" s="80" t="str" cm="1">
        <f t="array" ref="H69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698" s="78" t="str" cm="1">
        <f t="array" ref="I69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699" spans="1:9" hidden="1" x14ac:dyDescent="0.3">
      <c r="A699" s="82" t="str" cm="1">
        <f t="array" ref="A69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699" s="79" t="str" cm="1">
        <f t="array" ref="B69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699" s="108" t="str" cm="1">
        <f t="array" ref="C69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699" s="79" t="str" cm="1">
        <f t="array" ref="D69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699" s="79" t="str" cm="1">
        <f t="array" ref="E69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699" s="80" t="str" cm="1">
        <f t="array" ref="F69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699" s="80" t="str" cm="1">
        <f t="array" ref="G69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699" s="80" t="str" cm="1">
        <f t="array" ref="H69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699" s="78" t="str" cm="1">
        <f t="array" ref="I69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700" spans="1:9" hidden="1" x14ac:dyDescent="0.3">
      <c r="A700" s="82" t="str" cm="1">
        <f t="array" ref="A70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700" s="79" t="str" cm="1">
        <f t="array" ref="B70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700" s="108" t="str" cm="1">
        <f t="array" ref="C70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700" s="79" t="str" cm="1">
        <f t="array" ref="D70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700" s="79" t="str" cm="1">
        <f t="array" ref="E70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700" s="80" t="str" cm="1">
        <f t="array" ref="F70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700" s="80" t="str" cm="1">
        <f t="array" ref="G70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700" s="80" t="str" cm="1">
        <f t="array" ref="H70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700" s="78" t="str" cm="1">
        <f t="array" ref="I70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701" spans="1:9" hidden="1" x14ac:dyDescent="0.3">
      <c r="A701" s="82" t="str" cm="1">
        <f t="array" ref="A70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701" s="79" t="str" cm="1">
        <f t="array" ref="B70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701" s="108" t="str" cm="1">
        <f t="array" ref="C70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701" s="79" t="str" cm="1">
        <f t="array" ref="D70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701" s="79" t="str" cm="1">
        <f t="array" ref="E70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701" s="80" t="str" cm="1">
        <f t="array" ref="F70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701" s="80" t="str" cm="1">
        <f t="array" ref="G70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701" s="80" t="str" cm="1">
        <f t="array" ref="H70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701" s="78" t="str" cm="1">
        <f t="array" ref="I70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702" spans="1:9" hidden="1" x14ac:dyDescent="0.3">
      <c r="A702" s="82" t="str" cm="1">
        <f t="array" ref="A70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702" s="79" t="str" cm="1">
        <f t="array" ref="B70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702" s="108" t="str" cm="1">
        <f t="array" ref="C70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702" s="79" t="str" cm="1">
        <f t="array" ref="D70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702" s="79" t="str" cm="1">
        <f t="array" ref="E70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702" s="80" t="str" cm="1">
        <f t="array" ref="F70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702" s="80" t="str" cm="1">
        <f t="array" ref="G70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702" s="80" t="str" cm="1">
        <f t="array" ref="H70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702" s="78" t="str" cm="1">
        <f t="array" ref="I70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703" spans="1:9" hidden="1" x14ac:dyDescent="0.3">
      <c r="A703" s="82" t="str" cm="1">
        <f t="array" ref="A70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703" s="79" t="str" cm="1">
        <f t="array" ref="B70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703" s="108" t="str" cm="1">
        <f t="array" ref="C70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703" s="79" t="str" cm="1">
        <f t="array" ref="D70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703" s="79" t="str" cm="1">
        <f t="array" ref="E70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703" s="80" t="str" cm="1">
        <f t="array" ref="F70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703" s="80" t="str" cm="1">
        <f t="array" ref="G70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703" s="80" t="str" cm="1">
        <f t="array" ref="H70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703" s="78" t="str" cm="1">
        <f t="array" ref="I70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704" spans="1:9" hidden="1" x14ac:dyDescent="0.3">
      <c r="A704" s="82" t="str" cm="1">
        <f t="array" ref="A70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704" s="79" t="str" cm="1">
        <f t="array" ref="B70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704" s="108" t="str" cm="1">
        <f t="array" ref="C70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704" s="79" t="str" cm="1">
        <f t="array" ref="D70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704" s="79" t="str" cm="1">
        <f t="array" ref="E70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704" s="80" t="str" cm="1">
        <f t="array" ref="F70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704" s="80" t="str" cm="1">
        <f t="array" ref="G70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704" s="80" t="str" cm="1">
        <f t="array" ref="H70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704" s="78" t="str" cm="1">
        <f t="array" ref="I70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705" spans="1:9" hidden="1" x14ac:dyDescent="0.3">
      <c r="A705" s="82" t="str" cm="1">
        <f t="array" ref="A70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705" s="79" t="str" cm="1">
        <f t="array" ref="B70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705" s="108" t="str" cm="1">
        <f t="array" ref="C70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705" s="79" t="str" cm="1">
        <f t="array" ref="D70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705" s="79" t="str" cm="1">
        <f t="array" ref="E70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705" s="80" t="str" cm="1">
        <f t="array" ref="F70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705" s="80" t="str" cm="1">
        <f t="array" ref="G70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705" s="80" t="str" cm="1">
        <f t="array" ref="H70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705" s="78" t="str" cm="1">
        <f t="array" ref="I70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706" spans="1:9" hidden="1" x14ac:dyDescent="0.3">
      <c r="A706" s="82" t="str" cm="1">
        <f t="array" ref="A70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706" s="79" t="str" cm="1">
        <f t="array" ref="B70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706" s="108" t="str" cm="1">
        <f t="array" ref="C70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706" s="79" t="str" cm="1">
        <f t="array" ref="D70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706" s="79" t="str" cm="1">
        <f t="array" ref="E70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706" s="80" t="str" cm="1">
        <f t="array" ref="F70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706" s="80" t="str" cm="1">
        <f t="array" ref="G70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706" s="80" t="str" cm="1">
        <f t="array" ref="H70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706" s="78" t="str" cm="1">
        <f t="array" ref="I70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707" spans="1:9" hidden="1" x14ac:dyDescent="0.3">
      <c r="A707" s="82" t="str" cm="1">
        <f t="array" ref="A70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707" s="79" t="str" cm="1">
        <f t="array" ref="B70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707" s="108" t="str" cm="1">
        <f t="array" ref="C70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707" s="79" t="str" cm="1">
        <f t="array" ref="D70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707" s="79" t="str" cm="1">
        <f t="array" ref="E70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707" s="80" t="str" cm="1">
        <f t="array" ref="F70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707" s="80" t="str" cm="1">
        <f t="array" ref="G70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707" s="80" t="str" cm="1">
        <f t="array" ref="H70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707" s="78" t="str" cm="1">
        <f t="array" ref="I70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708" spans="1:9" hidden="1" x14ac:dyDescent="0.3">
      <c r="A708" s="82" t="str" cm="1">
        <f t="array" ref="A70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708" s="79" t="str" cm="1">
        <f t="array" ref="B70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708" s="108" t="str" cm="1">
        <f t="array" ref="C70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708" s="79" t="str" cm="1">
        <f t="array" ref="D70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708" s="79" t="str" cm="1">
        <f t="array" ref="E70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708" s="80" t="str" cm="1">
        <f t="array" ref="F70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708" s="80" t="str" cm="1">
        <f t="array" ref="G70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708" s="80" t="str" cm="1">
        <f t="array" ref="H70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708" s="78" t="str" cm="1">
        <f t="array" ref="I70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709" spans="1:9" hidden="1" x14ac:dyDescent="0.3">
      <c r="A709" s="82" t="str" cm="1">
        <f t="array" ref="A70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709" s="79" t="str" cm="1">
        <f t="array" ref="B70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709" s="108" t="str" cm="1">
        <f t="array" ref="C70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709" s="79" t="str" cm="1">
        <f t="array" ref="D70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709" s="79" t="str" cm="1">
        <f t="array" ref="E70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709" s="80" t="str" cm="1">
        <f t="array" ref="F70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709" s="80" t="str" cm="1">
        <f t="array" ref="G70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709" s="80" t="str" cm="1">
        <f t="array" ref="H70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709" s="78" t="str" cm="1">
        <f t="array" ref="I70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710" spans="1:9" hidden="1" x14ac:dyDescent="0.3">
      <c r="A710" s="82" t="str" cm="1">
        <f t="array" ref="A71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710" s="79" t="str" cm="1">
        <f t="array" ref="B71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710" s="108" t="str" cm="1">
        <f t="array" ref="C71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710" s="79" t="str" cm="1">
        <f t="array" ref="D71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710" s="79" t="str" cm="1">
        <f t="array" ref="E71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710" s="80" t="str" cm="1">
        <f t="array" ref="F71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710" s="80" t="str" cm="1">
        <f t="array" ref="G71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710" s="80" t="str" cm="1">
        <f t="array" ref="H71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710" s="78" t="str" cm="1">
        <f t="array" ref="I71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711" spans="1:9" hidden="1" x14ac:dyDescent="0.3">
      <c r="A711" s="82" t="str" cm="1">
        <f t="array" ref="A71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711" s="79" t="str" cm="1">
        <f t="array" ref="B71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711" s="108" t="str" cm="1">
        <f t="array" ref="C71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711" s="79" t="str" cm="1">
        <f t="array" ref="D71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711" s="79" t="str" cm="1">
        <f t="array" ref="E71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711" s="80" t="str" cm="1">
        <f t="array" ref="F71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711" s="80" t="str" cm="1">
        <f t="array" ref="G71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711" s="80" t="str" cm="1">
        <f t="array" ref="H71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711" s="78" t="str" cm="1">
        <f t="array" ref="I71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712" spans="1:9" hidden="1" x14ac:dyDescent="0.3">
      <c r="A712" s="82" t="str" cm="1">
        <f t="array" ref="A71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712" s="79" t="str" cm="1">
        <f t="array" ref="B71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712" s="108" t="str" cm="1">
        <f t="array" ref="C71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712" s="79" t="str" cm="1">
        <f t="array" ref="D71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712" s="79" t="str" cm="1">
        <f t="array" ref="E71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712" s="80" t="str" cm="1">
        <f t="array" ref="F71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712" s="80" t="str" cm="1">
        <f t="array" ref="G71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712" s="80" t="str" cm="1">
        <f t="array" ref="H71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712" s="78" t="str" cm="1">
        <f t="array" ref="I71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713" spans="1:9" hidden="1" x14ac:dyDescent="0.3">
      <c r="A713" s="82" t="str" cm="1">
        <f t="array" ref="A71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713" s="79" t="str" cm="1">
        <f t="array" ref="B71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713" s="108" t="str" cm="1">
        <f t="array" ref="C71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713" s="79" t="str" cm="1">
        <f t="array" ref="D71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713" s="79" t="str" cm="1">
        <f t="array" ref="E71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713" s="80" t="str" cm="1">
        <f t="array" ref="F71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713" s="80" t="str" cm="1">
        <f t="array" ref="G71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713" s="80" t="str" cm="1">
        <f t="array" ref="H71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713" s="78" t="str" cm="1">
        <f t="array" ref="I71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714" spans="1:9" hidden="1" x14ac:dyDescent="0.3">
      <c r="A714" s="82" t="str" cm="1">
        <f t="array" ref="A71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714" s="79" t="str" cm="1">
        <f t="array" ref="B71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714" s="108" t="str" cm="1">
        <f t="array" ref="C71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714" s="79" t="str" cm="1">
        <f t="array" ref="D71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714" s="79" t="str" cm="1">
        <f t="array" ref="E71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714" s="80" t="str" cm="1">
        <f t="array" ref="F71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714" s="80" t="str" cm="1">
        <f t="array" ref="G71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714" s="80" t="str" cm="1">
        <f t="array" ref="H71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714" s="78" t="str" cm="1">
        <f t="array" ref="I71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715" spans="1:9" hidden="1" x14ac:dyDescent="0.3">
      <c r="A715" s="82" t="str" cm="1">
        <f t="array" ref="A71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715" s="79" t="str" cm="1">
        <f t="array" ref="B71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715" s="108" t="str" cm="1">
        <f t="array" ref="C71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715" s="79" t="str" cm="1">
        <f t="array" ref="D71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715" s="79" t="str" cm="1">
        <f t="array" ref="E71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715" s="80" t="str" cm="1">
        <f t="array" ref="F71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715" s="80" t="str" cm="1">
        <f t="array" ref="G71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715" s="80" t="str" cm="1">
        <f t="array" ref="H71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715" s="78" t="str" cm="1">
        <f t="array" ref="I71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716" spans="1:9" hidden="1" x14ac:dyDescent="0.3">
      <c r="A716" s="82" t="str" cm="1">
        <f t="array" ref="A71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716" s="79" t="str" cm="1">
        <f t="array" ref="B71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716" s="108" t="str" cm="1">
        <f t="array" ref="C71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716" s="79" t="str" cm="1">
        <f t="array" ref="D71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716" s="79" t="str" cm="1">
        <f t="array" ref="E71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716" s="80" t="str" cm="1">
        <f t="array" ref="F71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716" s="80" t="str" cm="1">
        <f t="array" ref="G71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716" s="80" t="str" cm="1">
        <f t="array" ref="H71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716" s="78" t="str" cm="1">
        <f t="array" ref="I71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717" spans="1:9" hidden="1" x14ac:dyDescent="0.3">
      <c r="A717" s="82" t="str" cm="1">
        <f t="array" ref="A71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717" s="79" t="str" cm="1">
        <f t="array" ref="B71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717" s="108" t="str" cm="1">
        <f t="array" ref="C71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717" s="79" t="str" cm="1">
        <f t="array" ref="D71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717" s="79" t="str" cm="1">
        <f t="array" ref="E71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717" s="80" t="str" cm="1">
        <f t="array" ref="F71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717" s="80" t="str" cm="1">
        <f t="array" ref="G71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717" s="80" t="str" cm="1">
        <f t="array" ref="H71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717" s="78" t="str" cm="1">
        <f t="array" ref="I71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718" spans="1:9" hidden="1" x14ac:dyDescent="0.3">
      <c r="A718" s="82" t="str" cm="1">
        <f t="array" ref="A71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718" s="79" t="str" cm="1">
        <f t="array" ref="B71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718" s="108" t="str" cm="1">
        <f t="array" ref="C71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718" s="79" t="str" cm="1">
        <f t="array" ref="D71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718" s="79" t="str" cm="1">
        <f t="array" ref="E71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718" s="80" t="str" cm="1">
        <f t="array" ref="F71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718" s="80" t="str" cm="1">
        <f t="array" ref="G71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718" s="80" t="str" cm="1">
        <f t="array" ref="H71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718" s="78" t="str" cm="1">
        <f t="array" ref="I71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719" spans="1:9" hidden="1" x14ac:dyDescent="0.3">
      <c r="A719" s="82" t="str" cm="1">
        <f t="array" ref="A71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719" s="79" t="str" cm="1">
        <f t="array" ref="B71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719" s="108" t="str" cm="1">
        <f t="array" ref="C71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719" s="79" t="str" cm="1">
        <f t="array" ref="D71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719" s="79" t="str" cm="1">
        <f t="array" ref="E71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719" s="80" t="str" cm="1">
        <f t="array" ref="F71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719" s="80" t="str" cm="1">
        <f t="array" ref="G71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719" s="80" t="str" cm="1">
        <f t="array" ref="H71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719" s="78" t="str" cm="1">
        <f t="array" ref="I71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720" spans="1:9" hidden="1" x14ac:dyDescent="0.3">
      <c r="A720" s="82" t="str" cm="1">
        <f t="array" ref="A72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720" s="79" t="str" cm="1">
        <f t="array" ref="B72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720" s="108" t="str" cm="1">
        <f t="array" ref="C72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720" s="79" t="str" cm="1">
        <f t="array" ref="D72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720" s="79" t="str" cm="1">
        <f t="array" ref="E72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720" s="80" t="str" cm="1">
        <f t="array" ref="F72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720" s="80" t="str" cm="1">
        <f t="array" ref="G72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720" s="80" t="str" cm="1">
        <f t="array" ref="H72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720" s="78" t="str" cm="1">
        <f t="array" ref="I72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721" spans="1:9" hidden="1" x14ac:dyDescent="0.3">
      <c r="A721" s="82" t="str" cm="1">
        <f t="array" ref="A72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721" s="79" t="str" cm="1">
        <f t="array" ref="B72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721" s="108" t="str" cm="1">
        <f t="array" ref="C72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721" s="79" t="str" cm="1">
        <f t="array" ref="D72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721" s="79" t="str" cm="1">
        <f t="array" ref="E72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721" s="80" t="str" cm="1">
        <f t="array" ref="F72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721" s="80" t="str" cm="1">
        <f t="array" ref="G72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721" s="80" t="str" cm="1">
        <f t="array" ref="H72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721" s="78" t="str" cm="1">
        <f t="array" ref="I72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722" spans="1:9" hidden="1" x14ac:dyDescent="0.3">
      <c r="A722" s="82" t="str" cm="1">
        <f t="array" ref="A72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722" s="79" t="str" cm="1">
        <f t="array" ref="B72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722" s="108" t="str" cm="1">
        <f t="array" ref="C72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722" s="79" t="str" cm="1">
        <f t="array" ref="D72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722" s="79" t="str" cm="1">
        <f t="array" ref="E72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722" s="80" t="str" cm="1">
        <f t="array" ref="F72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722" s="80" t="str" cm="1">
        <f t="array" ref="G72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722" s="80" t="str" cm="1">
        <f t="array" ref="H72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722" s="78" t="str" cm="1">
        <f t="array" ref="I72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723" spans="1:9" hidden="1" x14ac:dyDescent="0.3">
      <c r="A723" s="82" t="str" cm="1">
        <f t="array" ref="A72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723" s="79" t="str" cm="1">
        <f t="array" ref="B72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723" s="108" t="str" cm="1">
        <f t="array" ref="C72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723" s="79" t="str" cm="1">
        <f t="array" ref="D72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723" s="79" t="str" cm="1">
        <f t="array" ref="E72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723" s="80" t="str" cm="1">
        <f t="array" ref="F72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723" s="80" t="str" cm="1">
        <f t="array" ref="G72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723" s="80" t="str" cm="1">
        <f t="array" ref="H72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723" s="78" t="str" cm="1">
        <f t="array" ref="I72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724" spans="1:9" hidden="1" x14ac:dyDescent="0.3">
      <c r="A724" s="82" t="str" cm="1">
        <f t="array" ref="A72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724" s="79" t="str" cm="1">
        <f t="array" ref="B72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724" s="108" t="str" cm="1">
        <f t="array" ref="C72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724" s="79" t="str" cm="1">
        <f t="array" ref="D72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724" s="79" t="str" cm="1">
        <f t="array" ref="E72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724" s="80" t="str" cm="1">
        <f t="array" ref="F72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724" s="80" t="str" cm="1">
        <f t="array" ref="G72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724" s="80" t="str" cm="1">
        <f t="array" ref="H72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724" s="78" t="str" cm="1">
        <f t="array" ref="I72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725" spans="1:9" hidden="1" x14ac:dyDescent="0.3">
      <c r="A725" s="82" t="str" cm="1">
        <f t="array" ref="A72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725" s="79" t="str" cm="1">
        <f t="array" ref="B72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725" s="108" t="str" cm="1">
        <f t="array" ref="C72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725" s="79" t="str" cm="1">
        <f t="array" ref="D72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725" s="79" t="str" cm="1">
        <f t="array" ref="E72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725" s="80" t="str" cm="1">
        <f t="array" ref="F72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725" s="80" t="str" cm="1">
        <f t="array" ref="G72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725" s="80" t="str" cm="1">
        <f t="array" ref="H72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725" s="78" t="str" cm="1">
        <f t="array" ref="I72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726" spans="1:9" hidden="1" x14ac:dyDescent="0.3">
      <c r="A726" s="82" t="str" cm="1">
        <f t="array" ref="A72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726" s="79" t="str" cm="1">
        <f t="array" ref="B72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726" s="108" t="str" cm="1">
        <f t="array" ref="C72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726" s="79" t="str" cm="1">
        <f t="array" ref="D72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726" s="79" t="str" cm="1">
        <f t="array" ref="E72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726" s="80" t="str" cm="1">
        <f t="array" ref="F72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726" s="80" t="str" cm="1">
        <f t="array" ref="G72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726" s="80" t="str" cm="1">
        <f t="array" ref="H72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726" s="78" t="str" cm="1">
        <f t="array" ref="I72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727" spans="1:9" hidden="1" x14ac:dyDescent="0.3">
      <c r="A727" s="82" t="str" cm="1">
        <f t="array" ref="A72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727" s="79" t="str" cm="1">
        <f t="array" ref="B72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727" s="108" t="str" cm="1">
        <f t="array" ref="C72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727" s="79" t="str" cm="1">
        <f t="array" ref="D72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727" s="79" t="str" cm="1">
        <f t="array" ref="E72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727" s="80" t="str" cm="1">
        <f t="array" ref="F72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727" s="80" t="str" cm="1">
        <f t="array" ref="G72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727" s="80" t="str" cm="1">
        <f t="array" ref="H72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727" s="78" t="str" cm="1">
        <f t="array" ref="I72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728" spans="1:9" hidden="1" x14ac:dyDescent="0.3">
      <c r="A728" s="82" t="str" cm="1">
        <f t="array" ref="A72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728" s="79" t="str" cm="1">
        <f t="array" ref="B72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728" s="108" t="str" cm="1">
        <f t="array" ref="C72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728" s="79" t="str" cm="1">
        <f t="array" ref="D72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728" s="79" t="str" cm="1">
        <f t="array" ref="E72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728" s="80" t="str" cm="1">
        <f t="array" ref="F72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728" s="80" t="str" cm="1">
        <f t="array" ref="G72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728" s="80" t="str" cm="1">
        <f t="array" ref="H72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728" s="78" t="str" cm="1">
        <f t="array" ref="I72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729" spans="1:9" hidden="1" x14ac:dyDescent="0.3">
      <c r="A729" s="82" t="str" cm="1">
        <f t="array" ref="A72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729" s="79" t="str" cm="1">
        <f t="array" ref="B72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729" s="108" t="str" cm="1">
        <f t="array" ref="C72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729" s="79" t="str" cm="1">
        <f t="array" ref="D72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729" s="79" t="str" cm="1">
        <f t="array" ref="E72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729" s="80" t="str" cm="1">
        <f t="array" ref="F72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729" s="80" t="str" cm="1">
        <f t="array" ref="G72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729" s="80" t="str" cm="1">
        <f t="array" ref="H72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729" s="78" t="str" cm="1">
        <f t="array" ref="I72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730" spans="1:9" hidden="1" x14ac:dyDescent="0.3">
      <c r="A730" s="82" t="str" cm="1">
        <f t="array" ref="A73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730" s="79" t="str" cm="1">
        <f t="array" ref="B73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730" s="108" t="str" cm="1">
        <f t="array" ref="C73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730" s="79" t="str" cm="1">
        <f t="array" ref="D73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730" s="79" t="str" cm="1">
        <f t="array" ref="E73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730" s="80" t="str" cm="1">
        <f t="array" ref="F73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730" s="80" t="str" cm="1">
        <f t="array" ref="G73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730" s="80" t="str" cm="1">
        <f t="array" ref="H73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730" s="78" t="str" cm="1">
        <f t="array" ref="I73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731" spans="1:9" hidden="1" x14ac:dyDescent="0.3">
      <c r="A731" s="82" t="str" cm="1">
        <f t="array" ref="A73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731" s="79" t="str" cm="1">
        <f t="array" ref="B73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731" s="108" t="str" cm="1">
        <f t="array" ref="C73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731" s="79" t="str" cm="1">
        <f t="array" ref="D73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731" s="79" t="str" cm="1">
        <f t="array" ref="E73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731" s="80" t="str" cm="1">
        <f t="array" ref="F73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731" s="80" t="str" cm="1">
        <f t="array" ref="G73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731" s="80" t="str" cm="1">
        <f t="array" ref="H73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731" s="78" t="str" cm="1">
        <f t="array" ref="I73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732" spans="1:9" hidden="1" x14ac:dyDescent="0.3">
      <c r="A732" s="82" t="str" cm="1">
        <f t="array" ref="A73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732" s="79" t="str" cm="1">
        <f t="array" ref="B73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732" s="108" t="str" cm="1">
        <f t="array" ref="C73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732" s="79" t="str" cm="1">
        <f t="array" ref="D73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732" s="79" t="str" cm="1">
        <f t="array" ref="E73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732" s="80" t="str" cm="1">
        <f t="array" ref="F73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732" s="80" t="str" cm="1">
        <f t="array" ref="G73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732" s="80" t="str" cm="1">
        <f t="array" ref="H73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732" s="78" t="str" cm="1">
        <f t="array" ref="I73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733" spans="1:9" hidden="1" x14ac:dyDescent="0.3">
      <c r="A733" s="82" t="str" cm="1">
        <f t="array" ref="A73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733" s="79" t="str" cm="1">
        <f t="array" ref="B73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733" s="108" t="str" cm="1">
        <f t="array" ref="C73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733" s="79" t="str" cm="1">
        <f t="array" ref="D73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733" s="79" t="str" cm="1">
        <f t="array" ref="E73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733" s="80" t="str" cm="1">
        <f t="array" ref="F73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733" s="80" t="str" cm="1">
        <f t="array" ref="G73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733" s="80" t="str" cm="1">
        <f t="array" ref="H73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733" s="78" t="str" cm="1">
        <f t="array" ref="I73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734" spans="1:9" hidden="1" x14ac:dyDescent="0.3">
      <c r="A734" s="82" t="str" cm="1">
        <f t="array" ref="A73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734" s="79" t="str" cm="1">
        <f t="array" ref="B73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734" s="108" t="str" cm="1">
        <f t="array" ref="C73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734" s="79" t="str" cm="1">
        <f t="array" ref="D73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734" s="79" t="str" cm="1">
        <f t="array" ref="E73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734" s="80" t="str" cm="1">
        <f t="array" ref="F73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734" s="80" t="str" cm="1">
        <f t="array" ref="G73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734" s="80" t="str" cm="1">
        <f t="array" ref="H73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734" s="78" t="str" cm="1">
        <f t="array" ref="I73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735" spans="1:9" hidden="1" x14ac:dyDescent="0.3">
      <c r="A735" s="82" t="str" cm="1">
        <f t="array" ref="A73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735" s="79" t="str" cm="1">
        <f t="array" ref="B73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735" s="108" t="str" cm="1">
        <f t="array" ref="C73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735" s="79" t="str" cm="1">
        <f t="array" ref="D73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735" s="79" t="str" cm="1">
        <f t="array" ref="E73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735" s="80" t="str" cm="1">
        <f t="array" ref="F73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735" s="80" t="str" cm="1">
        <f t="array" ref="G73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735" s="80" t="str" cm="1">
        <f t="array" ref="H73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735" s="78" t="str" cm="1">
        <f t="array" ref="I73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736" spans="1:9" hidden="1" x14ac:dyDescent="0.3">
      <c r="A736" s="82" t="str" cm="1">
        <f t="array" ref="A73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736" s="79" t="str" cm="1">
        <f t="array" ref="B73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736" s="108" t="str" cm="1">
        <f t="array" ref="C73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736" s="79" t="str" cm="1">
        <f t="array" ref="D73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736" s="79" t="str" cm="1">
        <f t="array" ref="E73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736" s="80" t="str" cm="1">
        <f t="array" ref="F73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736" s="80" t="str" cm="1">
        <f t="array" ref="G73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736" s="80" t="str" cm="1">
        <f t="array" ref="H73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736" s="78" t="str" cm="1">
        <f t="array" ref="I73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737" spans="1:9" hidden="1" x14ac:dyDescent="0.3">
      <c r="A737" s="82" t="str" cm="1">
        <f t="array" ref="A73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737" s="79" t="str" cm="1">
        <f t="array" ref="B73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737" s="108" t="str" cm="1">
        <f t="array" ref="C73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737" s="79" t="str" cm="1">
        <f t="array" ref="D73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737" s="79" t="str" cm="1">
        <f t="array" ref="E73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737" s="80" t="str" cm="1">
        <f t="array" ref="F73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737" s="80" t="str" cm="1">
        <f t="array" ref="G73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737" s="80" t="str" cm="1">
        <f t="array" ref="H73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737" s="78" t="str" cm="1">
        <f t="array" ref="I73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738" spans="1:9" hidden="1" x14ac:dyDescent="0.3">
      <c r="A738" s="82" t="str" cm="1">
        <f t="array" ref="A73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738" s="79" t="str" cm="1">
        <f t="array" ref="B73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738" s="108" t="str" cm="1">
        <f t="array" ref="C73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738" s="79" t="str" cm="1">
        <f t="array" ref="D73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738" s="79" t="str" cm="1">
        <f t="array" ref="E73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738" s="80" t="str" cm="1">
        <f t="array" ref="F73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738" s="80" t="str" cm="1">
        <f t="array" ref="G73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738" s="80" t="str" cm="1">
        <f t="array" ref="H73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738" s="78" t="str" cm="1">
        <f t="array" ref="I73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739" spans="1:9" hidden="1" x14ac:dyDescent="0.3">
      <c r="A739" s="82" t="str" cm="1">
        <f t="array" ref="A73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739" s="79" t="str" cm="1">
        <f t="array" ref="B73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739" s="108" t="str" cm="1">
        <f t="array" ref="C73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739" s="79" t="str" cm="1">
        <f t="array" ref="D73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739" s="79" t="str" cm="1">
        <f t="array" ref="E73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739" s="80" t="str" cm="1">
        <f t="array" ref="F73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739" s="80" t="str" cm="1">
        <f t="array" ref="G73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739" s="80" t="str" cm="1">
        <f t="array" ref="H73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739" s="78" t="str" cm="1">
        <f t="array" ref="I73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740" spans="1:9" hidden="1" x14ac:dyDescent="0.3">
      <c r="A740" s="82" t="str" cm="1">
        <f t="array" ref="A74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740" s="79" t="str" cm="1">
        <f t="array" ref="B74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740" s="108" t="str" cm="1">
        <f t="array" ref="C74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740" s="79" t="str" cm="1">
        <f t="array" ref="D74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740" s="79" t="str" cm="1">
        <f t="array" ref="E74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740" s="80" t="str" cm="1">
        <f t="array" ref="F74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740" s="80" t="str" cm="1">
        <f t="array" ref="G74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740" s="80" t="str" cm="1">
        <f t="array" ref="H74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740" s="78" t="str" cm="1">
        <f t="array" ref="I74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741" spans="1:9" hidden="1" x14ac:dyDescent="0.3">
      <c r="A741" s="82" t="str" cm="1">
        <f t="array" ref="A74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741" s="79" t="str" cm="1">
        <f t="array" ref="B74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741" s="108" t="str" cm="1">
        <f t="array" ref="C74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741" s="79" t="str" cm="1">
        <f t="array" ref="D74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741" s="79" t="str" cm="1">
        <f t="array" ref="E74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741" s="80" t="str" cm="1">
        <f t="array" ref="F74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741" s="80" t="str" cm="1">
        <f t="array" ref="G74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741" s="80" t="str" cm="1">
        <f t="array" ref="H74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741" s="78" t="str" cm="1">
        <f t="array" ref="I74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742" spans="1:9" hidden="1" x14ac:dyDescent="0.3">
      <c r="A742" s="82" t="str" cm="1">
        <f t="array" ref="A74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742" s="79" t="str" cm="1">
        <f t="array" ref="B74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742" s="108" t="str" cm="1">
        <f t="array" ref="C74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742" s="79" t="str" cm="1">
        <f t="array" ref="D74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742" s="79" t="str" cm="1">
        <f t="array" ref="E74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742" s="80" t="str" cm="1">
        <f t="array" ref="F74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742" s="80" t="str" cm="1">
        <f t="array" ref="G74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742" s="80" t="str" cm="1">
        <f t="array" ref="H74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742" s="78" t="str" cm="1">
        <f t="array" ref="I74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743" spans="1:9" hidden="1" x14ac:dyDescent="0.3">
      <c r="A743" s="82" t="str" cm="1">
        <f t="array" ref="A74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743" s="79" t="str" cm="1">
        <f t="array" ref="B74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743" s="108" t="str" cm="1">
        <f t="array" ref="C74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743" s="79" t="str" cm="1">
        <f t="array" ref="D74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743" s="79" t="str" cm="1">
        <f t="array" ref="E74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743" s="80" t="str" cm="1">
        <f t="array" ref="F74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743" s="80" t="str" cm="1">
        <f t="array" ref="G74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743" s="80" t="str" cm="1">
        <f t="array" ref="H74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743" s="78" t="str" cm="1">
        <f t="array" ref="I74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744" spans="1:9" hidden="1" x14ac:dyDescent="0.3">
      <c r="A744" s="82" t="str" cm="1">
        <f t="array" ref="A74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744" s="79" t="str" cm="1">
        <f t="array" ref="B74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744" s="108" t="str" cm="1">
        <f t="array" ref="C74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744" s="79" t="str" cm="1">
        <f t="array" ref="D74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744" s="79" t="str" cm="1">
        <f t="array" ref="E74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744" s="80" t="str" cm="1">
        <f t="array" ref="F74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744" s="80" t="str" cm="1">
        <f t="array" ref="G74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744" s="80" t="str" cm="1">
        <f t="array" ref="H74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744" s="78" t="str" cm="1">
        <f t="array" ref="I74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745" spans="1:9" hidden="1" x14ac:dyDescent="0.3">
      <c r="A745" s="82" t="str" cm="1">
        <f t="array" ref="A74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745" s="79" t="str" cm="1">
        <f t="array" ref="B74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745" s="108" t="str" cm="1">
        <f t="array" ref="C74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745" s="79" t="str" cm="1">
        <f t="array" ref="D74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745" s="79" t="str" cm="1">
        <f t="array" ref="E74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745" s="80" t="str" cm="1">
        <f t="array" ref="F74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745" s="80" t="str" cm="1">
        <f t="array" ref="G74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745" s="80" t="str" cm="1">
        <f t="array" ref="H74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745" s="78" t="str" cm="1">
        <f t="array" ref="I74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746" spans="1:9" hidden="1" x14ac:dyDescent="0.3">
      <c r="A746" s="82" t="str" cm="1">
        <f t="array" ref="A74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746" s="79" t="str" cm="1">
        <f t="array" ref="B74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746" s="108" t="str" cm="1">
        <f t="array" ref="C74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746" s="79" t="str" cm="1">
        <f t="array" ref="D74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746" s="79" t="str" cm="1">
        <f t="array" ref="E74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746" s="80" t="str" cm="1">
        <f t="array" ref="F74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746" s="80" t="str" cm="1">
        <f t="array" ref="G74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746" s="80" t="str" cm="1">
        <f t="array" ref="H74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746" s="78" t="str" cm="1">
        <f t="array" ref="I74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747" spans="1:9" hidden="1" x14ac:dyDescent="0.3">
      <c r="A747" s="82" t="str" cm="1">
        <f t="array" ref="A74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747" s="79" t="str" cm="1">
        <f t="array" ref="B74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747" s="108" t="str" cm="1">
        <f t="array" ref="C74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747" s="79" t="str" cm="1">
        <f t="array" ref="D74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747" s="79" t="str" cm="1">
        <f t="array" ref="E74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747" s="80" t="str" cm="1">
        <f t="array" ref="F74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747" s="80" t="str" cm="1">
        <f t="array" ref="G74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747" s="80" t="str" cm="1">
        <f t="array" ref="H74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747" s="78" t="str" cm="1">
        <f t="array" ref="I74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748" spans="1:9" hidden="1" x14ac:dyDescent="0.3">
      <c r="A748" s="82" t="str" cm="1">
        <f t="array" ref="A74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748" s="79" t="str" cm="1">
        <f t="array" ref="B74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748" s="108" t="str" cm="1">
        <f t="array" ref="C74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748" s="79" t="str" cm="1">
        <f t="array" ref="D74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748" s="79" t="str" cm="1">
        <f t="array" ref="E74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748" s="80" t="str" cm="1">
        <f t="array" ref="F74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748" s="80" t="str" cm="1">
        <f t="array" ref="G74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748" s="80" t="str" cm="1">
        <f t="array" ref="H74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748" s="78" t="str" cm="1">
        <f t="array" ref="I74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749" spans="1:9" hidden="1" x14ac:dyDescent="0.3">
      <c r="A749" s="82" t="str" cm="1">
        <f t="array" ref="A74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749" s="79" t="str" cm="1">
        <f t="array" ref="B74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749" s="108" t="str" cm="1">
        <f t="array" ref="C74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749" s="79" t="str" cm="1">
        <f t="array" ref="D74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749" s="79" t="str" cm="1">
        <f t="array" ref="E74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749" s="80" t="str" cm="1">
        <f t="array" ref="F74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749" s="80" t="str" cm="1">
        <f t="array" ref="G74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749" s="80" t="str" cm="1">
        <f t="array" ref="H74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749" s="78" t="str" cm="1">
        <f t="array" ref="I74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750" spans="1:9" hidden="1" x14ac:dyDescent="0.3">
      <c r="A750" s="82" t="str" cm="1">
        <f t="array" ref="A75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750" s="79" t="str" cm="1">
        <f t="array" ref="B75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750" s="108" t="str" cm="1">
        <f t="array" ref="C75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750" s="79" t="str" cm="1">
        <f t="array" ref="D75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750" s="79" t="str" cm="1">
        <f t="array" ref="E75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750" s="80" t="str" cm="1">
        <f t="array" ref="F75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750" s="80" t="str" cm="1">
        <f t="array" ref="G75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750" s="80" t="str" cm="1">
        <f t="array" ref="H75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750" s="78" t="str" cm="1">
        <f t="array" ref="I75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751" spans="1:9" hidden="1" x14ac:dyDescent="0.3">
      <c r="A751" s="82" t="str" cm="1">
        <f t="array" ref="A75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751" s="79" t="str" cm="1">
        <f t="array" ref="B75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751" s="108" t="str" cm="1">
        <f t="array" ref="C75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751" s="79" t="str" cm="1">
        <f t="array" ref="D75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751" s="79" t="str" cm="1">
        <f t="array" ref="E75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751" s="80" t="str" cm="1">
        <f t="array" ref="F75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751" s="80" t="str" cm="1">
        <f t="array" ref="G75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751" s="80" t="str" cm="1">
        <f t="array" ref="H75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751" s="78" t="str" cm="1">
        <f t="array" ref="I75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752" spans="1:9" hidden="1" x14ac:dyDescent="0.3">
      <c r="A752" s="82" t="str" cm="1">
        <f t="array" ref="A75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752" s="79" t="str" cm="1">
        <f t="array" ref="B75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752" s="108" t="str" cm="1">
        <f t="array" ref="C75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752" s="79" t="str" cm="1">
        <f t="array" ref="D75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752" s="79" t="str" cm="1">
        <f t="array" ref="E75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752" s="80" t="str" cm="1">
        <f t="array" ref="F75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752" s="80" t="str" cm="1">
        <f t="array" ref="G75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752" s="80" t="str" cm="1">
        <f t="array" ref="H75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752" s="78" t="str" cm="1">
        <f t="array" ref="I75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753" spans="1:9" hidden="1" x14ac:dyDescent="0.3">
      <c r="A753" s="82" t="str" cm="1">
        <f t="array" ref="A75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753" s="79" t="str" cm="1">
        <f t="array" ref="B75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753" s="108" t="str" cm="1">
        <f t="array" ref="C75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753" s="79" t="str" cm="1">
        <f t="array" ref="D75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753" s="79" t="str" cm="1">
        <f t="array" ref="E75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753" s="80" t="str" cm="1">
        <f t="array" ref="F75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753" s="80" t="str" cm="1">
        <f t="array" ref="G75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753" s="80" t="str" cm="1">
        <f t="array" ref="H75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753" s="78" t="str" cm="1">
        <f t="array" ref="I75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754" spans="1:9" hidden="1" x14ac:dyDescent="0.3">
      <c r="A754" s="82" t="str" cm="1">
        <f t="array" ref="A75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754" s="79" t="str" cm="1">
        <f t="array" ref="B75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754" s="108" t="str" cm="1">
        <f t="array" ref="C75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754" s="79" t="str" cm="1">
        <f t="array" ref="D75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754" s="79" t="str" cm="1">
        <f t="array" ref="E75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754" s="80" t="str" cm="1">
        <f t="array" ref="F75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754" s="80" t="str" cm="1">
        <f t="array" ref="G75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754" s="80" t="str" cm="1">
        <f t="array" ref="H75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754" s="78" t="str" cm="1">
        <f t="array" ref="I75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755" spans="1:9" hidden="1" x14ac:dyDescent="0.3">
      <c r="A755" s="82" t="str" cm="1">
        <f t="array" ref="A75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755" s="79" t="str" cm="1">
        <f t="array" ref="B75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755" s="108" t="str" cm="1">
        <f t="array" ref="C75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755" s="79" t="str" cm="1">
        <f t="array" ref="D75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755" s="79" t="str" cm="1">
        <f t="array" ref="E75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755" s="80" t="str" cm="1">
        <f t="array" ref="F75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755" s="80" t="str" cm="1">
        <f t="array" ref="G75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755" s="80" t="str" cm="1">
        <f t="array" ref="H75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755" s="78" t="str" cm="1">
        <f t="array" ref="I75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756" spans="1:9" hidden="1" x14ac:dyDescent="0.3">
      <c r="A756" s="82" t="str" cm="1">
        <f t="array" ref="A75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756" s="79" t="str" cm="1">
        <f t="array" ref="B75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756" s="108" t="str" cm="1">
        <f t="array" ref="C75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756" s="79" t="str" cm="1">
        <f t="array" ref="D75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756" s="79" t="str" cm="1">
        <f t="array" ref="E75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756" s="80" t="str" cm="1">
        <f t="array" ref="F75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756" s="80" t="str" cm="1">
        <f t="array" ref="G75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756" s="80" t="str" cm="1">
        <f t="array" ref="H75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756" s="78" t="str" cm="1">
        <f t="array" ref="I75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757" spans="1:9" hidden="1" x14ac:dyDescent="0.3">
      <c r="A757" s="82" t="str" cm="1">
        <f t="array" ref="A75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757" s="79" t="str" cm="1">
        <f t="array" ref="B75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757" s="108" t="str" cm="1">
        <f t="array" ref="C75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757" s="79" t="str" cm="1">
        <f t="array" ref="D75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757" s="79" t="str" cm="1">
        <f t="array" ref="E75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757" s="80" t="str" cm="1">
        <f t="array" ref="F75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757" s="80" t="str" cm="1">
        <f t="array" ref="G75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757" s="80" t="str" cm="1">
        <f t="array" ref="H75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757" s="78" t="str" cm="1">
        <f t="array" ref="I75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758" spans="1:9" hidden="1" x14ac:dyDescent="0.3">
      <c r="A758" s="82" t="str" cm="1">
        <f t="array" ref="A75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758" s="79" t="str" cm="1">
        <f t="array" ref="B75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758" s="108" t="str" cm="1">
        <f t="array" ref="C75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758" s="79" t="str" cm="1">
        <f t="array" ref="D75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758" s="79" t="str" cm="1">
        <f t="array" ref="E75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758" s="80" t="str" cm="1">
        <f t="array" ref="F75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758" s="80" t="str" cm="1">
        <f t="array" ref="G75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758" s="80" t="str" cm="1">
        <f t="array" ref="H75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758" s="78" t="str" cm="1">
        <f t="array" ref="I75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759" spans="1:9" hidden="1" x14ac:dyDescent="0.3">
      <c r="A759" s="82" t="str" cm="1">
        <f t="array" ref="A75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759" s="79" t="str" cm="1">
        <f t="array" ref="B75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759" s="108" t="str" cm="1">
        <f t="array" ref="C75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759" s="79" t="str" cm="1">
        <f t="array" ref="D75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759" s="79" t="str" cm="1">
        <f t="array" ref="E75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759" s="80" t="str" cm="1">
        <f t="array" ref="F75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759" s="80" t="str" cm="1">
        <f t="array" ref="G75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759" s="80" t="str" cm="1">
        <f t="array" ref="H75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759" s="78" t="str" cm="1">
        <f t="array" ref="I75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760" spans="1:9" hidden="1" x14ac:dyDescent="0.3">
      <c r="A760" s="82" t="str" cm="1">
        <f t="array" ref="A76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760" s="79" t="str" cm="1">
        <f t="array" ref="B76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760" s="108" t="str" cm="1">
        <f t="array" ref="C76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760" s="79" t="str" cm="1">
        <f t="array" ref="D76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760" s="79" t="str" cm="1">
        <f t="array" ref="E76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760" s="80" t="str" cm="1">
        <f t="array" ref="F76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760" s="80" t="str" cm="1">
        <f t="array" ref="G76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760" s="80" t="str" cm="1">
        <f t="array" ref="H76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760" s="78" t="str" cm="1">
        <f t="array" ref="I76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761" spans="1:9" hidden="1" x14ac:dyDescent="0.3">
      <c r="A761" s="82" t="str" cm="1">
        <f t="array" ref="A76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761" s="79" t="str" cm="1">
        <f t="array" ref="B76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761" s="108" t="str" cm="1">
        <f t="array" ref="C76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761" s="79" t="str" cm="1">
        <f t="array" ref="D76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761" s="79" t="str" cm="1">
        <f t="array" ref="E76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761" s="80" t="str" cm="1">
        <f t="array" ref="F76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761" s="80" t="str" cm="1">
        <f t="array" ref="G76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761" s="80" t="str" cm="1">
        <f t="array" ref="H76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761" s="78" t="str" cm="1">
        <f t="array" ref="I76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762" spans="1:9" hidden="1" x14ac:dyDescent="0.3">
      <c r="A762" s="82" t="str" cm="1">
        <f t="array" ref="A76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762" s="79" t="str" cm="1">
        <f t="array" ref="B76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762" s="108" t="str" cm="1">
        <f t="array" ref="C76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762" s="79" t="str" cm="1">
        <f t="array" ref="D76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762" s="79" t="str" cm="1">
        <f t="array" ref="E76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762" s="80" t="str" cm="1">
        <f t="array" ref="F76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762" s="80" t="str" cm="1">
        <f t="array" ref="G76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762" s="80" t="str" cm="1">
        <f t="array" ref="H76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762" s="78" t="str" cm="1">
        <f t="array" ref="I76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763" spans="1:9" hidden="1" x14ac:dyDescent="0.3">
      <c r="A763" s="82" t="str" cm="1">
        <f t="array" ref="A76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763" s="79" t="str" cm="1">
        <f t="array" ref="B76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763" s="108" t="str" cm="1">
        <f t="array" ref="C76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763" s="79" t="str" cm="1">
        <f t="array" ref="D76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763" s="79" t="str" cm="1">
        <f t="array" ref="E76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763" s="80" t="str" cm="1">
        <f t="array" ref="F76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763" s="80" t="str" cm="1">
        <f t="array" ref="G76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763" s="80" t="str" cm="1">
        <f t="array" ref="H76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763" s="78" t="str" cm="1">
        <f t="array" ref="I76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764" spans="1:9" hidden="1" x14ac:dyDescent="0.3">
      <c r="A764" s="82" t="str" cm="1">
        <f t="array" ref="A76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764" s="79" t="str" cm="1">
        <f t="array" ref="B76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764" s="108" t="str" cm="1">
        <f t="array" ref="C76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764" s="79" t="str" cm="1">
        <f t="array" ref="D76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764" s="79" t="str" cm="1">
        <f t="array" ref="E76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764" s="80" t="str" cm="1">
        <f t="array" ref="F76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764" s="80" t="str" cm="1">
        <f t="array" ref="G76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764" s="80" t="str" cm="1">
        <f t="array" ref="H76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764" s="78" t="str" cm="1">
        <f t="array" ref="I76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765" spans="1:9" hidden="1" x14ac:dyDescent="0.3">
      <c r="A765" s="82" t="str" cm="1">
        <f t="array" ref="A76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765" s="79" t="str" cm="1">
        <f t="array" ref="B76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765" s="108" t="str" cm="1">
        <f t="array" ref="C76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765" s="79" t="str" cm="1">
        <f t="array" ref="D76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765" s="79" t="str" cm="1">
        <f t="array" ref="E76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765" s="80" t="str" cm="1">
        <f t="array" ref="F76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765" s="80" t="str" cm="1">
        <f t="array" ref="G76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765" s="80" t="str" cm="1">
        <f t="array" ref="H76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765" s="78" t="str" cm="1">
        <f t="array" ref="I76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766" spans="1:9" hidden="1" x14ac:dyDescent="0.3">
      <c r="A766" s="82" t="str" cm="1">
        <f t="array" ref="A76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766" s="79" t="str" cm="1">
        <f t="array" ref="B76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766" s="108" t="str" cm="1">
        <f t="array" ref="C76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766" s="79" t="str" cm="1">
        <f t="array" ref="D76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766" s="79" t="str" cm="1">
        <f t="array" ref="E76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766" s="80" t="str" cm="1">
        <f t="array" ref="F76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766" s="80" t="str" cm="1">
        <f t="array" ref="G76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766" s="80" t="str" cm="1">
        <f t="array" ref="H76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766" s="78" t="str" cm="1">
        <f t="array" ref="I76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767" spans="1:9" hidden="1" x14ac:dyDescent="0.3">
      <c r="A767" s="82" t="str" cm="1">
        <f t="array" ref="A76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767" s="79" t="str" cm="1">
        <f t="array" ref="B76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767" s="108" t="str" cm="1">
        <f t="array" ref="C76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767" s="79" t="str" cm="1">
        <f t="array" ref="D76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767" s="79" t="str" cm="1">
        <f t="array" ref="E76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767" s="80" t="str" cm="1">
        <f t="array" ref="F76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767" s="80" t="str" cm="1">
        <f t="array" ref="G76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767" s="80" t="str" cm="1">
        <f t="array" ref="H76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767" s="78" t="str" cm="1">
        <f t="array" ref="I76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768" spans="1:9" hidden="1" x14ac:dyDescent="0.3">
      <c r="A768" s="82" t="str" cm="1">
        <f t="array" ref="A76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768" s="79" t="str" cm="1">
        <f t="array" ref="B76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768" s="108" t="str" cm="1">
        <f t="array" ref="C76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768" s="79" t="str" cm="1">
        <f t="array" ref="D76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768" s="79" t="str" cm="1">
        <f t="array" ref="E76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768" s="80" t="str" cm="1">
        <f t="array" ref="F76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768" s="80" t="str" cm="1">
        <f t="array" ref="G76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768" s="80" t="str" cm="1">
        <f t="array" ref="H76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768" s="78" t="str" cm="1">
        <f t="array" ref="I76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769" spans="1:9" hidden="1" x14ac:dyDescent="0.3">
      <c r="A769" s="82" t="str" cm="1">
        <f t="array" ref="A76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769" s="79" t="str" cm="1">
        <f t="array" ref="B76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769" s="108" t="str" cm="1">
        <f t="array" ref="C76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769" s="79" t="str" cm="1">
        <f t="array" ref="D76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769" s="79" t="str" cm="1">
        <f t="array" ref="E76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769" s="80" t="str" cm="1">
        <f t="array" ref="F76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769" s="80" t="str" cm="1">
        <f t="array" ref="G76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769" s="80" t="str" cm="1">
        <f t="array" ref="H76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769" s="78" t="str" cm="1">
        <f t="array" ref="I76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770" spans="1:9" hidden="1" x14ac:dyDescent="0.3">
      <c r="A770" s="82" t="str" cm="1">
        <f t="array" ref="A77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770" s="79" t="str" cm="1">
        <f t="array" ref="B77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770" s="108" t="str" cm="1">
        <f t="array" ref="C77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770" s="79" t="str" cm="1">
        <f t="array" ref="D77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770" s="79" t="str" cm="1">
        <f t="array" ref="E77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770" s="80" t="str" cm="1">
        <f t="array" ref="F77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770" s="80" t="str" cm="1">
        <f t="array" ref="G77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770" s="80" t="str" cm="1">
        <f t="array" ref="H77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770" s="78" t="str" cm="1">
        <f t="array" ref="I77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771" spans="1:9" hidden="1" x14ac:dyDescent="0.3">
      <c r="A771" s="82" t="str" cm="1">
        <f t="array" ref="A77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771" s="79" t="str" cm="1">
        <f t="array" ref="B77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771" s="108" t="str" cm="1">
        <f t="array" ref="C77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771" s="79" t="str" cm="1">
        <f t="array" ref="D77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771" s="79" t="str" cm="1">
        <f t="array" ref="E77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771" s="80" t="str" cm="1">
        <f t="array" ref="F77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771" s="80" t="str" cm="1">
        <f t="array" ref="G77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771" s="80" t="str" cm="1">
        <f t="array" ref="H77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771" s="78" t="str" cm="1">
        <f t="array" ref="I77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772" spans="1:9" hidden="1" x14ac:dyDescent="0.3">
      <c r="A772" s="82" t="str" cm="1">
        <f t="array" ref="A77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772" s="79" t="str" cm="1">
        <f t="array" ref="B77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772" s="108" t="str" cm="1">
        <f t="array" ref="C77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772" s="79" t="str" cm="1">
        <f t="array" ref="D77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772" s="79" t="str" cm="1">
        <f t="array" ref="E77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772" s="80" t="str" cm="1">
        <f t="array" ref="F77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772" s="80" t="str" cm="1">
        <f t="array" ref="G77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772" s="80" t="str" cm="1">
        <f t="array" ref="H77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772" s="78" t="str" cm="1">
        <f t="array" ref="I77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773" spans="1:9" hidden="1" x14ac:dyDescent="0.3">
      <c r="A773" s="82" t="str" cm="1">
        <f t="array" ref="A77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773" s="79" t="str" cm="1">
        <f t="array" ref="B77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773" s="108" t="str" cm="1">
        <f t="array" ref="C77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773" s="79" t="str" cm="1">
        <f t="array" ref="D77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773" s="79" t="str" cm="1">
        <f t="array" ref="E77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773" s="80" t="str" cm="1">
        <f t="array" ref="F77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773" s="80" t="str" cm="1">
        <f t="array" ref="G77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773" s="80" t="str" cm="1">
        <f t="array" ref="H77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773" s="78" t="str" cm="1">
        <f t="array" ref="I77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774" spans="1:9" hidden="1" x14ac:dyDescent="0.3">
      <c r="A774" s="82" t="str" cm="1">
        <f t="array" ref="A77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774" s="79" t="str" cm="1">
        <f t="array" ref="B77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774" s="108" t="str" cm="1">
        <f t="array" ref="C77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774" s="79" t="str" cm="1">
        <f t="array" ref="D77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774" s="79" t="str" cm="1">
        <f t="array" ref="E77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774" s="80" t="str" cm="1">
        <f t="array" ref="F77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774" s="80" t="str" cm="1">
        <f t="array" ref="G77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774" s="80" t="str" cm="1">
        <f t="array" ref="H77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774" s="78" t="str" cm="1">
        <f t="array" ref="I77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775" spans="1:9" hidden="1" x14ac:dyDescent="0.3">
      <c r="A775" s="82" t="str" cm="1">
        <f t="array" ref="A77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775" s="79" t="str" cm="1">
        <f t="array" ref="B77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775" s="108" t="str" cm="1">
        <f t="array" ref="C77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775" s="79" t="str" cm="1">
        <f t="array" ref="D77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775" s="79" t="str" cm="1">
        <f t="array" ref="E77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775" s="80" t="str" cm="1">
        <f t="array" ref="F77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775" s="80" t="str" cm="1">
        <f t="array" ref="G77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775" s="80" t="str" cm="1">
        <f t="array" ref="H77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775" s="78" t="str" cm="1">
        <f t="array" ref="I77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776" spans="1:9" hidden="1" x14ac:dyDescent="0.3">
      <c r="A776" s="82" t="str" cm="1">
        <f t="array" ref="A77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776" s="79" t="str" cm="1">
        <f t="array" ref="B77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776" s="108" t="str" cm="1">
        <f t="array" ref="C77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776" s="79" t="str" cm="1">
        <f t="array" ref="D77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776" s="79" t="str" cm="1">
        <f t="array" ref="E77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776" s="80" t="str" cm="1">
        <f t="array" ref="F77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776" s="80" t="str" cm="1">
        <f t="array" ref="G77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776" s="80" t="str" cm="1">
        <f t="array" ref="H77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776" s="78" t="str" cm="1">
        <f t="array" ref="I77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777" spans="1:9" hidden="1" x14ac:dyDescent="0.3">
      <c r="A777" s="82" t="str" cm="1">
        <f t="array" ref="A77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777" s="79" t="str" cm="1">
        <f t="array" ref="B77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777" s="108" t="str" cm="1">
        <f t="array" ref="C77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777" s="79" t="str" cm="1">
        <f t="array" ref="D77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777" s="79" t="str" cm="1">
        <f t="array" ref="E77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777" s="80" t="str" cm="1">
        <f t="array" ref="F77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777" s="80" t="str" cm="1">
        <f t="array" ref="G77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777" s="80" t="str" cm="1">
        <f t="array" ref="H77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777" s="78" t="str" cm="1">
        <f t="array" ref="I77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778" spans="1:9" hidden="1" x14ac:dyDescent="0.3">
      <c r="A778" s="82" t="str" cm="1">
        <f t="array" ref="A77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778" s="79" t="str" cm="1">
        <f t="array" ref="B77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778" s="108" t="str" cm="1">
        <f t="array" ref="C77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778" s="79" t="str" cm="1">
        <f t="array" ref="D77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778" s="79" t="str" cm="1">
        <f t="array" ref="E77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778" s="80" t="str" cm="1">
        <f t="array" ref="F77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778" s="80" t="str" cm="1">
        <f t="array" ref="G77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778" s="80" t="str" cm="1">
        <f t="array" ref="H77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778" s="78" t="str" cm="1">
        <f t="array" ref="I77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779" spans="1:9" hidden="1" x14ac:dyDescent="0.3">
      <c r="A779" s="82" t="str" cm="1">
        <f t="array" ref="A77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779" s="79" t="str" cm="1">
        <f t="array" ref="B77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779" s="108" t="str" cm="1">
        <f t="array" ref="C77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779" s="79" t="str" cm="1">
        <f t="array" ref="D77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779" s="79" t="str" cm="1">
        <f t="array" ref="E77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779" s="80" t="str" cm="1">
        <f t="array" ref="F77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779" s="80" t="str" cm="1">
        <f t="array" ref="G77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779" s="80" t="str" cm="1">
        <f t="array" ref="H77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779" s="78" t="str" cm="1">
        <f t="array" ref="I77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780" spans="1:9" hidden="1" x14ac:dyDescent="0.3">
      <c r="A780" s="82" t="str" cm="1">
        <f t="array" ref="A78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780" s="79" t="str" cm="1">
        <f t="array" ref="B78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780" s="108" t="str" cm="1">
        <f t="array" ref="C78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780" s="79" t="str" cm="1">
        <f t="array" ref="D78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780" s="79" t="str" cm="1">
        <f t="array" ref="E78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780" s="80" t="str" cm="1">
        <f t="array" ref="F78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780" s="80" t="str" cm="1">
        <f t="array" ref="G78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780" s="80" t="str" cm="1">
        <f t="array" ref="H78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780" s="78" t="str" cm="1">
        <f t="array" ref="I78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781" spans="1:9" hidden="1" x14ac:dyDescent="0.3">
      <c r="A781" s="82" t="str" cm="1">
        <f t="array" ref="A78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781" s="79" t="str" cm="1">
        <f t="array" ref="B78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781" s="108" t="str" cm="1">
        <f t="array" ref="C78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781" s="79" t="str" cm="1">
        <f t="array" ref="D78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781" s="79" t="str" cm="1">
        <f t="array" ref="E78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781" s="80" t="str" cm="1">
        <f t="array" ref="F78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781" s="80" t="str" cm="1">
        <f t="array" ref="G78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781" s="80" t="str" cm="1">
        <f t="array" ref="H78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781" s="78" t="str" cm="1">
        <f t="array" ref="I78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782" spans="1:9" hidden="1" x14ac:dyDescent="0.3">
      <c r="A782" s="82" t="str" cm="1">
        <f t="array" ref="A78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782" s="79" t="str" cm="1">
        <f t="array" ref="B78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782" s="108" t="str" cm="1">
        <f t="array" ref="C78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782" s="79" t="str" cm="1">
        <f t="array" ref="D78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782" s="79" t="str" cm="1">
        <f t="array" ref="E78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782" s="80" t="str" cm="1">
        <f t="array" ref="F78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782" s="80" t="str" cm="1">
        <f t="array" ref="G78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782" s="80" t="str" cm="1">
        <f t="array" ref="H78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782" s="78" t="str" cm="1">
        <f t="array" ref="I78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783" spans="1:9" hidden="1" x14ac:dyDescent="0.3">
      <c r="A783" s="82" t="str" cm="1">
        <f t="array" ref="A78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783" s="79" t="str" cm="1">
        <f t="array" ref="B78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783" s="108" t="str" cm="1">
        <f t="array" ref="C78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783" s="79" t="str" cm="1">
        <f t="array" ref="D78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783" s="79" t="str" cm="1">
        <f t="array" ref="E78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783" s="80" t="str" cm="1">
        <f t="array" ref="F78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783" s="80" t="str" cm="1">
        <f t="array" ref="G78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783" s="80" t="str" cm="1">
        <f t="array" ref="H78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783" s="78" t="str" cm="1">
        <f t="array" ref="I78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784" spans="1:9" hidden="1" x14ac:dyDescent="0.3">
      <c r="A784" s="82" t="str" cm="1">
        <f t="array" ref="A78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784" s="79" t="str" cm="1">
        <f t="array" ref="B78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784" s="108" t="str" cm="1">
        <f t="array" ref="C78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784" s="79" t="str" cm="1">
        <f t="array" ref="D78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784" s="79" t="str" cm="1">
        <f t="array" ref="E78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784" s="80" t="str" cm="1">
        <f t="array" ref="F78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784" s="80" t="str" cm="1">
        <f t="array" ref="G78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784" s="80" t="str" cm="1">
        <f t="array" ref="H78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784" s="78" t="str" cm="1">
        <f t="array" ref="I78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785" spans="1:9" hidden="1" x14ac:dyDescent="0.3">
      <c r="A785" s="82" t="str" cm="1">
        <f t="array" ref="A78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785" s="79" t="str" cm="1">
        <f t="array" ref="B78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785" s="108" t="str" cm="1">
        <f t="array" ref="C78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785" s="79" t="str" cm="1">
        <f t="array" ref="D78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785" s="79" t="str" cm="1">
        <f t="array" ref="E78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785" s="80" t="str" cm="1">
        <f t="array" ref="F78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785" s="80" t="str" cm="1">
        <f t="array" ref="G78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785" s="80" t="str" cm="1">
        <f t="array" ref="H78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785" s="78" t="str" cm="1">
        <f t="array" ref="I78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786" spans="1:9" hidden="1" x14ac:dyDescent="0.3">
      <c r="A786" s="82" t="str" cm="1">
        <f t="array" ref="A78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786" s="79" t="str" cm="1">
        <f t="array" ref="B78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786" s="108" t="str" cm="1">
        <f t="array" ref="C78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786" s="79" t="str" cm="1">
        <f t="array" ref="D78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786" s="79" t="str" cm="1">
        <f t="array" ref="E78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786" s="80" t="str" cm="1">
        <f t="array" ref="F78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786" s="80" t="str" cm="1">
        <f t="array" ref="G78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786" s="80" t="str" cm="1">
        <f t="array" ref="H78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786" s="78" t="str" cm="1">
        <f t="array" ref="I78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787" spans="1:9" hidden="1" x14ac:dyDescent="0.3">
      <c r="A787" s="82" t="str" cm="1">
        <f t="array" ref="A78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787" s="79" t="str" cm="1">
        <f t="array" ref="B78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787" s="108" t="str" cm="1">
        <f t="array" ref="C78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787" s="79" t="str" cm="1">
        <f t="array" ref="D78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787" s="79" t="str" cm="1">
        <f t="array" ref="E78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787" s="80" t="str" cm="1">
        <f t="array" ref="F78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787" s="80" t="str" cm="1">
        <f t="array" ref="G78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787" s="80" t="str" cm="1">
        <f t="array" ref="H78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787" s="78" t="str" cm="1">
        <f t="array" ref="I78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788" spans="1:9" hidden="1" x14ac:dyDescent="0.3">
      <c r="A788" s="82" t="str" cm="1">
        <f t="array" ref="A78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788" s="79" t="str" cm="1">
        <f t="array" ref="B78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788" s="108" t="str" cm="1">
        <f t="array" ref="C78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788" s="79" t="str" cm="1">
        <f t="array" ref="D78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788" s="79" t="str" cm="1">
        <f t="array" ref="E78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788" s="80" t="str" cm="1">
        <f t="array" ref="F78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788" s="80" t="str" cm="1">
        <f t="array" ref="G78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788" s="80" t="str" cm="1">
        <f t="array" ref="H78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788" s="78" t="str" cm="1">
        <f t="array" ref="I78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789" spans="1:9" hidden="1" x14ac:dyDescent="0.3">
      <c r="A789" s="82" t="str" cm="1">
        <f t="array" ref="A78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789" s="79" t="str" cm="1">
        <f t="array" ref="B78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789" s="108" t="str" cm="1">
        <f t="array" ref="C78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789" s="79" t="str" cm="1">
        <f t="array" ref="D78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789" s="79" t="str" cm="1">
        <f t="array" ref="E78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789" s="80" t="str" cm="1">
        <f t="array" ref="F78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789" s="80" t="str" cm="1">
        <f t="array" ref="G78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789" s="80" t="str" cm="1">
        <f t="array" ref="H78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789" s="78" t="str" cm="1">
        <f t="array" ref="I78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790" spans="1:9" hidden="1" x14ac:dyDescent="0.3">
      <c r="A790" s="82" t="str" cm="1">
        <f t="array" ref="A79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790" s="79" t="str" cm="1">
        <f t="array" ref="B79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790" s="108" t="str" cm="1">
        <f t="array" ref="C79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790" s="79" t="str" cm="1">
        <f t="array" ref="D79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790" s="79" t="str" cm="1">
        <f t="array" ref="E79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790" s="80" t="str" cm="1">
        <f t="array" ref="F79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790" s="80" t="str" cm="1">
        <f t="array" ref="G79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790" s="80" t="str" cm="1">
        <f t="array" ref="H79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790" s="78" t="str" cm="1">
        <f t="array" ref="I79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791" spans="1:9" hidden="1" x14ac:dyDescent="0.3">
      <c r="A791" s="82" t="str" cm="1">
        <f t="array" ref="A79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791" s="79" t="str" cm="1">
        <f t="array" ref="B79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791" s="108" t="str" cm="1">
        <f t="array" ref="C79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791" s="79" t="str" cm="1">
        <f t="array" ref="D79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791" s="79" t="str" cm="1">
        <f t="array" ref="E79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791" s="80" t="str" cm="1">
        <f t="array" ref="F79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791" s="80" t="str" cm="1">
        <f t="array" ref="G79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791" s="80" t="str" cm="1">
        <f t="array" ref="H79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791" s="78" t="str" cm="1">
        <f t="array" ref="I79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792" spans="1:9" hidden="1" x14ac:dyDescent="0.3">
      <c r="A792" s="82" t="str" cm="1">
        <f t="array" ref="A79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792" s="79" t="str" cm="1">
        <f t="array" ref="B79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792" s="108" t="str" cm="1">
        <f t="array" ref="C79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792" s="79" t="str" cm="1">
        <f t="array" ref="D79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792" s="79" t="str" cm="1">
        <f t="array" ref="E79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792" s="80" t="str" cm="1">
        <f t="array" ref="F79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792" s="80" t="str" cm="1">
        <f t="array" ref="G79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792" s="80" t="str" cm="1">
        <f t="array" ref="H79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792" s="78" t="str" cm="1">
        <f t="array" ref="I79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793" spans="1:9" hidden="1" x14ac:dyDescent="0.3">
      <c r="A793" s="82" t="str" cm="1">
        <f t="array" ref="A79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793" s="79" t="str" cm="1">
        <f t="array" ref="B79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793" s="108" t="str" cm="1">
        <f t="array" ref="C79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793" s="79" t="str" cm="1">
        <f t="array" ref="D79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793" s="79" t="str" cm="1">
        <f t="array" ref="E79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793" s="80" t="str" cm="1">
        <f t="array" ref="F79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793" s="80" t="str" cm="1">
        <f t="array" ref="G79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793" s="80" t="str" cm="1">
        <f t="array" ref="H79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793" s="78" t="str" cm="1">
        <f t="array" ref="I79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794" spans="1:9" hidden="1" x14ac:dyDescent="0.3">
      <c r="A794" s="82" t="str" cm="1">
        <f t="array" ref="A79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794" s="79" t="str" cm="1">
        <f t="array" ref="B79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794" s="108" t="str" cm="1">
        <f t="array" ref="C79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794" s="79" t="str" cm="1">
        <f t="array" ref="D79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794" s="79" t="str" cm="1">
        <f t="array" ref="E79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794" s="80" t="str" cm="1">
        <f t="array" ref="F79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794" s="80" t="str" cm="1">
        <f t="array" ref="G79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794" s="80" t="str" cm="1">
        <f t="array" ref="H79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794" s="78" t="str" cm="1">
        <f t="array" ref="I79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795" spans="1:9" hidden="1" x14ac:dyDescent="0.3">
      <c r="A795" s="82" t="str" cm="1">
        <f t="array" ref="A79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795" s="79" t="str" cm="1">
        <f t="array" ref="B79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795" s="108" t="str" cm="1">
        <f t="array" ref="C79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795" s="79" t="str" cm="1">
        <f t="array" ref="D79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795" s="79" t="str" cm="1">
        <f t="array" ref="E79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795" s="80" t="str" cm="1">
        <f t="array" ref="F79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795" s="80" t="str" cm="1">
        <f t="array" ref="G79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795" s="80" t="str" cm="1">
        <f t="array" ref="H79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795" s="78" t="str" cm="1">
        <f t="array" ref="I79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796" spans="1:9" hidden="1" x14ac:dyDescent="0.3">
      <c r="A796" s="82" t="str" cm="1">
        <f t="array" ref="A79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796" s="79" t="str" cm="1">
        <f t="array" ref="B79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796" s="108" t="str" cm="1">
        <f t="array" ref="C79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796" s="79" t="str" cm="1">
        <f t="array" ref="D79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796" s="79" t="str" cm="1">
        <f t="array" ref="E79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796" s="80" t="str" cm="1">
        <f t="array" ref="F79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796" s="80" t="str" cm="1">
        <f t="array" ref="G79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796" s="80" t="str" cm="1">
        <f t="array" ref="H79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796" s="78" t="str" cm="1">
        <f t="array" ref="I79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797" spans="1:9" hidden="1" x14ac:dyDescent="0.3">
      <c r="A797" s="82" t="str" cm="1">
        <f t="array" ref="A79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797" s="79" t="str" cm="1">
        <f t="array" ref="B79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797" s="108" t="str" cm="1">
        <f t="array" ref="C79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797" s="79" t="str" cm="1">
        <f t="array" ref="D79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797" s="79" t="str" cm="1">
        <f t="array" ref="E79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797" s="80" t="str" cm="1">
        <f t="array" ref="F79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797" s="80" t="str" cm="1">
        <f t="array" ref="G79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797" s="80" t="str" cm="1">
        <f t="array" ref="H79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797" s="78" t="str" cm="1">
        <f t="array" ref="I79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798" spans="1:9" hidden="1" x14ac:dyDescent="0.3">
      <c r="A798" s="82" t="str" cm="1">
        <f t="array" ref="A79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798" s="79" t="str" cm="1">
        <f t="array" ref="B79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798" s="108" t="str" cm="1">
        <f t="array" ref="C79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798" s="79" t="str" cm="1">
        <f t="array" ref="D79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798" s="79" t="str" cm="1">
        <f t="array" ref="E79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798" s="80" t="str" cm="1">
        <f t="array" ref="F79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798" s="80" t="str" cm="1">
        <f t="array" ref="G79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798" s="80" t="str" cm="1">
        <f t="array" ref="H79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798" s="78" t="str" cm="1">
        <f t="array" ref="I79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799" spans="1:9" hidden="1" x14ac:dyDescent="0.3">
      <c r="A799" s="82" t="str" cm="1">
        <f t="array" ref="A79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799" s="79" t="str" cm="1">
        <f t="array" ref="B79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799" s="108" t="str" cm="1">
        <f t="array" ref="C79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799" s="79" t="str" cm="1">
        <f t="array" ref="D79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799" s="79" t="str" cm="1">
        <f t="array" ref="E79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799" s="80" t="str" cm="1">
        <f t="array" ref="F79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799" s="80" t="str" cm="1">
        <f t="array" ref="G79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799" s="80" t="str" cm="1">
        <f t="array" ref="H79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799" s="78" t="str" cm="1">
        <f t="array" ref="I79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800" spans="1:9" hidden="1" x14ac:dyDescent="0.3">
      <c r="A800" s="82" t="str" cm="1">
        <f t="array" ref="A80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800" s="79" t="str" cm="1">
        <f t="array" ref="B80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800" s="108" t="str" cm="1">
        <f t="array" ref="C80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800" s="79" t="str" cm="1">
        <f t="array" ref="D80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800" s="79" t="str" cm="1">
        <f t="array" ref="E80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800" s="80" t="str" cm="1">
        <f t="array" ref="F80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800" s="80" t="str" cm="1">
        <f t="array" ref="G80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800" s="80" t="str" cm="1">
        <f t="array" ref="H80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800" s="78" t="str" cm="1">
        <f t="array" ref="I80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801" spans="1:9" hidden="1" x14ac:dyDescent="0.3">
      <c r="A801" s="82" t="str" cm="1">
        <f t="array" ref="A80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801" s="79" t="str" cm="1">
        <f t="array" ref="B80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801" s="108" t="str" cm="1">
        <f t="array" ref="C80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801" s="79" t="str" cm="1">
        <f t="array" ref="D80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801" s="79" t="str" cm="1">
        <f t="array" ref="E80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801" s="80" t="str" cm="1">
        <f t="array" ref="F80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801" s="80" t="str" cm="1">
        <f t="array" ref="G80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801" s="80" t="str" cm="1">
        <f t="array" ref="H80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801" s="78" t="str" cm="1">
        <f t="array" ref="I80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802" spans="1:9" hidden="1" x14ac:dyDescent="0.3">
      <c r="A802" s="82" t="str" cm="1">
        <f t="array" ref="A80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802" s="79" t="str" cm="1">
        <f t="array" ref="B80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802" s="108" t="str" cm="1">
        <f t="array" ref="C80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802" s="79" t="str" cm="1">
        <f t="array" ref="D80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802" s="79" t="str" cm="1">
        <f t="array" ref="E80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802" s="80" t="str" cm="1">
        <f t="array" ref="F80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802" s="80" t="str" cm="1">
        <f t="array" ref="G80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802" s="80" t="str" cm="1">
        <f t="array" ref="H80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802" s="78" t="str" cm="1">
        <f t="array" ref="I80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803" spans="1:9" hidden="1" x14ac:dyDescent="0.3">
      <c r="A803" s="82" t="str" cm="1">
        <f t="array" ref="A80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803" s="79" t="str" cm="1">
        <f t="array" ref="B80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803" s="108" t="str" cm="1">
        <f t="array" ref="C80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803" s="79" t="str" cm="1">
        <f t="array" ref="D80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803" s="79" t="str" cm="1">
        <f t="array" ref="E80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803" s="80" t="str" cm="1">
        <f t="array" ref="F80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803" s="80" t="str" cm="1">
        <f t="array" ref="G80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803" s="80" t="str" cm="1">
        <f t="array" ref="H80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803" s="78" t="str" cm="1">
        <f t="array" ref="I80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804" spans="1:9" hidden="1" x14ac:dyDescent="0.3">
      <c r="A804" s="82" t="str" cm="1">
        <f t="array" ref="A80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804" s="79" t="str" cm="1">
        <f t="array" ref="B80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804" s="108" t="str" cm="1">
        <f t="array" ref="C80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804" s="79" t="str" cm="1">
        <f t="array" ref="D80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804" s="79" t="str" cm="1">
        <f t="array" ref="E80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804" s="80" t="str" cm="1">
        <f t="array" ref="F80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804" s="80" t="str" cm="1">
        <f t="array" ref="G80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804" s="80" t="str" cm="1">
        <f t="array" ref="H80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804" s="78" t="str" cm="1">
        <f t="array" ref="I80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805" spans="1:9" hidden="1" x14ac:dyDescent="0.3">
      <c r="A805" s="82" t="str" cm="1">
        <f t="array" ref="A80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805" s="79" t="str" cm="1">
        <f t="array" ref="B80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805" s="108" t="str" cm="1">
        <f t="array" ref="C80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805" s="79" t="str" cm="1">
        <f t="array" ref="D80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805" s="79" t="str" cm="1">
        <f t="array" ref="E80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805" s="80" t="str" cm="1">
        <f t="array" ref="F80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805" s="80" t="str" cm="1">
        <f t="array" ref="G80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805" s="80" t="str" cm="1">
        <f t="array" ref="H80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805" s="78" t="str" cm="1">
        <f t="array" ref="I80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806" spans="1:9" hidden="1" x14ac:dyDescent="0.3">
      <c r="A806" s="82" t="str" cm="1">
        <f t="array" ref="A80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806" s="79" t="str" cm="1">
        <f t="array" ref="B80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806" s="108" t="str" cm="1">
        <f t="array" ref="C80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806" s="79" t="str" cm="1">
        <f t="array" ref="D80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806" s="79" t="str" cm="1">
        <f t="array" ref="E80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806" s="80" t="str" cm="1">
        <f t="array" ref="F80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806" s="80" t="str" cm="1">
        <f t="array" ref="G80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806" s="80" t="str" cm="1">
        <f t="array" ref="H80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806" s="78" t="str" cm="1">
        <f t="array" ref="I80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807" spans="1:9" hidden="1" x14ac:dyDescent="0.3">
      <c r="A807" s="82" t="str" cm="1">
        <f t="array" ref="A80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807" s="79" t="str" cm="1">
        <f t="array" ref="B80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807" s="108" t="str" cm="1">
        <f t="array" ref="C80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807" s="79" t="str" cm="1">
        <f t="array" ref="D80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807" s="79" t="str" cm="1">
        <f t="array" ref="E80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807" s="80" t="str" cm="1">
        <f t="array" ref="F80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807" s="80" t="str" cm="1">
        <f t="array" ref="G80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807" s="80" t="str" cm="1">
        <f t="array" ref="H80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807" s="78" t="str" cm="1">
        <f t="array" ref="I80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808" spans="1:9" hidden="1" x14ac:dyDescent="0.3">
      <c r="A808" s="82" t="str" cm="1">
        <f t="array" ref="A80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808" s="79" t="str" cm="1">
        <f t="array" ref="B80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808" s="108" t="str" cm="1">
        <f t="array" ref="C80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808" s="79" t="str" cm="1">
        <f t="array" ref="D80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808" s="79" t="str" cm="1">
        <f t="array" ref="E80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808" s="80" t="str" cm="1">
        <f t="array" ref="F80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808" s="80" t="str" cm="1">
        <f t="array" ref="G80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808" s="80" t="str" cm="1">
        <f t="array" ref="H80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808" s="78" t="str" cm="1">
        <f t="array" ref="I80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809" spans="1:9" hidden="1" x14ac:dyDescent="0.3">
      <c r="A809" s="82" t="str" cm="1">
        <f t="array" ref="A80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809" s="79" t="str" cm="1">
        <f t="array" ref="B80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809" s="108" t="str" cm="1">
        <f t="array" ref="C80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809" s="79" t="str" cm="1">
        <f t="array" ref="D80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809" s="79" t="str" cm="1">
        <f t="array" ref="E80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809" s="80" t="str" cm="1">
        <f t="array" ref="F80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809" s="80" t="str" cm="1">
        <f t="array" ref="G80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809" s="80" t="str" cm="1">
        <f t="array" ref="H80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809" s="78" t="str" cm="1">
        <f t="array" ref="I80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810" spans="1:9" hidden="1" x14ac:dyDescent="0.3">
      <c r="A810" s="82" t="str" cm="1">
        <f t="array" ref="A81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810" s="79" t="str" cm="1">
        <f t="array" ref="B81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810" s="108" t="str" cm="1">
        <f t="array" ref="C81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810" s="79" t="str" cm="1">
        <f t="array" ref="D81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810" s="79" t="str" cm="1">
        <f t="array" ref="E81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810" s="80" t="str" cm="1">
        <f t="array" ref="F81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810" s="80" t="str" cm="1">
        <f t="array" ref="G81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810" s="80" t="str" cm="1">
        <f t="array" ref="H81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810" s="78" t="str" cm="1">
        <f t="array" ref="I81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811" spans="1:9" hidden="1" x14ac:dyDescent="0.3">
      <c r="A811" s="82" t="str" cm="1">
        <f t="array" ref="A81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811" s="79" t="str" cm="1">
        <f t="array" ref="B81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811" s="108" t="str" cm="1">
        <f t="array" ref="C81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811" s="79" t="str" cm="1">
        <f t="array" ref="D81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811" s="79" t="str" cm="1">
        <f t="array" ref="E81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811" s="80" t="str" cm="1">
        <f t="array" ref="F81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811" s="80" t="str" cm="1">
        <f t="array" ref="G81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811" s="80" t="str" cm="1">
        <f t="array" ref="H81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811" s="78" t="str" cm="1">
        <f t="array" ref="I81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812" spans="1:9" hidden="1" x14ac:dyDescent="0.3">
      <c r="A812" s="82" t="str" cm="1">
        <f t="array" ref="A81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812" s="79" t="str" cm="1">
        <f t="array" ref="B81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812" s="108" t="str" cm="1">
        <f t="array" ref="C81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812" s="79" t="str" cm="1">
        <f t="array" ref="D81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812" s="79" t="str" cm="1">
        <f t="array" ref="E81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812" s="80" t="str" cm="1">
        <f t="array" ref="F81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812" s="80" t="str" cm="1">
        <f t="array" ref="G81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812" s="80" t="str" cm="1">
        <f t="array" ref="H81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812" s="78" t="str" cm="1">
        <f t="array" ref="I81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813" spans="1:9" hidden="1" x14ac:dyDescent="0.3">
      <c r="A813" s="82" t="str" cm="1">
        <f t="array" ref="A81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813" s="79" t="str" cm="1">
        <f t="array" ref="B81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813" s="108" t="str" cm="1">
        <f t="array" ref="C81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813" s="79" t="str" cm="1">
        <f t="array" ref="D81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813" s="79" t="str" cm="1">
        <f t="array" ref="E81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813" s="80" t="str" cm="1">
        <f t="array" ref="F81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813" s="80" t="str" cm="1">
        <f t="array" ref="G81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813" s="80" t="str" cm="1">
        <f t="array" ref="H81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813" s="78" t="str" cm="1">
        <f t="array" ref="I81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814" spans="1:9" hidden="1" x14ac:dyDescent="0.3">
      <c r="A814" s="82" t="str" cm="1">
        <f t="array" ref="A81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814" s="79" t="str" cm="1">
        <f t="array" ref="B81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814" s="108" t="str" cm="1">
        <f t="array" ref="C81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814" s="79" t="str" cm="1">
        <f t="array" ref="D81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814" s="79" t="str" cm="1">
        <f t="array" ref="E81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814" s="80" t="str" cm="1">
        <f t="array" ref="F81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814" s="80" t="str" cm="1">
        <f t="array" ref="G81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814" s="80" t="str" cm="1">
        <f t="array" ref="H81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814" s="78" t="str" cm="1">
        <f t="array" ref="I81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815" spans="1:9" hidden="1" x14ac:dyDescent="0.3">
      <c r="A815" s="82" t="str" cm="1">
        <f t="array" ref="A81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815" s="79" t="str" cm="1">
        <f t="array" ref="B81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815" s="108" t="str" cm="1">
        <f t="array" ref="C81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815" s="79" t="str" cm="1">
        <f t="array" ref="D81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815" s="79" t="str" cm="1">
        <f t="array" ref="E81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815" s="80" t="str" cm="1">
        <f t="array" ref="F81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815" s="80" t="str" cm="1">
        <f t="array" ref="G81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815" s="80" t="str" cm="1">
        <f t="array" ref="H81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815" s="78" t="str" cm="1">
        <f t="array" ref="I81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816" spans="1:9" hidden="1" x14ac:dyDescent="0.3">
      <c r="A816" s="82" t="str" cm="1">
        <f t="array" ref="A81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816" s="79" t="str" cm="1">
        <f t="array" ref="B81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816" s="108" t="str" cm="1">
        <f t="array" ref="C81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816" s="79" t="str" cm="1">
        <f t="array" ref="D81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816" s="79" t="str" cm="1">
        <f t="array" ref="E81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816" s="80" t="str" cm="1">
        <f t="array" ref="F81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816" s="80" t="str" cm="1">
        <f t="array" ref="G81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816" s="80" t="str" cm="1">
        <f t="array" ref="H81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816" s="78" t="str" cm="1">
        <f t="array" ref="I81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817" spans="1:9" hidden="1" x14ac:dyDescent="0.3">
      <c r="A817" s="82" t="str" cm="1">
        <f t="array" ref="A81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817" s="79" t="str" cm="1">
        <f t="array" ref="B81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817" s="108" t="str" cm="1">
        <f t="array" ref="C81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817" s="79" t="str" cm="1">
        <f t="array" ref="D81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817" s="79" t="str" cm="1">
        <f t="array" ref="E81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817" s="80" t="str" cm="1">
        <f t="array" ref="F81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817" s="80" t="str" cm="1">
        <f t="array" ref="G81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817" s="80" t="str" cm="1">
        <f t="array" ref="H81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817" s="78" t="str" cm="1">
        <f t="array" ref="I81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818" spans="1:9" hidden="1" x14ac:dyDescent="0.3">
      <c r="A818" s="82" t="str" cm="1">
        <f t="array" ref="A81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818" s="79" t="str" cm="1">
        <f t="array" ref="B81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818" s="108" t="str" cm="1">
        <f t="array" ref="C81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818" s="79" t="str" cm="1">
        <f t="array" ref="D81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818" s="79" t="str" cm="1">
        <f t="array" ref="E81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818" s="80" t="str" cm="1">
        <f t="array" ref="F81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818" s="80" t="str" cm="1">
        <f t="array" ref="G81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818" s="80" t="str" cm="1">
        <f t="array" ref="H81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818" s="78" t="str" cm="1">
        <f t="array" ref="I81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819" spans="1:9" hidden="1" x14ac:dyDescent="0.3">
      <c r="A819" s="82" t="str" cm="1">
        <f t="array" ref="A81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819" s="79" t="str" cm="1">
        <f t="array" ref="B81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819" s="108" t="str" cm="1">
        <f t="array" ref="C81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819" s="79" t="str" cm="1">
        <f t="array" ref="D81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819" s="79" t="str" cm="1">
        <f t="array" ref="E81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819" s="80" t="str" cm="1">
        <f t="array" ref="F81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819" s="80" t="str" cm="1">
        <f t="array" ref="G81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819" s="80" t="str" cm="1">
        <f t="array" ref="H81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819" s="78" t="str" cm="1">
        <f t="array" ref="I81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820" spans="1:9" hidden="1" x14ac:dyDescent="0.3">
      <c r="A820" s="82" t="str" cm="1">
        <f t="array" ref="A82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820" s="79" t="str" cm="1">
        <f t="array" ref="B82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820" s="108" t="str" cm="1">
        <f t="array" ref="C82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820" s="79" t="str" cm="1">
        <f t="array" ref="D82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820" s="79" t="str" cm="1">
        <f t="array" ref="E82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820" s="80" t="str" cm="1">
        <f t="array" ref="F82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820" s="80" t="str" cm="1">
        <f t="array" ref="G82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820" s="80" t="str" cm="1">
        <f t="array" ref="H82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820" s="78" t="str" cm="1">
        <f t="array" ref="I82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821" spans="1:9" hidden="1" x14ac:dyDescent="0.3">
      <c r="A821" s="82" t="str" cm="1">
        <f t="array" ref="A82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821" s="79" t="str" cm="1">
        <f t="array" ref="B82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821" s="108" t="str" cm="1">
        <f t="array" ref="C82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821" s="79" t="str" cm="1">
        <f t="array" ref="D82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821" s="79" t="str" cm="1">
        <f t="array" ref="E82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821" s="80" t="str" cm="1">
        <f t="array" ref="F82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821" s="80" t="str" cm="1">
        <f t="array" ref="G82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821" s="80" t="str" cm="1">
        <f t="array" ref="H82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821" s="78" t="str" cm="1">
        <f t="array" ref="I82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822" spans="1:9" hidden="1" x14ac:dyDescent="0.3">
      <c r="A822" s="82" t="str" cm="1">
        <f t="array" ref="A82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822" s="79" t="str" cm="1">
        <f t="array" ref="B82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822" s="108" t="str" cm="1">
        <f t="array" ref="C82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822" s="79" t="str" cm="1">
        <f t="array" ref="D82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822" s="79" t="str" cm="1">
        <f t="array" ref="E82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822" s="80" t="str" cm="1">
        <f t="array" ref="F82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822" s="80" t="str" cm="1">
        <f t="array" ref="G82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822" s="80" t="str" cm="1">
        <f t="array" ref="H82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822" s="78" t="str" cm="1">
        <f t="array" ref="I82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823" spans="1:9" hidden="1" x14ac:dyDescent="0.3">
      <c r="A823" s="82" t="str" cm="1">
        <f t="array" ref="A82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823" s="79" t="str" cm="1">
        <f t="array" ref="B82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823" s="108" t="str" cm="1">
        <f t="array" ref="C82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823" s="79" t="str" cm="1">
        <f t="array" ref="D82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823" s="79" t="str" cm="1">
        <f t="array" ref="E82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823" s="80" t="str" cm="1">
        <f t="array" ref="F82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823" s="80" t="str" cm="1">
        <f t="array" ref="G82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823" s="80" t="str" cm="1">
        <f t="array" ref="H82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823" s="78" t="str" cm="1">
        <f t="array" ref="I82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824" spans="1:9" hidden="1" x14ac:dyDescent="0.3">
      <c r="A824" s="82" t="str" cm="1">
        <f t="array" ref="A82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824" s="79" t="str" cm="1">
        <f t="array" ref="B82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824" s="108" t="str" cm="1">
        <f t="array" ref="C82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824" s="79" t="str" cm="1">
        <f t="array" ref="D82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824" s="79" t="str" cm="1">
        <f t="array" ref="E82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824" s="80" t="str" cm="1">
        <f t="array" ref="F82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824" s="80" t="str" cm="1">
        <f t="array" ref="G82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824" s="80" t="str" cm="1">
        <f t="array" ref="H82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824" s="78" t="str" cm="1">
        <f t="array" ref="I82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825" spans="1:9" hidden="1" x14ac:dyDescent="0.3">
      <c r="A825" s="82" t="str" cm="1">
        <f t="array" ref="A82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825" s="79" t="str" cm="1">
        <f t="array" ref="B82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825" s="108" t="str" cm="1">
        <f t="array" ref="C82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825" s="79" t="str" cm="1">
        <f t="array" ref="D82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825" s="79" t="str" cm="1">
        <f t="array" ref="E82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825" s="80" t="str" cm="1">
        <f t="array" ref="F82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825" s="80" t="str" cm="1">
        <f t="array" ref="G82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825" s="80" t="str" cm="1">
        <f t="array" ref="H82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825" s="78" t="str" cm="1">
        <f t="array" ref="I82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826" spans="1:9" hidden="1" x14ac:dyDescent="0.3">
      <c r="A826" s="82" t="str" cm="1">
        <f t="array" ref="A82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826" s="79" t="str" cm="1">
        <f t="array" ref="B82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826" s="108" t="str" cm="1">
        <f t="array" ref="C82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826" s="79" t="str" cm="1">
        <f t="array" ref="D82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826" s="79" t="str" cm="1">
        <f t="array" ref="E82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826" s="80" t="str" cm="1">
        <f t="array" ref="F82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826" s="80" t="str" cm="1">
        <f t="array" ref="G82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826" s="80" t="str" cm="1">
        <f t="array" ref="H82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826" s="78" t="str" cm="1">
        <f t="array" ref="I82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827" spans="1:9" hidden="1" x14ac:dyDescent="0.3">
      <c r="A827" s="82" t="str" cm="1">
        <f t="array" ref="A82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827" s="79" t="str" cm="1">
        <f t="array" ref="B82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827" s="108" t="str" cm="1">
        <f t="array" ref="C82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827" s="79" t="str" cm="1">
        <f t="array" ref="D82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827" s="79" t="str" cm="1">
        <f t="array" ref="E82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827" s="80" t="str" cm="1">
        <f t="array" ref="F82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827" s="80" t="str" cm="1">
        <f t="array" ref="G82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827" s="80" t="str" cm="1">
        <f t="array" ref="H82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827" s="78" t="str" cm="1">
        <f t="array" ref="I82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828" spans="1:9" hidden="1" x14ac:dyDescent="0.3">
      <c r="A828" s="82" t="str" cm="1">
        <f t="array" ref="A82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828" s="79" t="str" cm="1">
        <f t="array" ref="B82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828" s="108" t="str" cm="1">
        <f t="array" ref="C82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828" s="79" t="str" cm="1">
        <f t="array" ref="D82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828" s="79" t="str" cm="1">
        <f t="array" ref="E82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828" s="80" t="str" cm="1">
        <f t="array" ref="F82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828" s="80" t="str" cm="1">
        <f t="array" ref="G82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828" s="80" t="str" cm="1">
        <f t="array" ref="H82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828" s="78" t="str" cm="1">
        <f t="array" ref="I82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829" spans="1:9" hidden="1" x14ac:dyDescent="0.3">
      <c r="A829" s="82" t="str" cm="1">
        <f t="array" ref="A82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829" s="79" t="str" cm="1">
        <f t="array" ref="B82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829" s="108" t="str" cm="1">
        <f t="array" ref="C82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829" s="79" t="str" cm="1">
        <f t="array" ref="D82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829" s="79" t="str" cm="1">
        <f t="array" ref="E82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829" s="80" t="str" cm="1">
        <f t="array" ref="F82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829" s="80" t="str" cm="1">
        <f t="array" ref="G82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829" s="80" t="str" cm="1">
        <f t="array" ref="H82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829" s="78" t="str" cm="1">
        <f t="array" ref="I82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830" spans="1:9" hidden="1" x14ac:dyDescent="0.3">
      <c r="A830" s="82" t="str" cm="1">
        <f t="array" ref="A83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830" s="79" t="str" cm="1">
        <f t="array" ref="B83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830" s="108" t="str" cm="1">
        <f t="array" ref="C83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830" s="79" t="str" cm="1">
        <f t="array" ref="D83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830" s="79" t="str" cm="1">
        <f t="array" ref="E83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830" s="80" t="str" cm="1">
        <f t="array" ref="F83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830" s="80" t="str" cm="1">
        <f t="array" ref="G83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830" s="80" t="str" cm="1">
        <f t="array" ref="H83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830" s="78" t="str" cm="1">
        <f t="array" ref="I83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831" spans="1:9" hidden="1" x14ac:dyDescent="0.3">
      <c r="A831" s="82" t="str" cm="1">
        <f t="array" ref="A83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831" s="79" t="str" cm="1">
        <f t="array" ref="B83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831" s="108" t="str" cm="1">
        <f t="array" ref="C83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831" s="79" t="str" cm="1">
        <f t="array" ref="D83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831" s="79" t="str" cm="1">
        <f t="array" ref="E83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831" s="80" t="str" cm="1">
        <f t="array" ref="F83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831" s="80" t="str" cm="1">
        <f t="array" ref="G83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831" s="80" t="str" cm="1">
        <f t="array" ref="H83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831" s="78" t="str" cm="1">
        <f t="array" ref="I83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832" spans="1:9" hidden="1" x14ac:dyDescent="0.3">
      <c r="A832" s="82" t="str" cm="1">
        <f t="array" ref="A83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832" s="79" t="str" cm="1">
        <f t="array" ref="B83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832" s="108" t="str" cm="1">
        <f t="array" ref="C83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832" s="79" t="str" cm="1">
        <f t="array" ref="D83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832" s="79" t="str" cm="1">
        <f t="array" ref="E83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832" s="80" t="str" cm="1">
        <f t="array" ref="F83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832" s="80" t="str" cm="1">
        <f t="array" ref="G83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832" s="80" t="str" cm="1">
        <f t="array" ref="H83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832" s="78" t="str" cm="1">
        <f t="array" ref="I83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833" spans="1:9" hidden="1" x14ac:dyDescent="0.3">
      <c r="A833" s="82" t="str" cm="1">
        <f t="array" ref="A83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833" s="79" t="str" cm="1">
        <f t="array" ref="B83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833" s="108" t="str" cm="1">
        <f t="array" ref="C83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833" s="79" t="str" cm="1">
        <f t="array" ref="D83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833" s="79" t="str" cm="1">
        <f t="array" ref="E83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833" s="80" t="str" cm="1">
        <f t="array" ref="F83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833" s="80" t="str" cm="1">
        <f t="array" ref="G83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833" s="80" t="str" cm="1">
        <f t="array" ref="H83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833" s="78" t="str" cm="1">
        <f t="array" ref="I83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834" spans="1:9" hidden="1" x14ac:dyDescent="0.3">
      <c r="A834" s="82" t="str" cm="1">
        <f t="array" ref="A83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834" s="79" t="str" cm="1">
        <f t="array" ref="B83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834" s="108" t="str" cm="1">
        <f t="array" ref="C83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834" s="79" t="str" cm="1">
        <f t="array" ref="D83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834" s="79" t="str" cm="1">
        <f t="array" ref="E83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834" s="80" t="str" cm="1">
        <f t="array" ref="F83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834" s="80" t="str" cm="1">
        <f t="array" ref="G83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834" s="80" t="str" cm="1">
        <f t="array" ref="H83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834" s="78" t="str" cm="1">
        <f t="array" ref="I83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835" spans="1:9" hidden="1" x14ac:dyDescent="0.3">
      <c r="A835" s="82" t="str" cm="1">
        <f t="array" ref="A83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835" s="79" t="str" cm="1">
        <f t="array" ref="B83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835" s="108" t="str" cm="1">
        <f t="array" ref="C83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835" s="79" t="str" cm="1">
        <f t="array" ref="D83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835" s="79" t="str" cm="1">
        <f t="array" ref="E83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835" s="80" t="str" cm="1">
        <f t="array" ref="F83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835" s="80" t="str" cm="1">
        <f t="array" ref="G83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835" s="80" t="str" cm="1">
        <f t="array" ref="H83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835" s="78" t="str" cm="1">
        <f t="array" ref="I83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836" spans="1:9" hidden="1" x14ac:dyDescent="0.3">
      <c r="A836" s="82" t="str" cm="1">
        <f t="array" ref="A83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836" s="79" t="str" cm="1">
        <f t="array" ref="B83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836" s="108" t="str" cm="1">
        <f t="array" ref="C83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836" s="79" t="str" cm="1">
        <f t="array" ref="D83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836" s="79" t="str" cm="1">
        <f t="array" ref="E83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836" s="80" t="str" cm="1">
        <f t="array" ref="F83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836" s="80" t="str" cm="1">
        <f t="array" ref="G83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836" s="80" t="str" cm="1">
        <f t="array" ref="H83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836" s="78" t="str" cm="1">
        <f t="array" ref="I83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837" spans="1:9" hidden="1" x14ac:dyDescent="0.3">
      <c r="A837" s="82" t="str" cm="1">
        <f t="array" ref="A83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837" s="79" t="str" cm="1">
        <f t="array" ref="B83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837" s="108" t="str" cm="1">
        <f t="array" ref="C83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837" s="79" t="str" cm="1">
        <f t="array" ref="D83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837" s="79" t="str" cm="1">
        <f t="array" ref="E83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837" s="80" t="str" cm="1">
        <f t="array" ref="F83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837" s="80" t="str" cm="1">
        <f t="array" ref="G83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837" s="80" t="str" cm="1">
        <f t="array" ref="H83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837" s="78" t="str" cm="1">
        <f t="array" ref="I83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838" spans="1:9" hidden="1" x14ac:dyDescent="0.3">
      <c r="A838" s="82" t="str" cm="1">
        <f t="array" ref="A83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838" s="79" t="str" cm="1">
        <f t="array" ref="B83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838" s="108" t="str" cm="1">
        <f t="array" ref="C83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838" s="79" t="str" cm="1">
        <f t="array" ref="D83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838" s="79" t="str" cm="1">
        <f t="array" ref="E83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838" s="80" t="str" cm="1">
        <f t="array" ref="F83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838" s="80" t="str" cm="1">
        <f t="array" ref="G83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838" s="80" t="str" cm="1">
        <f t="array" ref="H83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838" s="78" t="str" cm="1">
        <f t="array" ref="I83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839" spans="1:9" hidden="1" x14ac:dyDescent="0.3">
      <c r="A839" s="82" t="str" cm="1">
        <f t="array" ref="A83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839" s="79" t="str" cm="1">
        <f t="array" ref="B83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839" s="108" t="str" cm="1">
        <f t="array" ref="C83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839" s="79" t="str" cm="1">
        <f t="array" ref="D83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839" s="79" t="str" cm="1">
        <f t="array" ref="E83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839" s="80" t="str" cm="1">
        <f t="array" ref="F83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839" s="80" t="str" cm="1">
        <f t="array" ref="G83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839" s="80" t="str" cm="1">
        <f t="array" ref="H83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839" s="78" t="str" cm="1">
        <f t="array" ref="I83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840" spans="1:9" hidden="1" x14ac:dyDescent="0.3">
      <c r="A840" s="82" t="str" cm="1">
        <f t="array" ref="A84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840" s="79" t="str" cm="1">
        <f t="array" ref="B84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840" s="108" t="str" cm="1">
        <f t="array" ref="C84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840" s="79" t="str" cm="1">
        <f t="array" ref="D84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840" s="79" t="str" cm="1">
        <f t="array" ref="E84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840" s="80" t="str" cm="1">
        <f t="array" ref="F84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840" s="80" t="str" cm="1">
        <f t="array" ref="G84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840" s="80" t="str" cm="1">
        <f t="array" ref="H84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840" s="78" t="str" cm="1">
        <f t="array" ref="I84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841" spans="1:9" hidden="1" x14ac:dyDescent="0.3">
      <c r="A841" s="82" t="str" cm="1">
        <f t="array" ref="A84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841" s="79" t="str" cm="1">
        <f t="array" ref="B84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841" s="108" t="str" cm="1">
        <f t="array" ref="C84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841" s="79" t="str" cm="1">
        <f t="array" ref="D84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841" s="79" t="str" cm="1">
        <f t="array" ref="E84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841" s="80" t="str" cm="1">
        <f t="array" ref="F84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841" s="80" t="str" cm="1">
        <f t="array" ref="G84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841" s="80" t="str" cm="1">
        <f t="array" ref="H84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841" s="78" t="str" cm="1">
        <f t="array" ref="I84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842" spans="1:9" hidden="1" x14ac:dyDescent="0.3">
      <c r="A842" s="82" t="str" cm="1">
        <f t="array" ref="A84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842" s="79" t="str" cm="1">
        <f t="array" ref="B84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842" s="108" t="str" cm="1">
        <f t="array" ref="C84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842" s="79" t="str" cm="1">
        <f t="array" ref="D84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842" s="79" t="str" cm="1">
        <f t="array" ref="E84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842" s="80" t="str" cm="1">
        <f t="array" ref="F84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842" s="80" t="str" cm="1">
        <f t="array" ref="G84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842" s="80" t="str" cm="1">
        <f t="array" ref="H84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842" s="78" t="str" cm="1">
        <f t="array" ref="I84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843" spans="1:9" hidden="1" x14ac:dyDescent="0.3">
      <c r="A843" s="82" t="str" cm="1">
        <f t="array" ref="A84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843" s="79" t="str" cm="1">
        <f t="array" ref="B84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843" s="108" t="str" cm="1">
        <f t="array" ref="C84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843" s="79" t="str" cm="1">
        <f t="array" ref="D84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843" s="79" t="str" cm="1">
        <f t="array" ref="E84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843" s="80" t="str" cm="1">
        <f t="array" ref="F84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843" s="80" t="str" cm="1">
        <f t="array" ref="G84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843" s="80" t="str" cm="1">
        <f t="array" ref="H84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843" s="78" t="str" cm="1">
        <f t="array" ref="I84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844" spans="1:9" hidden="1" x14ac:dyDescent="0.3">
      <c r="A844" s="82" t="str" cm="1">
        <f t="array" ref="A84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844" s="79" t="str" cm="1">
        <f t="array" ref="B84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844" s="108" t="str" cm="1">
        <f t="array" ref="C84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844" s="79" t="str" cm="1">
        <f t="array" ref="D84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844" s="79" t="str" cm="1">
        <f t="array" ref="E84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844" s="80" t="str" cm="1">
        <f t="array" ref="F84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844" s="80" t="str" cm="1">
        <f t="array" ref="G84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844" s="80" t="str" cm="1">
        <f t="array" ref="H84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844" s="78" t="str" cm="1">
        <f t="array" ref="I84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845" spans="1:9" hidden="1" x14ac:dyDescent="0.3">
      <c r="A845" s="82" t="str" cm="1">
        <f t="array" ref="A84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845" s="79" t="str" cm="1">
        <f t="array" ref="B84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845" s="108" t="str" cm="1">
        <f t="array" ref="C84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845" s="79" t="str" cm="1">
        <f t="array" ref="D84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845" s="79" t="str" cm="1">
        <f t="array" ref="E84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845" s="80" t="str" cm="1">
        <f t="array" ref="F84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845" s="80" t="str" cm="1">
        <f t="array" ref="G84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845" s="80" t="str" cm="1">
        <f t="array" ref="H84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845" s="78" t="str" cm="1">
        <f t="array" ref="I84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846" spans="1:9" hidden="1" x14ac:dyDescent="0.3">
      <c r="A846" s="82" t="str" cm="1">
        <f t="array" ref="A84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846" s="79" t="str" cm="1">
        <f t="array" ref="B84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846" s="108" t="str" cm="1">
        <f t="array" ref="C84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846" s="79" t="str" cm="1">
        <f t="array" ref="D84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846" s="79" t="str" cm="1">
        <f t="array" ref="E84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846" s="80" t="str" cm="1">
        <f t="array" ref="F84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846" s="80" t="str" cm="1">
        <f t="array" ref="G84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846" s="80" t="str" cm="1">
        <f t="array" ref="H84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846" s="78" t="str" cm="1">
        <f t="array" ref="I84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847" spans="1:9" hidden="1" x14ac:dyDescent="0.3">
      <c r="A847" s="82" t="str" cm="1">
        <f t="array" ref="A84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847" s="79" t="str" cm="1">
        <f t="array" ref="B84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847" s="108" t="str" cm="1">
        <f t="array" ref="C84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847" s="79" t="str" cm="1">
        <f t="array" ref="D84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847" s="79" t="str" cm="1">
        <f t="array" ref="E84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847" s="80" t="str" cm="1">
        <f t="array" ref="F84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847" s="80" t="str" cm="1">
        <f t="array" ref="G84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847" s="80" t="str" cm="1">
        <f t="array" ref="H84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847" s="78" t="str" cm="1">
        <f t="array" ref="I84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848" spans="1:9" hidden="1" x14ac:dyDescent="0.3">
      <c r="A848" s="82" t="str" cm="1">
        <f t="array" ref="A84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848" s="79" t="str" cm="1">
        <f t="array" ref="B84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848" s="108" t="str" cm="1">
        <f t="array" ref="C84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848" s="79" t="str" cm="1">
        <f t="array" ref="D84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848" s="79" t="str" cm="1">
        <f t="array" ref="E84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848" s="80" t="str" cm="1">
        <f t="array" ref="F84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848" s="80" t="str" cm="1">
        <f t="array" ref="G84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848" s="80" t="str" cm="1">
        <f t="array" ref="H84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848" s="78" t="str" cm="1">
        <f t="array" ref="I84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849" spans="1:9" hidden="1" x14ac:dyDescent="0.3">
      <c r="A849" s="82" t="str" cm="1">
        <f t="array" ref="A84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849" s="79" t="str" cm="1">
        <f t="array" ref="B84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849" s="108" t="str" cm="1">
        <f t="array" ref="C84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849" s="79" t="str" cm="1">
        <f t="array" ref="D84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849" s="79" t="str" cm="1">
        <f t="array" ref="E84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849" s="80" t="str" cm="1">
        <f t="array" ref="F84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849" s="80" t="str" cm="1">
        <f t="array" ref="G84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849" s="80" t="str" cm="1">
        <f t="array" ref="H84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849" s="78" t="str" cm="1">
        <f t="array" ref="I84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850" spans="1:9" hidden="1" x14ac:dyDescent="0.3">
      <c r="A850" s="82" t="str" cm="1">
        <f t="array" ref="A85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850" s="79" t="str" cm="1">
        <f t="array" ref="B85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850" s="108" t="str" cm="1">
        <f t="array" ref="C85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850" s="79" t="str" cm="1">
        <f t="array" ref="D85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850" s="79" t="str" cm="1">
        <f t="array" ref="E85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850" s="80" t="str" cm="1">
        <f t="array" ref="F85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850" s="80" t="str" cm="1">
        <f t="array" ref="G85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850" s="80" t="str" cm="1">
        <f t="array" ref="H85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850" s="78" t="str" cm="1">
        <f t="array" ref="I85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851" spans="1:9" hidden="1" x14ac:dyDescent="0.3">
      <c r="A851" s="82" t="str" cm="1">
        <f t="array" ref="A85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851" s="79" t="str" cm="1">
        <f t="array" ref="B85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851" s="108" t="str" cm="1">
        <f t="array" ref="C85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851" s="79" t="str" cm="1">
        <f t="array" ref="D85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851" s="79" t="str" cm="1">
        <f t="array" ref="E85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851" s="80" t="str" cm="1">
        <f t="array" ref="F85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851" s="80" t="str" cm="1">
        <f t="array" ref="G85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851" s="80" t="str" cm="1">
        <f t="array" ref="H85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851" s="78" t="str" cm="1">
        <f t="array" ref="I85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852" spans="1:9" hidden="1" x14ac:dyDescent="0.3">
      <c r="A852" s="82" t="str" cm="1">
        <f t="array" ref="A85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852" s="79" t="str" cm="1">
        <f t="array" ref="B85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852" s="108" t="str" cm="1">
        <f t="array" ref="C85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852" s="79" t="str" cm="1">
        <f t="array" ref="D85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852" s="79" t="str" cm="1">
        <f t="array" ref="E85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852" s="80" t="str" cm="1">
        <f t="array" ref="F85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852" s="80" t="str" cm="1">
        <f t="array" ref="G85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852" s="80" t="str" cm="1">
        <f t="array" ref="H85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852" s="78" t="str" cm="1">
        <f t="array" ref="I85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853" spans="1:9" hidden="1" x14ac:dyDescent="0.3">
      <c r="A853" s="82" t="str" cm="1">
        <f t="array" ref="A85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853" s="79" t="str" cm="1">
        <f t="array" ref="B85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853" s="108" t="str" cm="1">
        <f t="array" ref="C85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853" s="79" t="str" cm="1">
        <f t="array" ref="D85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853" s="79" t="str" cm="1">
        <f t="array" ref="E85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853" s="80" t="str" cm="1">
        <f t="array" ref="F85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853" s="80" t="str" cm="1">
        <f t="array" ref="G85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853" s="80" t="str" cm="1">
        <f t="array" ref="H85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853" s="78" t="str" cm="1">
        <f t="array" ref="I85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854" spans="1:9" hidden="1" x14ac:dyDescent="0.3">
      <c r="A854" s="82" t="str" cm="1">
        <f t="array" ref="A85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854" s="79" t="str" cm="1">
        <f t="array" ref="B85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854" s="108" t="str" cm="1">
        <f t="array" ref="C85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854" s="79" t="str" cm="1">
        <f t="array" ref="D85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854" s="79" t="str" cm="1">
        <f t="array" ref="E85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854" s="80" t="str" cm="1">
        <f t="array" ref="F85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854" s="80" t="str" cm="1">
        <f t="array" ref="G85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854" s="80" t="str" cm="1">
        <f t="array" ref="H85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854" s="78" t="str" cm="1">
        <f t="array" ref="I85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855" spans="1:9" hidden="1" x14ac:dyDescent="0.3">
      <c r="A855" s="82" t="str" cm="1">
        <f t="array" ref="A85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855" s="79" t="str" cm="1">
        <f t="array" ref="B85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855" s="108" t="str" cm="1">
        <f t="array" ref="C85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855" s="79" t="str" cm="1">
        <f t="array" ref="D85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855" s="79" t="str" cm="1">
        <f t="array" ref="E85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855" s="80" t="str" cm="1">
        <f t="array" ref="F85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855" s="80" t="str" cm="1">
        <f t="array" ref="G85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855" s="80" t="str" cm="1">
        <f t="array" ref="H85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855" s="78" t="str" cm="1">
        <f t="array" ref="I85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856" spans="1:9" hidden="1" x14ac:dyDescent="0.3">
      <c r="A856" s="82" t="str" cm="1">
        <f t="array" ref="A85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856" s="79" t="str" cm="1">
        <f t="array" ref="B85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856" s="108" t="str" cm="1">
        <f t="array" ref="C85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856" s="79" t="str" cm="1">
        <f t="array" ref="D85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856" s="79" t="str" cm="1">
        <f t="array" ref="E85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856" s="80" t="str" cm="1">
        <f t="array" ref="F85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856" s="80" t="str" cm="1">
        <f t="array" ref="G85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856" s="80" t="str" cm="1">
        <f t="array" ref="H85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856" s="78" t="str" cm="1">
        <f t="array" ref="I85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857" spans="1:9" hidden="1" x14ac:dyDescent="0.3">
      <c r="A857" s="82" t="str" cm="1">
        <f t="array" ref="A85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857" s="79" t="str" cm="1">
        <f t="array" ref="B85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857" s="108" t="str" cm="1">
        <f t="array" ref="C85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857" s="79" t="str" cm="1">
        <f t="array" ref="D85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857" s="79" t="str" cm="1">
        <f t="array" ref="E85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857" s="80" t="str" cm="1">
        <f t="array" ref="F85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857" s="80" t="str" cm="1">
        <f t="array" ref="G85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857" s="80" t="str" cm="1">
        <f t="array" ref="H85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857" s="78" t="str" cm="1">
        <f t="array" ref="I85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858" spans="1:9" hidden="1" x14ac:dyDescent="0.3">
      <c r="A858" s="82" t="str" cm="1">
        <f t="array" ref="A85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858" s="79" t="str" cm="1">
        <f t="array" ref="B85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858" s="108" t="str" cm="1">
        <f t="array" ref="C85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858" s="79" t="str" cm="1">
        <f t="array" ref="D85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858" s="79" t="str" cm="1">
        <f t="array" ref="E85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858" s="80" t="str" cm="1">
        <f t="array" ref="F85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858" s="80" t="str" cm="1">
        <f t="array" ref="G85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858" s="80" t="str" cm="1">
        <f t="array" ref="H85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858" s="78" t="str" cm="1">
        <f t="array" ref="I85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859" spans="1:9" hidden="1" x14ac:dyDescent="0.3">
      <c r="A859" s="82" t="str" cm="1">
        <f t="array" ref="A85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859" s="79" t="str" cm="1">
        <f t="array" ref="B85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859" s="108" t="str" cm="1">
        <f t="array" ref="C85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859" s="79" t="str" cm="1">
        <f t="array" ref="D85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859" s="79" t="str" cm="1">
        <f t="array" ref="E85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859" s="80" t="str" cm="1">
        <f t="array" ref="F85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859" s="80" t="str" cm="1">
        <f t="array" ref="G85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859" s="80" t="str" cm="1">
        <f t="array" ref="H85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859" s="78" t="str" cm="1">
        <f t="array" ref="I85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860" spans="1:9" hidden="1" x14ac:dyDescent="0.3">
      <c r="A860" s="82" t="str" cm="1">
        <f t="array" ref="A86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860" s="79" t="str" cm="1">
        <f t="array" ref="B86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860" s="108" t="str" cm="1">
        <f t="array" ref="C86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860" s="79" t="str" cm="1">
        <f t="array" ref="D86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860" s="79" t="str" cm="1">
        <f t="array" ref="E86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860" s="80" t="str" cm="1">
        <f t="array" ref="F86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860" s="80" t="str" cm="1">
        <f t="array" ref="G86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860" s="80" t="str" cm="1">
        <f t="array" ref="H86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860" s="78" t="str" cm="1">
        <f t="array" ref="I86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861" spans="1:9" hidden="1" x14ac:dyDescent="0.3">
      <c r="A861" s="82" t="str" cm="1">
        <f t="array" ref="A86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861" s="79" t="str" cm="1">
        <f t="array" ref="B86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861" s="108" t="str" cm="1">
        <f t="array" ref="C86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861" s="79" t="str" cm="1">
        <f t="array" ref="D86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861" s="79" t="str" cm="1">
        <f t="array" ref="E86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861" s="80" t="str" cm="1">
        <f t="array" ref="F86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861" s="80" t="str" cm="1">
        <f t="array" ref="G86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861" s="80" t="str" cm="1">
        <f t="array" ref="H86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861" s="78" t="str" cm="1">
        <f t="array" ref="I86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862" spans="1:9" hidden="1" x14ac:dyDescent="0.3">
      <c r="A862" s="82" t="str" cm="1">
        <f t="array" ref="A86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862" s="79" t="str" cm="1">
        <f t="array" ref="B86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862" s="108" t="str" cm="1">
        <f t="array" ref="C86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862" s="79" t="str" cm="1">
        <f t="array" ref="D86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862" s="79" t="str" cm="1">
        <f t="array" ref="E86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862" s="80" t="str" cm="1">
        <f t="array" ref="F86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862" s="80" t="str" cm="1">
        <f t="array" ref="G86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862" s="80" t="str" cm="1">
        <f t="array" ref="H86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862" s="78" t="str" cm="1">
        <f t="array" ref="I86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863" spans="1:9" hidden="1" x14ac:dyDescent="0.3">
      <c r="A863" s="82" t="str" cm="1">
        <f t="array" ref="A86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863" s="79" t="str" cm="1">
        <f t="array" ref="B86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863" s="108" t="str" cm="1">
        <f t="array" ref="C86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863" s="79" t="str" cm="1">
        <f t="array" ref="D86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863" s="79" t="str" cm="1">
        <f t="array" ref="E86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863" s="80" t="str" cm="1">
        <f t="array" ref="F86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863" s="80" t="str" cm="1">
        <f t="array" ref="G86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863" s="80" t="str" cm="1">
        <f t="array" ref="H86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863" s="78" t="str" cm="1">
        <f t="array" ref="I86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864" spans="1:9" hidden="1" x14ac:dyDescent="0.3">
      <c r="A864" s="82" t="str" cm="1">
        <f t="array" ref="A86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864" s="79" t="str" cm="1">
        <f t="array" ref="B86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864" s="108" t="str" cm="1">
        <f t="array" ref="C86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864" s="79" t="str" cm="1">
        <f t="array" ref="D86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864" s="79" t="str" cm="1">
        <f t="array" ref="E86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864" s="80" t="str" cm="1">
        <f t="array" ref="F86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864" s="80" t="str" cm="1">
        <f t="array" ref="G86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864" s="80" t="str" cm="1">
        <f t="array" ref="H86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864" s="78" t="str" cm="1">
        <f t="array" ref="I86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865" spans="1:9" hidden="1" x14ac:dyDescent="0.3">
      <c r="A865" s="82" t="str" cm="1">
        <f t="array" ref="A86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865" s="79" t="str" cm="1">
        <f t="array" ref="B86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865" s="108" t="str" cm="1">
        <f t="array" ref="C86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865" s="79" t="str" cm="1">
        <f t="array" ref="D86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865" s="79" t="str" cm="1">
        <f t="array" ref="E86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865" s="80" t="str" cm="1">
        <f t="array" ref="F86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865" s="80" t="str" cm="1">
        <f t="array" ref="G86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865" s="80" t="str" cm="1">
        <f t="array" ref="H86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865" s="78" t="str" cm="1">
        <f t="array" ref="I86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866" spans="1:9" hidden="1" x14ac:dyDescent="0.3">
      <c r="A866" s="82" t="str" cm="1">
        <f t="array" ref="A86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866" s="79" t="str" cm="1">
        <f t="array" ref="B86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866" s="108" t="str" cm="1">
        <f t="array" ref="C86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866" s="79" t="str" cm="1">
        <f t="array" ref="D86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866" s="79" t="str" cm="1">
        <f t="array" ref="E86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866" s="80" t="str" cm="1">
        <f t="array" ref="F86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866" s="80" t="str" cm="1">
        <f t="array" ref="G86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866" s="80" t="str" cm="1">
        <f t="array" ref="H86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866" s="78" t="str" cm="1">
        <f t="array" ref="I86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867" spans="1:9" hidden="1" x14ac:dyDescent="0.3">
      <c r="A867" s="82" t="str" cm="1">
        <f t="array" ref="A86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867" s="79" t="str" cm="1">
        <f t="array" ref="B86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867" s="108" t="str" cm="1">
        <f t="array" ref="C86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867" s="79" t="str" cm="1">
        <f t="array" ref="D86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867" s="79" t="str" cm="1">
        <f t="array" ref="E86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867" s="80" t="str" cm="1">
        <f t="array" ref="F86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867" s="80" t="str" cm="1">
        <f t="array" ref="G86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867" s="80" t="str" cm="1">
        <f t="array" ref="H86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867" s="78" t="str" cm="1">
        <f t="array" ref="I86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868" spans="1:9" hidden="1" x14ac:dyDescent="0.3">
      <c r="A868" s="82" t="str" cm="1">
        <f t="array" ref="A86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868" s="79" t="str" cm="1">
        <f t="array" ref="B86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868" s="108" t="str" cm="1">
        <f t="array" ref="C86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868" s="79" t="str" cm="1">
        <f t="array" ref="D86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868" s="79" t="str" cm="1">
        <f t="array" ref="E86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868" s="80" t="str" cm="1">
        <f t="array" ref="F86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868" s="80" t="str" cm="1">
        <f t="array" ref="G86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868" s="80" t="str" cm="1">
        <f t="array" ref="H86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868" s="78" t="str" cm="1">
        <f t="array" ref="I86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869" spans="1:9" hidden="1" x14ac:dyDescent="0.3">
      <c r="A869" s="82" t="str" cm="1">
        <f t="array" ref="A86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869" s="79" t="str" cm="1">
        <f t="array" ref="B86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869" s="108" t="str" cm="1">
        <f t="array" ref="C86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869" s="79" t="str" cm="1">
        <f t="array" ref="D86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869" s="79" t="str" cm="1">
        <f t="array" ref="E86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869" s="80" t="str" cm="1">
        <f t="array" ref="F86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869" s="80" t="str" cm="1">
        <f t="array" ref="G86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869" s="80" t="str" cm="1">
        <f t="array" ref="H86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869" s="78" t="str" cm="1">
        <f t="array" ref="I86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870" spans="1:9" hidden="1" x14ac:dyDescent="0.3">
      <c r="A870" s="82" t="str" cm="1">
        <f t="array" ref="A87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870" s="79" t="str" cm="1">
        <f t="array" ref="B87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870" s="108" t="str" cm="1">
        <f t="array" ref="C87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870" s="79" t="str" cm="1">
        <f t="array" ref="D87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870" s="79" t="str" cm="1">
        <f t="array" ref="E87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870" s="80" t="str" cm="1">
        <f t="array" ref="F87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870" s="80" t="str" cm="1">
        <f t="array" ref="G87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870" s="80" t="str" cm="1">
        <f t="array" ref="H87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870" s="78" t="str" cm="1">
        <f t="array" ref="I87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871" spans="1:9" hidden="1" x14ac:dyDescent="0.3">
      <c r="A871" s="82" t="str" cm="1">
        <f t="array" ref="A87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871" s="79" t="str" cm="1">
        <f t="array" ref="B87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871" s="108" t="str" cm="1">
        <f t="array" ref="C87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871" s="79" t="str" cm="1">
        <f t="array" ref="D87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871" s="79" t="str" cm="1">
        <f t="array" ref="E87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871" s="80" t="str" cm="1">
        <f t="array" ref="F87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871" s="80" t="str" cm="1">
        <f t="array" ref="G87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871" s="80" t="str" cm="1">
        <f t="array" ref="H87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871" s="78" t="str" cm="1">
        <f t="array" ref="I87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872" spans="1:9" hidden="1" x14ac:dyDescent="0.3">
      <c r="A872" s="82" t="str" cm="1">
        <f t="array" ref="A87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872" s="79" t="str" cm="1">
        <f t="array" ref="B87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872" s="108" t="str" cm="1">
        <f t="array" ref="C87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872" s="79" t="str" cm="1">
        <f t="array" ref="D87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872" s="79" t="str" cm="1">
        <f t="array" ref="E87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872" s="80" t="str" cm="1">
        <f t="array" ref="F87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872" s="80" t="str" cm="1">
        <f t="array" ref="G87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872" s="80" t="str" cm="1">
        <f t="array" ref="H87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872" s="78" t="str" cm="1">
        <f t="array" ref="I87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873" spans="1:9" hidden="1" x14ac:dyDescent="0.3">
      <c r="A873" s="82" t="str" cm="1">
        <f t="array" ref="A87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873" s="79" t="str" cm="1">
        <f t="array" ref="B87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873" s="108" t="str" cm="1">
        <f t="array" ref="C87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873" s="79" t="str" cm="1">
        <f t="array" ref="D87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873" s="79" t="str" cm="1">
        <f t="array" ref="E87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873" s="80" t="str" cm="1">
        <f t="array" ref="F87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873" s="80" t="str" cm="1">
        <f t="array" ref="G87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873" s="80" t="str" cm="1">
        <f t="array" ref="H87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873" s="78" t="str" cm="1">
        <f t="array" ref="I87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874" spans="1:9" hidden="1" x14ac:dyDescent="0.3">
      <c r="A874" s="82" t="str" cm="1">
        <f t="array" ref="A87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874" s="79" t="str" cm="1">
        <f t="array" ref="B87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874" s="108" t="str" cm="1">
        <f t="array" ref="C87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874" s="79" t="str" cm="1">
        <f t="array" ref="D87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874" s="79" t="str" cm="1">
        <f t="array" ref="E87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874" s="80" t="str" cm="1">
        <f t="array" ref="F87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874" s="80" t="str" cm="1">
        <f t="array" ref="G87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874" s="80" t="str" cm="1">
        <f t="array" ref="H87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874" s="78" t="str" cm="1">
        <f t="array" ref="I87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875" spans="1:9" hidden="1" x14ac:dyDescent="0.3">
      <c r="A875" s="82" t="str" cm="1">
        <f t="array" ref="A87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875" s="79" t="str" cm="1">
        <f t="array" ref="B87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875" s="108" t="str" cm="1">
        <f t="array" ref="C87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875" s="79" t="str" cm="1">
        <f t="array" ref="D87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875" s="79" t="str" cm="1">
        <f t="array" ref="E87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875" s="80" t="str" cm="1">
        <f t="array" ref="F87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875" s="80" t="str" cm="1">
        <f t="array" ref="G87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875" s="80" t="str" cm="1">
        <f t="array" ref="H87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875" s="78" t="str" cm="1">
        <f t="array" ref="I87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876" spans="1:9" hidden="1" x14ac:dyDescent="0.3">
      <c r="A876" s="82" t="str" cm="1">
        <f t="array" ref="A87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876" s="79" t="str" cm="1">
        <f t="array" ref="B87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876" s="108" t="str" cm="1">
        <f t="array" ref="C87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876" s="79" t="str" cm="1">
        <f t="array" ref="D87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876" s="79" t="str" cm="1">
        <f t="array" ref="E87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876" s="80" t="str" cm="1">
        <f t="array" ref="F87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876" s="80" t="str" cm="1">
        <f t="array" ref="G87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876" s="80" t="str" cm="1">
        <f t="array" ref="H87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876" s="78" t="str" cm="1">
        <f t="array" ref="I87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877" spans="1:9" hidden="1" x14ac:dyDescent="0.3">
      <c r="A877" s="82" t="str" cm="1">
        <f t="array" ref="A87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877" s="79" t="str" cm="1">
        <f t="array" ref="B87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877" s="108" t="str" cm="1">
        <f t="array" ref="C87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877" s="79" t="str" cm="1">
        <f t="array" ref="D87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877" s="79" t="str" cm="1">
        <f t="array" ref="E87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877" s="80" t="str" cm="1">
        <f t="array" ref="F87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877" s="80" t="str" cm="1">
        <f t="array" ref="G87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877" s="80" t="str" cm="1">
        <f t="array" ref="H87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877" s="78" t="str" cm="1">
        <f t="array" ref="I87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878" spans="1:9" hidden="1" x14ac:dyDescent="0.3">
      <c r="A878" s="82" t="str" cm="1">
        <f t="array" ref="A87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878" s="79" t="str" cm="1">
        <f t="array" ref="B87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878" s="108" t="str" cm="1">
        <f t="array" ref="C87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878" s="79" t="str" cm="1">
        <f t="array" ref="D87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878" s="79" t="str" cm="1">
        <f t="array" ref="E87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878" s="80" t="str" cm="1">
        <f t="array" ref="F87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878" s="80" t="str" cm="1">
        <f t="array" ref="G87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878" s="80" t="str" cm="1">
        <f t="array" ref="H87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878" s="78" t="str" cm="1">
        <f t="array" ref="I87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879" spans="1:9" hidden="1" x14ac:dyDescent="0.3">
      <c r="A879" s="82" t="str" cm="1">
        <f t="array" ref="A87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879" s="79" t="str" cm="1">
        <f t="array" ref="B87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879" s="108" t="str" cm="1">
        <f t="array" ref="C87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879" s="79" t="str" cm="1">
        <f t="array" ref="D87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879" s="79" t="str" cm="1">
        <f t="array" ref="E87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879" s="80" t="str" cm="1">
        <f t="array" ref="F87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879" s="80" t="str" cm="1">
        <f t="array" ref="G87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879" s="80" t="str" cm="1">
        <f t="array" ref="H87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879" s="78" t="str" cm="1">
        <f t="array" ref="I87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880" spans="1:9" hidden="1" x14ac:dyDescent="0.3">
      <c r="A880" s="82" t="str" cm="1">
        <f t="array" ref="A88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880" s="79" t="str" cm="1">
        <f t="array" ref="B88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880" s="108" t="str" cm="1">
        <f t="array" ref="C88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880" s="79" t="str" cm="1">
        <f t="array" ref="D88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880" s="79" t="str" cm="1">
        <f t="array" ref="E88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880" s="80" t="str" cm="1">
        <f t="array" ref="F88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880" s="80" t="str" cm="1">
        <f t="array" ref="G88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880" s="80" t="str" cm="1">
        <f t="array" ref="H88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880" s="78" t="str" cm="1">
        <f t="array" ref="I88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881" spans="1:9" hidden="1" x14ac:dyDescent="0.3">
      <c r="A881" s="82" t="str" cm="1">
        <f t="array" ref="A88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881" s="79" t="str" cm="1">
        <f t="array" ref="B88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881" s="108" t="str" cm="1">
        <f t="array" ref="C88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881" s="79" t="str" cm="1">
        <f t="array" ref="D88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881" s="79" t="str" cm="1">
        <f t="array" ref="E88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881" s="80" t="str" cm="1">
        <f t="array" ref="F88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881" s="80" t="str" cm="1">
        <f t="array" ref="G88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881" s="80" t="str" cm="1">
        <f t="array" ref="H88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881" s="78" t="str" cm="1">
        <f t="array" ref="I88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882" spans="1:9" hidden="1" x14ac:dyDescent="0.3">
      <c r="A882" s="82" t="str" cm="1">
        <f t="array" ref="A88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882" s="79" t="str" cm="1">
        <f t="array" ref="B88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882" s="108" t="str" cm="1">
        <f t="array" ref="C88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882" s="79" t="str" cm="1">
        <f t="array" ref="D88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882" s="79" t="str" cm="1">
        <f t="array" ref="E88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882" s="80" t="str" cm="1">
        <f t="array" ref="F88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882" s="80" t="str" cm="1">
        <f t="array" ref="G88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882" s="80" t="str" cm="1">
        <f t="array" ref="H88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882" s="78" t="str" cm="1">
        <f t="array" ref="I88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883" spans="1:9" hidden="1" x14ac:dyDescent="0.3">
      <c r="A883" s="82" t="str" cm="1">
        <f t="array" ref="A88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883" s="79" t="str" cm="1">
        <f t="array" ref="B88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883" s="108" t="str" cm="1">
        <f t="array" ref="C88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883" s="79" t="str" cm="1">
        <f t="array" ref="D88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883" s="79" t="str" cm="1">
        <f t="array" ref="E88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883" s="80" t="str" cm="1">
        <f t="array" ref="F88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883" s="80" t="str" cm="1">
        <f t="array" ref="G88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883" s="80" t="str" cm="1">
        <f t="array" ref="H88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883" s="78" t="str" cm="1">
        <f t="array" ref="I88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884" spans="1:9" hidden="1" x14ac:dyDescent="0.3">
      <c r="A884" s="82" t="str" cm="1">
        <f t="array" ref="A88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884" s="79" t="str" cm="1">
        <f t="array" ref="B88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884" s="108" t="str" cm="1">
        <f t="array" ref="C88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884" s="79" t="str" cm="1">
        <f t="array" ref="D88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884" s="79" t="str" cm="1">
        <f t="array" ref="E88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884" s="80" t="str" cm="1">
        <f t="array" ref="F88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884" s="80" t="str" cm="1">
        <f t="array" ref="G88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884" s="80" t="str" cm="1">
        <f t="array" ref="H88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884" s="78" t="str" cm="1">
        <f t="array" ref="I88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885" spans="1:9" hidden="1" x14ac:dyDescent="0.3">
      <c r="A885" s="82" t="str" cm="1">
        <f t="array" ref="A88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885" s="79" t="str" cm="1">
        <f t="array" ref="B88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885" s="108" t="str" cm="1">
        <f t="array" ref="C88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885" s="79" t="str" cm="1">
        <f t="array" ref="D88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885" s="79" t="str" cm="1">
        <f t="array" ref="E88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885" s="80" t="str" cm="1">
        <f t="array" ref="F88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885" s="80" t="str" cm="1">
        <f t="array" ref="G88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885" s="80" t="str" cm="1">
        <f t="array" ref="H88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885" s="78" t="str" cm="1">
        <f t="array" ref="I88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886" spans="1:9" hidden="1" x14ac:dyDescent="0.3">
      <c r="A886" s="82" t="str" cm="1">
        <f t="array" ref="A88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886" s="79" t="str" cm="1">
        <f t="array" ref="B88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886" s="108" t="str" cm="1">
        <f t="array" ref="C88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886" s="79" t="str" cm="1">
        <f t="array" ref="D88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886" s="79" t="str" cm="1">
        <f t="array" ref="E88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886" s="80" t="str" cm="1">
        <f t="array" ref="F88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886" s="80" t="str" cm="1">
        <f t="array" ref="G88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886" s="80" t="str" cm="1">
        <f t="array" ref="H88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886" s="78" t="str" cm="1">
        <f t="array" ref="I88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887" spans="1:9" hidden="1" x14ac:dyDescent="0.3">
      <c r="A887" s="82" t="str" cm="1">
        <f t="array" ref="A88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887" s="79" t="str" cm="1">
        <f t="array" ref="B88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887" s="108" t="str" cm="1">
        <f t="array" ref="C88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887" s="79" t="str" cm="1">
        <f t="array" ref="D88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887" s="79" t="str" cm="1">
        <f t="array" ref="E88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887" s="80" t="str" cm="1">
        <f t="array" ref="F88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887" s="80" t="str" cm="1">
        <f t="array" ref="G88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887" s="80" t="str" cm="1">
        <f t="array" ref="H88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887" s="78" t="str" cm="1">
        <f t="array" ref="I88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888" spans="1:9" hidden="1" x14ac:dyDescent="0.3">
      <c r="A888" s="82" t="str" cm="1">
        <f t="array" ref="A88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888" s="79" t="str" cm="1">
        <f t="array" ref="B88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888" s="108" t="str" cm="1">
        <f t="array" ref="C88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888" s="79" t="str" cm="1">
        <f t="array" ref="D88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888" s="79" t="str" cm="1">
        <f t="array" ref="E88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888" s="80" t="str" cm="1">
        <f t="array" ref="F88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888" s="80" t="str" cm="1">
        <f t="array" ref="G88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888" s="80" t="str" cm="1">
        <f t="array" ref="H88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888" s="78" t="str" cm="1">
        <f t="array" ref="I88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889" spans="1:9" hidden="1" x14ac:dyDescent="0.3">
      <c r="A889" s="82" t="str" cm="1">
        <f t="array" ref="A88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889" s="79" t="str" cm="1">
        <f t="array" ref="B88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889" s="108" t="str" cm="1">
        <f t="array" ref="C88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889" s="79" t="str" cm="1">
        <f t="array" ref="D88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889" s="79" t="str" cm="1">
        <f t="array" ref="E88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889" s="80" t="str" cm="1">
        <f t="array" ref="F88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889" s="80" t="str" cm="1">
        <f t="array" ref="G88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889" s="80" t="str" cm="1">
        <f t="array" ref="H88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889" s="78" t="str" cm="1">
        <f t="array" ref="I88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890" spans="1:9" hidden="1" x14ac:dyDescent="0.3">
      <c r="A890" s="82" t="str" cm="1">
        <f t="array" ref="A89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890" s="79" t="str" cm="1">
        <f t="array" ref="B89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890" s="108" t="str" cm="1">
        <f t="array" ref="C89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890" s="79" t="str" cm="1">
        <f t="array" ref="D89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890" s="79" t="str" cm="1">
        <f t="array" ref="E89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890" s="80" t="str" cm="1">
        <f t="array" ref="F89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890" s="80" t="str" cm="1">
        <f t="array" ref="G89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890" s="80" t="str" cm="1">
        <f t="array" ref="H89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890" s="78" t="str" cm="1">
        <f t="array" ref="I89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891" spans="1:9" hidden="1" x14ac:dyDescent="0.3">
      <c r="A891" s="82" t="str" cm="1">
        <f t="array" ref="A89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891" s="79" t="str" cm="1">
        <f t="array" ref="B89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891" s="108" t="str" cm="1">
        <f t="array" ref="C89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891" s="79" t="str" cm="1">
        <f t="array" ref="D89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891" s="79" t="str" cm="1">
        <f t="array" ref="E89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891" s="80" t="str" cm="1">
        <f t="array" ref="F89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891" s="80" t="str" cm="1">
        <f t="array" ref="G89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891" s="80" t="str" cm="1">
        <f t="array" ref="H89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891" s="78" t="str" cm="1">
        <f t="array" ref="I89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892" spans="1:9" hidden="1" x14ac:dyDescent="0.3">
      <c r="A892" s="82" t="str" cm="1">
        <f t="array" ref="A89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892" s="79" t="str" cm="1">
        <f t="array" ref="B89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892" s="108" t="str" cm="1">
        <f t="array" ref="C89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892" s="79" t="str" cm="1">
        <f t="array" ref="D89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892" s="79" t="str" cm="1">
        <f t="array" ref="E89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892" s="80" t="str" cm="1">
        <f t="array" ref="F89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892" s="80" t="str" cm="1">
        <f t="array" ref="G89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892" s="80" t="str" cm="1">
        <f t="array" ref="H89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892" s="78" t="str" cm="1">
        <f t="array" ref="I89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893" spans="1:9" hidden="1" x14ac:dyDescent="0.3">
      <c r="A893" s="82" t="str" cm="1">
        <f t="array" ref="A89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893" s="79" t="str" cm="1">
        <f t="array" ref="B89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893" s="108" t="str" cm="1">
        <f t="array" ref="C89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893" s="79" t="str" cm="1">
        <f t="array" ref="D89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893" s="79" t="str" cm="1">
        <f t="array" ref="E89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893" s="80" t="str" cm="1">
        <f t="array" ref="F89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893" s="80" t="str" cm="1">
        <f t="array" ref="G89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893" s="80" t="str" cm="1">
        <f t="array" ref="H89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893" s="78" t="str" cm="1">
        <f t="array" ref="I89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894" spans="1:9" hidden="1" x14ac:dyDescent="0.3">
      <c r="A894" s="82" t="str" cm="1">
        <f t="array" ref="A89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894" s="79" t="str" cm="1">
        <f t="array" ref="B89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894" s="108" t="str" cm="1">
        <f t="array" ref="C89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894" s="79" t="str" cm="1">
        <f t="array" ref="D89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894" s="79" t="str" cm="1">
        <f t="array" ref="E89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894" s="80" t="str" cm="1">
        <f t="array" ref="F89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894" s="80" t="str" cm="1">
        <f t="array" ref="G89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894" s="80" t="str" cm="1">
        <f t="array" ref="H89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894" s="78" t="str" cm="1">
        <f t="array" ref="I89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895" spans="1:9" hidden="1" x14ac:dyDescent="0.3">
      <c r="A895" s="82" t="str" cm="1">
        <f t="array" ref="A89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895" s="79" t="str" cm="1">
        <f t="array" ref="B89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895" s="108" t="str" cm="1">
        <f t="array" ref="C89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895" s="79" t="str" cm="1">
        <f t="array" ref="D89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895" s="79" t="str" cm="1">
        <f t="array" ref="E89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895" s="80" t="str" cm="1">
        <f t="array" ref="F89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895" s="80" t="str" cm="1">
        <f t="array" ref="G89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895" s="80" t="str" cm="1">
        <f t="array" ref="H89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895" s="78" t="str" cm="1">
        <f t="array" ref="I89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896" spans="1:9" hidden="1" x14ac:dyDescent="0.3">
      <c r="A896" s="82" t="str" cm="1">
        <f t="array" ref="A89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896" s="79" t="str" cm="1">
        <f t="array" ref="B89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896" s="108" t="str" cm="1">
        <f t="array" ref="C89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896" s="79" t="str" cm="1">
        <f t="array" ref="D89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896" s="79" t="str" cm="1">
        <f t="array" ref="E89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896" s="80" t="str" cm="1">
        <f t="array" ref="F89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896" s="80" t="str" cm="1">
        <f t="array" ref="G89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896" s="80" t="str" cm="1">
        <f t="array" ref="H89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896" s="78" t="str" cm="1">
        <f t="array" ref="I89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897" spans="1:9" hidden="1" x14ac:dyDescent="0.3">
      <c r="A897" s="82" t="str" cm="1">
        <f t="array" ref="A89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897" s="79" t="str" cm="1">
        <f t="array" ref="B89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897" s="108" t="str" cm="1">
        <f t="array" ref="C89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897" s="79" t="str" cm="1">
        <f t="array" ref="D89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897" s="79" t="str" cm="1">
        <f t="array" ref="E89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897" s="80" t="str" cm="1">
        <f t="array" ref="F89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897" s="80" t="str" cm="1">
        <f t="array" ref="G89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897" s="80" t="str" cm="1">
        <f t="array" ref="H89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897" s="78" t="str" cm="1">
        <f t="array" ref="I89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898" spans="1:9" hidden="1" x14ac:dyDescent="0.3">
      <c r="A898" s="82" t="str" cm="1">
        <f t="array" ref="A89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898" s="79" t="str" cm="1">
        <f t="array" ref="B89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898" s="108" t="str" cm="1">
        <f t="array" ref="C89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898" s="79" t="str" cm="1">
        <f t="array" ref="D89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898" s="79" t="str" cm="1">
        <f t="array" ref="E89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898" s="80" t="str" cm="1">
        <f t="array" ref="F89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898" s="80" t="str" cm="1">
        <f t="array" ref="G89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898" s="80" t="str" cm="1">
        <f t="array" ref="H89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898" s="78" t="str" cm="1">
        <f t="array" ref="I89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899" spans="1:9" hidden="1" x14ac:dyDescent="0.3">
      <c r="A899" s="82" t="str" cm="1">
        <f t="array" ref="A89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899" s="79" t="str" cm="1">
        <f t="array" ref="B89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899" s="108" t="str" cm="1">
        <f t="array" ref="C89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899" s="79" t="str" cm="1">
        <f t="array" ref="D89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899" s="79" t="str" cm="1">
        <f t="array" ref="E89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899" s="80" t="str" cm="1">
        <f t="array" ref="F89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899" s="80" t="str" cm="1">
        <f t="array" ref="G89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899" s="80" t="str" cm="1">
        <f t="array" ref="H89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899" s="78" t="str" cm="1">
        <f t="array" ref="I89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900" spans="1:9" hidden="1" x14ac:dyDescent="0.3">
      <c r="A900" s="82" t="str" cm="1">
        <f t="array" ref="A90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900" s="79" t="str" cm="1">
        <f t="array" ref="B90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900" s="108" t="str" cm="1">
        <f t="array" ref="C90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900" s="79" t="str" cm="1">
        <f t="array" ref="D90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900" s="79" t="str" cm="1">
        <f t="array" ref="E90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900" s="80" t="str" cm="1">
        <f t="array" ref="F90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900" s="80" t="str" cm="1">
        <f t="array" ref="G90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900" s="80" t="str" cm="1">
        <f t="array" ref="H90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900" s="78" t="str" cm="1">
        <f t="array" ref="I90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901" spans="1:9" hidden="1" x14ac:dyDescent="0.3">
      <c r="A901" s="82" t="str" cm="1">
        <f t="array" ref="A90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901" s="79" t="str" cm="1">
        <f t="array" ref="B90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901" s="108" t="str" cm="1">
        <f t="array" ref="C90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901" s="79" t="str" cm="1">
        <f t="array" ref="D90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901" s="79" t="str" cm="1">
        <f t="array" ref="E90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901" s="80" t="str" cm="1">
        <f t="array" ref="F90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901" s="80" t="str" cm="1">
        <f t="array" ref="G90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901" s="80" t="str" cm="1">
        <f t="array" ref="H90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901" s="78" t="str" cm="1">
        <f t="array" ref="I90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902" spans="1:9" hidden="1" x14ac:dyDescent="0.3">
      <c r="A902" s="82" t="str" cm="1">
        <f t="array" ref="A90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902" s="79" t="str" cm="1">
        <f t="array" ref="B90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902" s="108" t="str" cm="1">
        <f t="array" ref="C90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902" s="79" t="str" cm="1">
        <f t="array" ref="D90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902" s="79" t="str" cm="1">
        <f t="array" ref="E90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902" s="80" t="str" cm="1">
        <f t="array" ref="F90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902" s="80" t="str" cm="1">
        <f t="array" ref="G90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902" s="80" t="str" cm="1">
        <f t="array" ref="H90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902" s="78" t="str" cm="1">
        <f t="array" ref="I90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903" spans="1:9" hidden="1" x14ac:dyDescent="0.3">
      <c r="A903" s="82" t="str" cm="1">
        <f t="array" ref="A90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903" s="79" t="str" cm="1">
        <f t="array" ref="B90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903" s="108" t="str" cm="1">
        <f t="array" ref="C90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903" s="79" t="str" cm="1">
        <f t="array" ref="D90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903" s="79" t="str" cm="1">
        <f t="array" ref="E90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903" s="80" t="str" cm="1">
        <f t="array" ref="F90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903" s="80" t="str" cm="1">
        <f t="array" ref="G90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903" s="80" t="str" cm="1">
        <f t="array" ref="H90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903" s="78" t="str" cm="1">
        <f t="array" ref="I90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904" spans="1:9" hidden="1" x14ac:dyDescent="0.3">
      <c r="A904" s="82" t="str" cm="1">
        <f t="array" ref="A90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904" s="79" t="str" cm="1">
        <f t="array" ref="B90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904" s="108" t="str" cm="1">
        <f t="array" ref="C90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904" s="79" t="str" cm="1">
        <f t="array" ref="D90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904" s="79" t="str" cm="1">
        <f t="array" ref="E90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904" s="80" t="str" cm="1">
        <f t="array" ref="F90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904" s="80" t="str" cm="1">
        <f t="array" ref="G90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904" s="80" t="str" cm="1">
        <f t="array" ref="H90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904" s="78" t="str" cm="1">
        <f t="array" ref="I90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905" spans="1:9" hidden="1" x14ac:dyDescent="0.3">
      <c r="A905" s="82" t="str" cm="1">
        <f t="array" ref="A90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905" s="79" t="str" cm="1">
        <f t="array" ref="B90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905" s="108" t="str" cm="1">
        <f t="array" ref="C90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905" s="79" t="str" cm="1">
        <f t="array" ref="D90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905" s="79" t="str" cm="1">
        <f t="array" ref="E90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905" s="80" t="str" cm="1">
        <f t="array" ref="F90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905" s="80" t="str" cm="1">
        <f t="array" ref="G90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905" s="80" t="str" cm="1">
        <f t="array" ref="H90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905" s="78" t="str" cm="1">
        <f t="array" ref="I90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906" spans="1:9" hidden="1" x14ac:dyDescent="0.3">
      <c r="A906" s="82" t="str" cm="1">
        <f t="array" ref="A90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906" s="79" t="str" cm="1">
        <f t="array" ref="B90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906" s="108" t="str" cm="1">
        <f t="array" ref="C90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906" s="79" t="str" cm="1">
        <f t="array" ref="D90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906" s="79" t="str" cm="1">
        <f t="array" ref="E90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906" s="80" t="str" cm="1">
        <f t="array" ref="F90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906" s="80" t="str" cm="1">
        <f t="array" ref="G90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906" s="80" t="str" cm="1">
        <f t="array" ref="H90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906" s="78" t="str" cm="1">
        <f t="array" ref="I90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907" spans="1:9" hidden="1" x14ac:dyDescent="0.3">
      <c r="A907" s="82" t="str" cm="1">
        <f t="array" ref="A90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907" s="79" t="str" cm="1">
        <f t="array" ref="B90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907" s="108" t="str" cm="1">
        <f t="array" ref="C90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907" s="79" t="str" cm="1">
        <f t="array" ref="D90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907" s="79" t="str" cm="1">
        <f t="array" ref="E90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907" s="80" t="str" cm="1">
        <f t="array" ref="F90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907" s="80" t="str" cm="1">
        <f t="array" ref="G90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907" s="80" t="str" cm="1">
        <f t="array" ref="H90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907" s="78" t="str" cm="1">
        <f t="array" ref="I90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908" spans="1:9" hidden="1" x14ac:dyDescent="0.3">
      <c r="A908" s="82" t="str" cm="1">
        <f t="array" ref="A90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908" s="79" t="str" cm="1">
        <f t="array" ref="B90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908" s="108" t="str" cm="1">
        <f t="array" ref="C90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908" s="79" t="str" cm="1">
        <f t="array" ref="D90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908" s="79" t="str" cm="1">
        <f t="array" ref="E90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908" s="80" t="str" cm="1">
        <f t="array" ref="F90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908" s="80" t="str" cm="1">
        <f t="array" ref="G90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908" s="80" t="str" cm="1">
        <f t="array" ref="H90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908" s="78" t="str" cm="1">
        <f t="array" ref="I90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909" spans="1:9" hidden="1" x14ac:dyDescent="0.3">
      <c r="A909" s="82" t="str" cm="1">
        <f t="array" ref="A90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909" s="79" t="str" cm="1">
        <f t="array" ref="B90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909" s="108" t="str" cm="1">
        <f t="array" ref="C90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909" s="79" t="str" cm="1">
        <f t="array" ref="D90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909" s="79" t="str" cm="1">
        <f t="array" ref="E90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909" s="80" t="str" cm="1">
        <f t="array" ref="F90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909" s="80" t="str" cm="1">
        <f t="array" ref="G90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909" s="80" t="str" cm="1">
        <f t="array" ref="H90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909" s="78" t="str" cm="1">
        <f t="array" ref="I90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910" spans="1:9" hidden="1" x14ac:dyDescent="0.3">
      <c r="A910" s="82" t="str" cm="1">
        <f t="array" ref="A91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910" s="79" t="str" cm="1">
        <f t="array" ref="B91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910" s="108" t="str" cm="1">
        <f t="array" ref="C91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910" s="79" t="str" cm="1">
        <f t="array" ref="D91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910" s="79" t="str" cm="1">
        <f t="array" ref="E91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910" s="80" t="str" cm="1">
        <f t="array" ref="F91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910" s="80" t="str" cm="1">
        <f t="array" ref="G91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910" s="80" t="str" cm="1">
        <f t="array" ref="H91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910" s="78" t="str" cm="1">
        <f t="array" ref="I91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911" spans="1:9" hidden="1" x14ac:dyDescent="0.3">
      <c r="A911" s="82" t="str" cm="1">
        <f t="array" ref="A91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911" s="79" t="str" cm="1">
        <f t="array" ref="B91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911" s="108" t="str" cm="1">
        <f t="array" ref="C91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911" s="79" t="str" cm="1">
        <f t="array" ref="D91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911" s="79" t="str" cm="1">
        <f t="array" ref="E91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911" s="80" t="str" cm="1">
        <f t="array" ref="F91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911" s="80" t="str" cm="1">
        <f t="array" ref="G91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911" s="80" t="str" cm="1">
        <f t="array" ref="H91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911" s="78" t="str" cm="1">
        <f t="array" ref="I91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912" spans="1:9" hidden="1" x14ac:dyDescent="0.3">
      <c r="A912" s="82" t="str" cm="1">
        <f t="array" ref="A91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912" s="79" t="str" cm="1">
        <f t="array" ref="B91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912" s="108" t="str" cm="1">
        <f t="array" ref="C91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912" s="79" t="str" cm="1">
        <f t="array" ref="D91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912" s="79" t="str" cm="1">
        <f t="array" ref="E91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912" s="80" t="str" cm="1">
        <f t="array" ref="F91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912" s="80" t="str" cm="1">
        <f t="array" ref="G91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912" s="80" t="str" cm="1">
        <f t="array" ref="H91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912" s="78" t="str" cm="1">
        <f t="array" ref="I91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913" spans="1:9" hidden="1" x14ac:dyDescent="0.3">
      <c r="A913" s="82" t="str" cm="1">
        <f t="array" ref="A91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913" s="79" t="str" cm="1">
        <f t="array" ref="B91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913" s="108" t="str" cm="1">
        <f t="array" ref="C91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913" s="79" t="str" cm="1">
        <f t="array" ref="D91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913" s="79" t="str" cm="1">
        <f t="array" ref="E91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913" s="80" t="str" cm="1">
        <f t="array" ref="F91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913" s="80" t="str" cm="1">
        <f t="array" ref="G91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913" s="80" t="str" cm="1">
        <f t="array" ref="H91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913" s="78" t="str" cm="1">
        <f t="array" ref="I91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914" spans="1:9" hidden="1" x14ac:dyDescent="0.3">
      <c r="A914" s="82" t="str" cm="1">
        <f t="array" ref="A91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914" s="79" t="str" cm="1">
        <f t="array" ref="B91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914" s="108" t="str" cm="1">
        <f t="array" ref="C91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914" s="79" t="str" cm="1">
        <f t="array" ref="D91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914" s="79" t="str" cm="1">
        <f t="array" ref="E91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914" s="80" t="str" cm="1">
        <f t="array" ref="F91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914" s="80" t="str" cm="1">
        <f t="array" ref="G91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914" s="80" t="str" cm="1">
        <f t="array" ref="H91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914" s="78" t="str" cm="1">
        <f t="array" ref="I91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915" spans="1:9" hidden="1" x14ac:dyDescent="0.3">
      <c r="A915" s="82" t="str" cm="1">
        <f t="array" ref="A91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915" s="79" t="str" cm="1">
        <f t="array" ref="B91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915" s="108" t="str" cm="1">
        <f t="array" ref="C91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915" s="79" t="str" cm="1">
        <f t="array" ref="D91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915" s="79" t="str" cm="1">
        <f t="array" ref="E91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915" s="80" t="str" cm="1">
        <f t="array" ref="F91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915" s="80" t="str" cm="1">
        <f t="array" ref="G91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915" s="80" t="str" cm="1">
        <f t="array" ref="H91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915" s="78" t="str" cm="1">
        <f t="array" ref="I91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916" spans="1:9" hidden="1" x14ac:dyDescent="0.3">
      <c r="A916" s="82" t="str" cm="1">
        <f t="array" ref="A91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916" s="79" t="str" cm="1">
        <f t="array" ref="B91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916" s="108" t="str" cm="1">
        <f t="array" ref="C91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916" s="79" t="str" cm="1">
        <f t="array" ref="D91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916" s="79" t="str" cm="1">
        <f t="array" ref="E91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916" s="80" t="str" cm="1">
        <f t="array" ref="F91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916" s="80" t="str" cm="1">
        <f t="array" ref="G91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916" s="80" t="str" cm="1">
        <f t="array" ref="H91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916" s="78" t="str" cm="1">
        <f t="array" ref="I91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917" spans="1:9" hidden="1" x14ac:dyDescent="0.3">
      <c r="A917" s="82" t="str" cm="1">
        <f t="array" ref="A91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917" s="79" t="str" cm="1">
        <f t="array" ref="B91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917" s="108" t="str" cm="1">
        <f t="array" ref="C91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917" s="79" t="str" cm="1">
        <f t="array" ref="D91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917" s="79" t="str" cm="1">
        <f t="array" ref="E91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917" s="80" t="str" cm="1">
        <f t="array" ref="F91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917" s="80" t="str" cm="1">
        <f t="array" ref="G91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917" s="80" t="str" cm="1">
        <f t="array" ref="H91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917" s="78" t="str" cm="1">
        <f t="array" ref="I91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918" spans="1:9" hidden="1" x14ac:dyDescent="0.3">
      <c r="A918" s="82" t="str" cm="1">
        <f t="array" ref="A91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918" s="79" t="str" cm="1">
        <f t="array" ref="B91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918" s="108" t="str" cm="1">
        <f t="array" ref="C91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918" s="79" t="str" cm="1">
        <f t="array" ref="D91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918" s="79" t="str" cm="1">
        <f t="array" ref="E91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918" s="80" t="str" cm="1">
        <f t="array" ref="F91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918" s="80" t="str" cm="1">
        <f t="array" ref="G91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918" s="80" t="str" cm="1">
        <f t="array" ref="H91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918" s="78" t="str" cm="1">
        <f t="array" ref="I91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919" spans="1:9" hidden="1" x14ac:dyDescent="0.3">
      <c r="A919" s="82" t="str" cm="1">
        <f t="array" ref="A91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919" s="79" t="str" cm="1">
        <f t="array" ref="B91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919" s="108" t="str" cm="1">
        <f t="array" ref="C91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919" s="79" t="str" cm="1">
        <f t="array" ref="D91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919" s="79" t="str" cm="1">
        <f t="array" ref="E91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919" s="80" t="str" cm="1">
        <f t="array" ref="F91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919" s="80" t="str" cm="1">
        <f t="array" ref="G91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919" s="80" t="str" cm="1">
        <f t="array" ref="H91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919" s="78" t="str" cm="1">
        <f t="array" ref="I91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920" spans="1:9" hidden="1" x14ac:dyDescent="0.3">
      <c r="A920" s="82" t="str" cm="1">
        <f t="array" ref="A92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920" s="79" t="str" cm="1">
        <f t="array" ref="B92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920" s="108" t="str" cm="1">
        <f t="array" ref="C92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920" s="79" t="str" cm="1">
        <f t="array" ref="D92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920" s="79" t="str" cm="1">
        <f t="array" ref="E92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920" s="80" t="str" cm="1">
        <f t="array" ref="F92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920" s="80" t="str" cm="1">
        <f t="array" ref="G92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920" s="80" t="str" cm="1">
        <f t="array" ref="H92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920" s="78" t="str" cm="1">
        <f t="array" ref="I92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921" spans="1:9" hidden="1" x14ac:dyDescent="0.3">
      <c r="A921" s="82" t="str" cm="1">
        <f t="array" ref="A92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921" s="79" t="str" cm="1">
        <f t="array" ref="B92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921" s="108" t="str" cm="1">
        <f t="array" ref="C92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921" s="79" t="str" cm="1">
        <f t="array" ref="D92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921" s="79" t="str" cm="1">
        <f t="array" ref="E92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921" s="80" t="str" cm="1">
        <f t="array" ref="F92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921" s="80" t="str" cm="1">
        <f t="array" ref="G92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921" s="80" t="str" cm="1">
        <f t="array" ref="H92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921" s="78" t="str" cm="1">
        <f t="array" ref="I92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922" spans="1:9" hidden="1" x14ac:dyDescent="0.3">
      <c r="A922" s="82" t="str" cm="1">
        <f t="array" ref="A92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922" s="79" t="str" cm="1">
        <f t="array" ref="B92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922" s="108" t="str" cm="1">
        <f t="array" ref="C92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922" s="79" t="str" cm="1">
        <f t="array" ref="D92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922" s="79" t="str" cm="1">
        <f t="array" ref="E92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922" s="80" t="str" cm="1">
        <f t="array" ref="F92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922" s="80" t="str" cm="1">
        <f t="array" ref="G92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922" s="80" t="str" cm="1">
        <f t="array" ref="H92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922" s="78" t="str" cm="1">
        <f t="array" ref="I92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923" spans="1:9" hidden="1" x14ac:dyDescent="0.3">
      <c r="A923" s="82" t="str" cm="1">
        <f t="array" ref="A92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923" s="79" t="str" cm="1">
        <f t="array" ref="B92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923" s="108" t="str" cm="1">
        <f t="array" ref="C92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923" s="79" t="str" cm="1">
        <f t="array" ref="D92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923" s="79" t="str" cm="1">
        <f t="array" ref="E92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923" s="80" t="str" cm="1">
        <f t="array" ref="F92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923" s="80" t="str" cm="1">
        <f t="array" ref="G92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923" s="80" t="str" cm="1">
        <f t="array" ref="H92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923" s="78" t="str" cm="1">
        <f t="array" ref="I92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924" spans="1:9" hidden="1" x14ac:dyDescent="0.3">
      <c r="A924" s="82" t="str" cm="1">
        <f t="array" ref="A92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924" s="79" t="str" cm="1">
        <f t="array" ref="B92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924" s="108" t="str" cm="1">
        <f t="array" ref="C92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924" s="79" t="str" cm="1">
        <f t="array" ref="D92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924" s="79" t="str" cm="1">
        <f t="array" ref="E92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924" s="80" t="str" cm="1">
        <f t="array" ref="F92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924" s="80" t="str" cm="1">
        <f t="array" ref="G92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924" s="80" t="str" cm="1">
        <f t="array" ref="H92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924" s="78" t="str" cm="1">
        <f t="array" ref="I92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925" spans="1:9" hidden="1" x14ac:dyDescent="0.3">
      <c r="A925" s="82" t="str" cm="1">
        <f t="array" ref="A92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925" s="79" t="str" cm="1">
        <f t="array" ref="B92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925" s="108" t="str" cm="1">
        <f t="array" ref="C92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925" s="79" t="str" cm="1">
        <f t="array" ref="D92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925" s="79" t="str" cm="1">
        <f t="array" ref="E92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925" s="80" t="str" cm="1">
        <f t="array" ref="F92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925" s="80" t="str" cm="1">
        <f t="array" ref="G92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925" s="80" t="str" cm="1">
        <f t="array" ref="H92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925" s="78" t="str" cm="1">
        <f t="array" ref="I92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926" spans="1:9" hidden="1" x14ac:dyDescent="0.3">
      <c r="A926" s="82" t="str" cm="1">
        <f t="array" ref="A92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926" s="79" t="str" cm="1">
        <f t="array" ref="B92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926" s="108" t="str" cm="1">
        <f t="array" ref="C92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926" s="79" t="str" cm="1">
        <f t="array" ref="D92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926" s="79" t="str" cm="1">
        <f t="array" ref="E92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926" s="80" t="str" cm="1">
        <f t="array" ref="F92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926" s="80" t="str" cm="1">
        <f t="array" ref="G92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926" s="80" t="str" cm="1">
        <f t="array" ref="H92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926" s="78" t="str" cm="1">
        <f t="array" ref="I92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927" spans="1:9" hidden="1" x14ac:dyDescent="0.3">
      <c r="A927" s="82" t="str" cm="1">
        <f t="array" ref="A92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927" s="79" t="str" cm="1">
        <f t="array" ref="B92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927" s="108" t="str" cm="1">
        <f t="array" ref="C92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927" s="79" t="str" cm="1">
        <f t="array" ref="D92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927" s="79" t="str" cm="1">
        <f t="array" ref="E92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927" s="80" t="str" cm="1">
        <f t="array" ref="F92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927" s="80" t="str" cm="1">
        <f t="array" ref="G92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927" s="80" t="str" cm="1">
        <f t="array" ref="H92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927" s="78" t="str" cm="1">
        <f t="array" ref="I92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928" spans="1:9" hidden="1" x14ac:dyDescent="0.3">
      <c r="A928" s="82" t="str" cm="1">
        <f t="array" ref="A92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928" s="79" t="str" cm="1">
        <f t="array" ref="B92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928" s="108" t="str" cm="1">
        <f t="array" ref="C92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928" s="79" t="str" cm="1">
        <f t="array" ref="D92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928" s="79" t="str" cm="1">
        <f t="array" ref="E92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928" s="80" t="str" cm="1">
        <f t="array" ref="F92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928" s="80" t="str" cm="1">
        <f t="array" ref="G92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928" s="80" t="str" cm="1">
        <f t="array" ref="H92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928" s="78" t="str" cm="1">
        <f t="array" ref="I92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929" spans="1:9" hidden="1" x14ac:dyDescent="0.3">
      <c r="A929" s="82" t="str" cm="1">
        <f t="array" ref="A92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929" s="79" t="str" cm="1">
        <f t="array" ref="B92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929" s="108" t="str" cm="1">
        <f t="array" ref="C92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929" s="79" t="str" cm="1">
        <f t="array" ref="D92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929" s="79" t="str" cm="1">
        <f t="array" ref="E92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929" s="80" t="str" cm="1">
        <f t="array" ref="F92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929" s="80" t="str" cm="1">
        <f t="array" ref="G92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929" s="80" t="str" cm="1">
        <f t="array" ref="H92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929" s="78" t="str" cm="1">
        <f t="array" ref="I92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930" spans="1:9" hidden="1" x14ac:dyDescent="0.3">
      <c r="A930" s="82" t="str" cm="1">
        <f t="array" ref="A93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930" s="79" t="str" cm="1">
        <f t="array" ref="B93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930" s="108" t="str" cm="1">
        <f t="array" ref="C93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930" s="79" t="str" cm="1">
        <f t="array" ref="D93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930" s="79" t="str" cm="1">
        <f t="array" ref="E93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930" s="80" t="str" cm="1">
        <f t="array" ref="F93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930" s="80" t="str" cm="1">
        <f t="array" ref="G93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930" s="80" t="str" cm="1">
        <f t="array" ref="H93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930" s="78" t="str" cm="1">
        <f t="array" ref="I93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931" spans="1:9" hidden="1" x14ac:dyDescent="0.3">
      <c r="A931" s="82" t="str" cm="1">
        <f t="array" ref="A93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931" s="79" t="str" cm="1">
        <f t="array" ref="B93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931" s="108" t="str" cm="1">
        <f t="array" ref="C93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931" s="79" t="str" cm="1">
        <f t="array" ref="D93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931" s="79" t="str" cm="1">
        <f t="array" ref="E93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931" s="80" t="str" cm="1">
        <f t="array" ref="F93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931" s="80" t="str" cm="1">
        <f t="array" ref="G93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931" s="80" t="str" cm="1">
        <f t="array" ref="H93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931" s="78" t="str" cm="1">
        <f t="array" ref="I93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932" spans="1:9" hidden="1" x14ac:dyDescent="0.3">
      <c r="A932" s="82" t="str" cm="1">
        <f t="array" ref="A93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932" s="79" t="str" cm="1">
        <f t="array" ref="B93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932" s="108" t="str" cm="1">
        <f t="array" ref="C93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932" s="79" t="str" cm="1">
        <f t="array" ref="D93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932" s="79" t="str" cm="1">
        <f t="array" ref="E93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932" s="80" t="str" cm="1">
        <f t="array" ref="F93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932" s="80" t="str" cm="1">
        <f t="array" ref="G93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932" s="80" t="str" cm="1">
        <f t="array" ref="H93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932" s="78" t="str" cm="1">
        <f t="array" ref="I93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933" spans="1:9" hidden="1" x14ac:dyDescent="0.3">
      <c r="A933" s="82" t="str" cm="1">
        <f t="array" ref="A93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933" s="79" t="str" cm="1">
        <f t="array" ref="B93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933" s="108" t="str" cm="1">
        <f t="array" ref="C93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933" s="79" t="str" cm="1">
        <f t="array" ref="D93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933" s="79" t="str" cm="1">
        <f t="array" ref="E93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933" s="80" t="str" cm="1">
        <f t="array" ref="F93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933" s="80" t="str" cm="1">
        <f t="array" ref="G93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933" s="80" t="str" cm="1">
        <f t="array" ref="H93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933" s="78" t="str" cm="1">
        <f t="array" ref="I93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934" spans="1:9" hidden="1" x14ac:dyDescent="0.3">
      <c r="A934" s="82" t="str" cm="1">
        <f t="array" ref="A93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934" s="79" t="str" cm="1">
        <f t="array" ref="B93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934" s="108" t="str" cm="1">
        <f t="array" ref="C93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934" s="79" t="str" cm="1">
        <f t="array" ref="D93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934" s="79" t="str" cm="1">
        <f t="array" ref="E93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934" s="80" t="str" cm="1">
        <f t="array" ref="F93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934" s="80" t="str" cm="1">
        <f t="array" ref="G93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934" s="80" t="str" cm="1">
        <f t="array" ref="H93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934" s="78" t="str" cm="1">
        <f t="array" ref="I93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935" spans="1:9" hidden="1" x14ac:dyDescent="0.3">
      <c r="A935" s="82" t="str" cm="1">
        <f t="array" ref="A93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935" s="79" t="str" cm="1">
        <f t="array" ref="B93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935" s="108" t="str" cm="1">
        <f t="array" ref="C93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935" s="79" t="str" cm="1">
        <f t="array" ref="D93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935" s="79" t="str" cm="1">
        <f t="array" ref="E93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935" s="80" t="str" cm="1">
        <f t="array" ref="F93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935" s="80" t="str" cm="1">
        <f t="array" ref="G93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935" s="80" t="str" cm="1">
        <f t="array" ref="H93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935" s="78" t="str" cm="1">
        <f t="array" ref="I93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936" spans="1:9" hidden="1" x14ac:dyDescent="0.3">
      <c r="A936" s="82" t="str" cm="1">
        <f t="array" ref="A93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936" s="79" t="str" cm="1">
        <f t="array" ref="B93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936" s="108" t="str" cm="1">
        <f t="array" ref="C93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936" s="79" t="str" cm="1">
        <f t="array" ref="D93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936" s="79" t="str" cm="1">
        <f t="array" ref="E93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936" s="80" t="str" cm="1">
        <f t="array" ref="F93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936" s="80" t="str" cm="1">
        <f t="array" ref="G93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936" s="80" t="str" cm="1">
        <f t="array" ref="H93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936" s="78" t="str" cm="1">
        <f t="array" ref="I93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937" spans="1:9" hidden="1" x14ac:dyDescent="0.3">
      <c r="A937" s="82" t="str" cm="1">
        <f t="array" ref="A93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937" s="79" t="str" cm="1">
        <f t="array" ref="B93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937" s="108" t="str" cm="1">
        <f t="array" ref="C93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937" s="79" t="str" cm="1">
        <f t="array" ref="D93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937" s="79" t="str" cm="1">
        <f t="array" ref="E93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937" s="80" t="str" cm="1">
        <f t="array" ref="F93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937" s="80" t="str" cm="1">
        <f t="array" ref="G93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937" s="80" t="str" cm="1">
        <f t="array" ref="H93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937" s="78" t="str" cm="1">
        <f t="array" ref="I93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938" spans="1:9" hidden="1" x14ac:dyDescent="0.3">
      <c r="A938" s="82" t="str" cm="1">
        <f t="array" ref="A93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938" s="79" t="str" cm="1">
        <f t="array" ref="B93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938" s="108" t="str" cm="1">
        <f t="array" ref="C93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938" s="79" t="str" cm="1">
        <f t="array" ref="D93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938" s="79" t="str" cm="1">
        <f t="array" ref="E93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938" s="80" t="str" cm="1">
        <f t="array" ref="F93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938" s="80" t="str" cm="1">
        <f t="array" ref="G93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938" s="80" t="str" cm="1">
        <f t="array" ref="H93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938" s="78" t="str" cm="1">
        <f t="array" ref="I93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939" spans="1:9" hidden="1" x14ac:dyDescent="0.3">
      <c r="A939" s="82" t="str" cm="1">
        <f t="array" ref="A93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939" s="79" t="str" cm="1">
        <f t="array" ref="B93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939" s="108" t="str" cm="1">
        <f t="array" ref="C93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939" s="79" t="str" cm="1">
        <f t="array" ref="D93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939" s="79" t="str" cm="1">
        <f t="array" ref="E93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939" s="80" t="str" cm="1">
        <f t="array" ref="F93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939" s="80" t="str" cm="1">
        <f t="array" ref="G93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939" s="80" t="str" cm="1">
        <f t="array" ref="H93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939" s="78" t="str" cm="1">
        <f t="array" ref="I93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940" spans="1:9" hidden="1" x14ac:dyDescent="0.3">
      <c r="A940" s="82" t="str" cm="1">
        <f t="array" ref="A94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940" s="79" t="str" cm="1">
        <f t="array" ref="B94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940" s="108" t="str" cm="1">
        <f t="array" ref="C94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940" s="79" t="str" cm="1">
        <f t="array" ref="D94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940" s="79" t="str" cm="1">
        <f t="array" ref="E94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940" s="80" t="str" cm="1">
        <f t="array" ref="F94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940" s="80" t="str" cm="1">
        <f t="array" ref="G94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940" s="80" t="str" cm="1">
        <f t="array" ref="H94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940" s="78" t="str" cm="1">
        <f t="array" ref="I94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941" spans="1:9" hidden="1" x14ac:dyDescent="0.3">
      <c r="A941" s="82" t="str" cm="1">
        <f t="array" ref="A94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941" s="79" t="str" cm="1">
        <f t="array" ref="B94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941" s="108" t="str" cm="1">
        <f t="array" ref="C94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941" s="79" t="str" cm="1">
        <f t="array" ref="D94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941" s="79" t="str" cm="1">
        <f t="array" ref="E94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941" s="80" t="str" cm="1">
        <f t="array" ref="F94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941" s="80" t="str" cm="1">
        <f t="array" ref="G94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941" s="80" t="str" cm="1">
        <f t="array" ref="H94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941" s="78" t="str" cm="1">
        <f t="array" ref="I94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942" spans="1:9" hidden="1" x14ac:dyDescent="0.3">
      <c r="A942" s="82" t="str" cm="1">
        <f t="array" ref="A94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942" s="79" t="str" cm="1">
        <f t="array" ref="B94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942" s="108" t="str" cm="1">
        <f t="array" ref="C94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942" s="79" t="str" cm="1">
        <f t="array" ref="D94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942" s="79" t="str" cm="1">
        <f t="array" ref="E94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942" s="80" t="str" cm="1">
        <f t="array" ref="F94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942" s="80" t="str" cm="1">
        <f t="array" ref="G94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942" s="80" t="str" cm="1">
        <f t="array" ref="H94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942" s="78" t="str" cm="1">
        <f t="array" ref="I94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943" spans="1:9" hidden="1" x14ac:dyDescent="0.3">
      <c r="A943" s="82" t="str" cm="1">
        <f t="array" ref="A94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943" s="79" t="str" cm="1">
        <f t="array" ref="B94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943" s="108" t="str" cm="1">
        <f t="array" ref="C94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943" s="79" t="str" cm="1">
        <f t="array" ref="D94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943" s="79" t="str" cm="1">
        <f t="array" ref="E94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943" s="80" t="str" cm="1">
        <f t="array" ref="F94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943" s="80" t="str" cm="1">
        <f t="array" ref="G94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943" s="80" t="str" cm="1">
        <f t="array" ref="H94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943" s="78" t="str" cm="1">
        <f t="array" ref="I94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944" spans="1:9" hidden="1" x14ac:dyDescent="0.3">
      <c r="A944" s="82" t="str" cm="1">
        <f t="array" ref="A94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944" s="79" t="str" cm="1">
        <f t="array" ref="B94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944" s="108" t="str" cm="1">
        <f t="array" ref="C94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944" s="79" t="str" cm="1">
        <f t="array" ref="D94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944" s="79" t="str" cm="1">
        <f t="array" ref="E94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944" s="80" t="str" cm="1">
        <f t="array" ref="F94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944" s="80" t="str" cm="1">
        <f t="array" ref="G94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944" s="80" t="str" cm="1">
        <f t="array" ref="H94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944" s="78" t="str" cm="1">
        <f t="array" ref="I94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945" spans="1:9" hidden="1" x14ac:dyDescent="0.3">
      <c r="A945" s="82" t="str" cm="1">
        <f t="array" ref="A94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945" s="79" t="str" cm="1">
        <f t="array" ref="B94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945" s="108" t="str" cm="1">
        <f t="array" ref="C94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945" s="79" t="str" cm="1">
        <f t="array" ref="D94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945" s="79" t="str" cm="1">
        <f t="array" ref="E94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945" s="80" t="str" cm="1">
        <f t="array" ref="F94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945" s="80" t="str" cm="1">
        <f t="array" ref="G94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945" s="80" t="str" cm="1">
        <f t="array" ref="H94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945" s="78" t="str" cm="1">
        <f t="array" ref="I94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946" spans="1:9" hidden="1" x14ac:dyDescent="0.3">
      <c r="A946" s="82" t="str" cm="1">
        <f t="array" ref="A94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946" s="79" t="str" cm="1">
        <f t="array" ref="B94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946" s="108" t="str" cm="1">
        <f t="array" ref="C94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946" s="79" t="str" cm="1">
        <f t="array" ref="D94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946" s="79" t="str" cm="1">
        <f t="array" ref="E94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946" s="80" t="str" cm="1">
        <f t="array" ref="F94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946" s="80" t="str" cm="1">
        <f t="array" ref="G94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946" s="80" t="str" cm="1">
        <f t="array" ref="H94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946" s="78" t="str" cm="1">
        <f t="array" ref="I94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947" spans="1:9" hidden="1" x14ac:dyDescent="0.3">
      <c r="A947" s="82" t="str" cm="1">
        <f t="array" ref="A94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947" s="79" t="str" cm="1">
        <f t="array" ref="B94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947" s="108" t="str" cm="1">
        <f t="array" ref="C94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947" s="79" t="str" cm="1">
        <f t="array" ref="D94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947" s="79" t="str" cm="1">
        <f t="array" ref="E94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947" s="80" t="str" cm="1">
        <f t="array" ref="F94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947" s="80" t="str" cm="1">
        <f t="array" ref="G94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947" s="80" t="str" cm="1">
        <f t="array" ref="H94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947" s="78" t="str" cm="1">
        <f t="array" ref="I94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948" spans="1:9" hidden="1" x14ac:dyDescent="0.3">
      <c r="A948" s="82" t="str" cm="1">
        <f t="array" ref="A94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948" s="79" t="str" cm="1">
        <f t="array" ref="B94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948" s="108" t="str" cm="1">
        <f t="array" ref="C94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948" s="79" t="str" cm="1">
        <f t="array" ref="D94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948" s="79" t="str" cm="1">
        <f t="array" ref="E94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948" s="80" t="str" cm="1">
        <f t="array" ref="F94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948" s="80" t="str" cm="1">
        <f t="array" ref="G94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948" s="80" t="str" cm="1">
        <f t="array" ref="H94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948" s="78" t="str" cm="1">
        <f t="array" ref="I94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949" spans="1:9" hidden="1" x14ac:dyDescent="0.3">
      <c r="A949" s="82" t="str" cm="1">
        <f t="array" ref="A94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949" s="79" t="str" cm="1">
        <f t="array" ref="B94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949" s="108" t="str" cm="1">
        <f t="array" ref="C94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949" s="79" t="str" cm="1">
        <f t="array" ref="D94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949" s="79" t="str" cm="1">
        <f t="array" ref="E94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949" s="80" t="str" cm="1">
        <f t="array" ref="F94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949" s="80" t="str" cm="1">
        <f t="array" ref="G94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949" s="80" t="str" cm="1">
        <f t="array" ref="H94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949" s="78" t="str" cm="1">
        <f t="array" ref="I94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950" spans="1:9" hidden="1" x14ac:dyDescent="0.3">
      <c r="A950" s="82" t="str" cm="1">
        <f t="array" ref="A95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950" s="79" t="str" cm="1">
        <f t="array" ref="B95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950" s="108" t="str" cm="1">
        <f t="array" ref="C95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950" s="79" t="str" cm="1">
        <f t="array" ref="D95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950" s="79" t="str" cm="1">
        <f t="array" ref="E95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950" s="80" t="str" cm="1">
        <f t="array" ref="F95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950" s="80" t="str" cm="1">
        <f t="array" ref="G95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950" s="80" t="str" cm="1">
        <f t="array" ref="H95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950" s="78" t="str" cm="1">
        <f t="array" ref="I95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951" spans="1:9" hidden="1" x14ac:dyDescent="0.3">
      <c r="A951" s="82" t="str" cm="1">
        <f t="array" ref="A95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951" s="79" t="str" cm="1">
        <f t="array" ref="B95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951" s="108" t="str" cm="1">
        <f t="array" ref="C95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951" s="79" t="str" cm="1">
        <f t="array" ref="D95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951" s="79" t="str" cm="1">
        <f t="array" ref="E95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951" s="80" t="str" cm="1">
        <f t="array" ref="F95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951" s="80" t="str" cm="1">
        <f t="array" ref="G95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951" s="80" t="str" cm="1">
        <f t="array" ref="H95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951" s="78" t="str" cm="1">
        <f t="array" ref="I95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952" spans="1:9" hidden="1" x14ac:dyDescent="0.3">
      <c r="A952" s="82" t="str" cm="1">
        <f t="array" ref="A95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952" s="79" t="str" cm="1">
        <f t="array" ref="B95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952" s="108" t="str" cm="1">
        <f t="array" ref="C95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952" s="79" t="str" cm="1">
        <f t="array" ref="D95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952" s="79" t="str" cm="1">
        <f t="array" ref="E95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952" s="80" t="str" cm="1">
        <f t="array" ref="F95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952" s="80" t="str" cm="1">
        <f t="array" ref="G95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952" s="80" t="str" cm="1">
        <f t="array" ref="H95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952" s="78" t="str" cm="1">
        <f t="array" ref="I95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953" spans="1:9" hidden="1" x14ac:dyDescent="0.3">
      <c r="A953" s="82" t="str" cm="1">
        <f t="array" ref="A95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953" s="79" t="str" cm="1">
        <f t="array" ref="B95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953" s="108" t="str" cm="1">
        <f t="array" ref="C95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953" s="79" t="str" cm="1">
        <f t="array" ref="D95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953" s="79" t="str" cm="1">
        <f t="array" ref="E95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953" s="80" t="str" cm="1">
        <f t="array" ref="F95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953" s="80" t="str" cm="1">
        <f t="array" ref="G95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953" s="80" t="str" cm="1">
        <f t="array" ref="H95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953" s="78" t="str" cm="1">
        <f t="array" ref="I95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954" spans="1:9" hidden="1" x14ac:dyDescent="0.3">
      <c r="A954" s="82" t="str" cm="1">
        <f t="array" ref="A95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954" s="79" t="str" cm="1">
        <f t="array" ref="B95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954" s="108" t="str" cm="1">
        <f t="array" ref="C95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954" s="79" t="str" cm="1">
        <f t="array" ref="D95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954" s="79" t="str" cm="1">
        <f t="array" ref="E95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954" s="80" t="str" cm="1">
        <f t="array" ref="F95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954" s="80" t="str" cm="1">
        <f t="array" ref="G95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954" s="80" t="str" cm="1">
        <f t="array" ref="H95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954" s="78" t="str" cm="1">
        <f t="array" ref="I95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955" spans="1:9" hidden="1" x14ac:dyDescent="0.3">
      <c r="A955" s="82" t="str" cm="1">
        <f t="array" ref="A95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955" s="79" t="str" cm="1">
        <f t="array" ref="B95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955" s="108" t="str" cm="1">
        <f t="array" ref="C95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955" s="79" t="str" cm="1">
        <f t="array" ref="D95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955" s="79" t="str" cm="1">
        <f t="array" ref="E95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955" s="80" t="str" cm="1">
        <f t="array" ref="F95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955" s="80" t="str" cm="1">
        <f t="array" ref="G95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955" s="80" t="str" cm="1">
        <f t="array" ref="H95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955" s="78" t="str" cm="1">
        <f t="array" ref="I95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956" spans="1:9" hidden="1" x14ac:dyDescent="0.3">
      <c r="A956" s="82" t="str" cm="1">
        <f t="array" ref="A95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956" s="79" t="str" cm="1">
        <f t="array" ref="B95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956" s="108" t="str" cm="1">
        <f t="array" ref="C95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956" s="79" t="str" cm="1">
        <f t="array" ref="D95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956" s="79" t="str" cm="1">
        <f t="array" ref="E95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956" s="80" t="str" cm="1">
        <f t="array" ref="F95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956" s="80" t="str" cm="1">
        <f t="array" ref="G95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956" s="80" t="str" cm="1">
        <f t="array" ref="H95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956" s="78" t="str" cm="1">
        <f t="array" ref="I95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957" spans="1:9" hidden="1" x14ac:dyDescent="0.3">
      <c r="A957" s="82" t="str" cm="1">
        <f t="array" ref="A95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957" s="79" t="str" cm="1">
        <f t="array" ref="B95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957" s="108" t="str" cm="1">
        <f t="array" ref="C95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957" s="79" t="str" cm="1">
        <f t="array" ref="D95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957" s="79" t="str" cm="1">
        <f t="array" ref="E95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957" s="80" t="str" cm="1">
        <f t="array" ref="F95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957" s="80" t="str" cm="1">
        <f t="array" ref="G95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957" s="80" t="str" cm="1">
        <f t="array" ref="H95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957" s="78" t="str" cm="1">
        <f t="array" ref="I95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958" spans="1:9" hidden="1" x14ac:dyDescent="0.3">
      <c r="A958" s="82" t="str" cm="1">
        <f t="array" ref="A95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958" s="79" t="str" cm="1">
        <f t="array" ref="B95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958" s="108" t="str" cm="1">
        <f t="array" ref="C95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958" s="79" t="str" cm="1">
        <f t="array" ref="D95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958" s="79" t="str" cm="1">
        <f t="array" ref="E95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958" s="80" t="str" cm="1">
        <f t="array" ref="F95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958" s="80" t="str" cm="1">
        <f t="array" ref="G95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958" s="80" t="str" cm="1">
        <f t="array" ref="H95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958" s="78" t="str" cm="1">
        <f t="array" ref="I95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959" spans="1:9" hidden="1" x14ac:dyDescent="0.3">
      <c r="A959" s="82" t="str" cm="1">
        <f t="array" ref="A95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959" s="79" t="str" cm="1">
        <f t="array" ref="B95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959" s="108" t="str" cm="1">
        <f t="array" ref="C95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959" s="79" t="str" cm="1">
        <f t="array" ref="D95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959" s="79" t="str" cm="1">
        <f t="array" ref="E95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959" s="80" t="str" cm="1">
        <f t="array" ref="F95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959" s="80" t="str" cm="1">
        <f t="array" ref="G95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959" s="80" t="str" cm="1">
        <f t="array" ref="H95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959" s="78" t="str" cm="1">
        <f t="array" ref="I95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960" spans="1:9" hidden="1" x14ac:dyDescent="0.3">
      <c r="A960" s="82" t="str" cm="1">
        <f t="array" ref="A96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960" s="79" t="str" cm="1">
        <f t="array" ref="B96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960" s="108" t="str" cm="1">
        <f t="array" ref="C96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960" s="79" t="str" cm="1">
        <f t="array" ref="D96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960" s="79" t="str" cm="1">
        <f t="array" ref="E96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960" s="80" t="str" cm="1">
        <f t="array" ref="F96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960" s="80" t="str" cm="1">
        <f t="array" ref="G96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960" s="80" t="str" cm="1">
        <f t="array" ref="H96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960" s="78" t="str" cm="1">
        <f t="array" ref="I96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961" spans="1:9" hidden="1" x14ac:dyDescent="0.3">
      <c r="A961" s="82" t="str" cm="1">
        <f t="array" ref="A96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961" s="79" t="str" cm="1">
        <f t="array" ref="B96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961" s="108" t="str" cm="1">
        <f t="array" ref="C96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961" s="79" t="str" cm="1">
        <f t="array" ref="D96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961" s="79" t="str" cm="1">
        <f t="array" ref="E96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961" s="80" t="str" cm="1">
        <f t="array" ref="F96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961" s="80" t="str" cm="1">
        <f t="array" ref="G96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961" s="80" t="str" cm="1">
        <f t="array" ref="H96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961" s="78" t="str" cm="1">
        <f t="array" ref="I96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962" spans="1:9" hidden="1" x14ac:dyDescent="0.3">
      <c r="A962" s="82" t="str" cm="1">
        <f t="array" ref="A96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962" s="79" t="str" cm="1">
        <f t="array" ref="B96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962" s="108" t="str" cm="1">
        <f t="array" ref="C96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962" s="79" t="str" cm="1">
        <f t="array" ref="D96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962" s="79" t="str" cm="1">
        <f t="array" ref="E96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962" s="80" t="str" cm="1">
        <f t="array" ref="F96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962" s="80" t="str" cm="1">
        <f t="array" ref="G96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962" s="80" t="str" cm="1">
        <f t="array" ref="H96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962" s="78" t="str" cm="1">
        <f t="array" ref="I96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963" spans="1:9" hidden="1" x14ac:dyDescent="0.3">
      <c r="A963" s="82" t="str" cm="1">
        <f t="array" ref="A96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963" s="79" t="str" cm="1">
        <f t="array" ref="B96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963" s="108" t="str" cm="1">
        <f t="array" ref="C96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963" s="79" t="str" cm="1">
        <f t="array" ref="D96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963" s="79" t="str" cm="1">
        <f t="array" ref="E96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963" s="80" t="str" cm="1">
        <f t="array" ref="F96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963" s="80" t="str" cm="1">
        <f t="array" ref="G96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963" s="80" t="str" cm="1">
        <f t="array" ref="H96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963" s="78" t="str" cm="1">
        <f t="array" ref="I96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964" spans="1:9" hidden="1" x14ac:dyDescent="0.3">
      <c r="A964" s="82" t="str" cm="1">
        <f t="array" ref="A96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964" s="79" t="str" cm="1">
        <f t="array" ref="B96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964" s="108" t="str" cm="1">
        <f t="array" ref="C96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964" s="79" t="str" cm="1">
        <f t="array" ref="D96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964" s="79" t="str" cm="1">
        <f t="array" ref="E96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964" s="80" t="str" cm="1">
        <f t="array" ref="F96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964" s="80" t="str" cm="1">
        <f t="array" ref="G96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964" s="80" t="str" cm="1">
        <f t="array" ref="H96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964" s="78" t="str" cm="1">
        <f t="array" ref="I96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965" spans="1:9" hidden="1" x14ac:dyDescent="0.3">
      <c r="A965" s="82" t="str" cm="1">
        <f t="array" ref="A96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965" s="79" t="str" cm="1">
        <f t="array" ref="B96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965" s="108" t="str" cm="1">
        <f t="array" ref="C96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965" s="79" t="str" cm="1">
        <f t="array" ref="D96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965" s="79" t="str" cm="1">
        <f t="array" ref="E96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965" s="80" t="str" cm="1">
        <f t="array" ref="F96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965" s="80" t="str" cm="1">
        <f t="array" ref="G96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965" s="80" t="str" cm="1">
        <f t="array" ref="H96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965" s="78" t="str" cm="1">
        <f t="array" ref="I96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966" spans="1:9" hidden="1" x14ac:dyDescent="0.3">
      <c r="A966" s="82" t="str" cm="1">
        <f t="array" ref="A96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966" s="79" t="str" cm="1">
        <f t="array" ref="B96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966" s="108" t="str" cm="1">
        <f t="array" ref="C96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966" s="79" t="str" cm="1">
        <f t="array" ref="D96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966" s="79" t="str" cm="1">
        <f t="array" ref="E96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966" s="80" t="str" cm="1">
        <f t="array" ref="F96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966" s="80" t="str" cm="1">
        <f t="array" ref="G96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966" s="80" t="str" cm="1">
        <f t="array" ref="H96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966" s="78" t="str" cm="1">
        <f t="array" ref="I96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967" spans="1:9" hidden="1" x14ac:dyDescent="0.3">
      <c r="A967" s="82" t="str" cm="1">
        <f t="array" ref="A96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967" s="79" t="str" cm="1">
        <f t="array" ref="B96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967" s="108" t="str" cm="1">
        <f t="array" ref="C96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967" s="79" t="str" cm="1">
        <f t="array" ref="D96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967" s="79" t="str" cm="1">
        <f t="array" ref="E96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967" s="80" t="str" cm="1">
        <f t="array" ref="F96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967" s="80" t="str" cm="1">
        <f t="array" ref="G96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967" s="80" t="str" cm="1">
        <f t="array" ref="H96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967" s="78" t="str" cm="1">
        <f t="array" ref="I96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968" spans="1:9" hidden="1" x14ac:dyDescent="0.3">
      <c r="A968" s="82" t="str" cm="1">
        <f t="array" ref="A96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968" s="79" t="str" cm="1">
        <f t="array" ref="B96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968" s="108" t="str" cm="1">
        <f t="array" ref="C96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968" s="79" t="str" cm="1">
        <f t="array" ref="D96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968" s="79" t="str" cm="1">
        <f t="array" ref="E96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968" s="80" t="str" cm="1">
        <f t="array" ref="F96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968" s="80" t="str" cm="1">
        <f t="array" ref="G96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968" s="80" t="str" cm="1">
        <f t="array" ref="H96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968" s="78" t="str" cm="1">
        <f t="array" ref="I96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969" spans="1:9" hidden="1" x14ac:dyDescent="0.3">
      <c r="A969" s="82" t="str" cm="1">
        <f t="array" ref="A96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969" s="79" t="str" cm="1">
        <f t="array" ref="B96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969" s="108" t="str" cm="1">
        <f t="array" ref="C96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969" s="79" t="str" cm="1">
        <f t="array" ref="D96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969" s="79" t="str" cm="1">
        <f t="array" ref="E96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969" s="80" t="str" cm="1">
        <f t="array" ref="F96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969" s="80" t="str" cm="1">
        <f t="array" ref="G96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969" s="80" t="str" cm="1">
        <f t="array" ref="H96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969" s="78" t="str" cm="1">
        <f t="array" ref="I96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970" spans="1:9" hidden="1" x14ac:dyDescent="0.3">
      <c r="A970" s="82" t="str" cm="1">
        <f t="array" ref="A97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970" s="79" t="str" cm="1">
        <f t="array" ref="B97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970" s="108" t="str" cm="1">
        <f t="array" ref="C97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970" s="79" t="str" cm="1">
        <f t="array" ref="D97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970" s="79" t="str" cm="1">
        <f t="array" ref="E97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970" s="80" t="str" cm="1">
        <f t="array" ref="F97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970" s="80" t="str" cm="1">
        <f t="array" ref="G97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970" s="80" t="str" cm="1">
        <f t="array" ref="H97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970" s="78" t="str" cm="1">
        <f t="array" ref="I97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971" spans="1:9" hidden="1" x14ac:dyDescent="0.3">
      <c r="A971" s="82" t="str" cm="1">
        <f t="array" ref="A97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971" s="79" t="str" cm="1">
        <f t="array" ref="B97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971" s="108" t="str" cm="1">
        <f t="array" ref="C97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971" s="79" t="str" cm="1">
        <f t="array" ref="D97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971" s="79" t="str" cm="1">
        <f t="array" ref="E97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971" s="80" t="str" cm="1">
        <f t="array" ref="F97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971" s="80" t="str" cm="1">
        <f t="array" ref="G97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971" s="80" t="str" cm="1">
        <f t="array" ref="H97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971" s="78" t="str" cm="1">
        <f t="array" ref="I97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972" spans="1:9" hidden="1" x14ac:dyDescent="0.3">
      <c r="A972" s="82" t="str" cm="1">
        <f t="array" ref="A97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972" s="79" t="str" cm="1">
        <f t="array" ref="B97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972" s="108" t="str" cm="1">
        <f t="array" ref="C97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972" s="79" t="str" cm="1">
        <f t="array" ref="D97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972" s="79" t="str" cm="1">
        <f t="array" ref="E97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972" s="80" t="str" cm="1">
        <f t="array" ref="F97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972" s="80" t="str" cm="1">
        <f t="array" ref="G97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972" s="80" t="str" cm="1">
        <f t="array" ref="H97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972" s="78" t="str" cm="1">
        <f t="array" ref="I97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973" spans="1:9" hidden="1" x14ac:dyDescent="0.3">
      <c r="A973" s="82" t="str" cm="1">
        <f t="array" ref="A97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973" s="79" t="str" cm="1">
        <f t="array" ref="B97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973" s="108" t="str" cm="1">
        <f t="array" ref="C97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973" s="79" t="str" cm="1">
        <f t="array" ref="D97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973" s="79" t="str" cm="1">
        <f t="array" ref="E97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973" s="80" t="str" cm="1">
        <f t="array" ref="F97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973" s="80" t="str" cm="1">
        <f t="array" ref="G97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973" s="80" t="str" cm="1">
        <f t="array" ref="H97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973" s="78" t="str" cm="1">
        <f t="array" ref="I97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974" spans="1:9" hidden="1" x14ac:dyDescent="0.3">
      <c r="A974" s="82" t="str" cm="1">
        <f t="array" ref="A97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974" s="79" t="str" cm="1">
        <f t="array" ref="B97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974" s="108" t="str" cm="1">
        <f t="array" ref="C97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974" s="79" t="str" cm="1">
        <f t="array" ref="D97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974" s="79" t="str" cm="1">
        <f t="array" ref="E97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974" s="80" t="str" cm="1">
        <f t="array" ref="F97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974" s="80" t="str" cm="1">
        <f t="array" ref="G97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974" s="80" t="str" cm="1">
        <f t="array" ref="H97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974" s="78" t="str" cm="1">
        <f t="array" ref="I97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975" spans="1:9" hidden="1" x14ac:dyDescent="0.3">
      <c r="A975" s="82" t="str" cm="1">
        <f t="array" ref="A97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975" s="79" t="str" cm="1">
        <f t="array" ref="B97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975" s="108" t="str" cm="1">
        <f t="array" ref="C97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975" s="79" t="str" cm="1">
        <f t="array" ref="D97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975" s="79" t="str" cm="1">
        <f t="array" ref="E97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975" s="80" t="str" cm="1">
        <f t="array" ref="F97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975" s="80" t="str" cm="1">
        <f t="array" ref="G97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975" s="80" t="str" cm="1">
        <f t="array" ref="H97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975" s="78" t="str" cm="1">
        <f t="array" ref="I97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976" spans="1:9" hidden="1" x14ac:dyDescent="0.3">
      <c r="A976" s="82" t="str" cm="1">
        <f t="array" ref="A97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976" s="79" t="str" cm="1">
        <f t="array" ref="B97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976" s="108" t="str" cm="1">
        <f t="array" ref="C97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976" s="79" t="str" cm="1">
        <f t="array" ref="D97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976" s="79" t="str" cm="1">
        <f t="array" ref="E97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976" s="80" t="str" cm="1">
        <f t="array" ref="F97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976" s="80" t="str" cm="1">
        <f t="array" ref="G97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976" s="80" t="str" cm="1">
        <f t="array" ref="H97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976" s="78" t="str" cm="1">
        <f t="array" ref="I97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977" spans="1:9" hidden="1" x14ac:dyDescent="0.3">
      <c r="A977" s="82" t="str" cm="1">
        <f t="array" ref="A97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977" s="79" t="str" cm="1">
        <f t="array" ref="B97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977" s="108" t="str" cm="1">
        <f t="array" ref="C97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977" s="79" t="str" cm="1">
        <f t="array" ref="D97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977" s="79" t="str" cm="1">
        <f t="array" ref="E97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977" s="80" t="str" cm="1">
        <f t="array" ref="F97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977" s="80" t="str" cm="1">
        <f t="array" ref="G97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977" s="80" t="str" cm="1">
        <f t="array" ref="H97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977" s="78" t="str" cm="1">
        <f t="array" ref="I97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978" spans="1:9" hidden="1" x14ac:dyDescent="0.3">
      <c r="A978" s="82" t="str" cm="1">
        <f t="array" ref="A97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978" s="79" t="str" cm="1">
        <f t="array" ref="B97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978" s="108" t="str" cm="1">
        <f t="array" ref="C97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978" s="79" t="str" cm="1">
        <f t="array" ref="D97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978" s="79" t="str" cm="1">
        <f t="array" ref="E97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978" s="80" t="str" cm="1">
        <f t="array" ref="F97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978" s="80" t="str" cm="1">
        <f t="array" ref="G97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978" s="80" t="str" cm="1">
        <f t="array" ref="H97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978" s="78" t="str" cm="1">
        <f t="array" ref="I97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979" spans="1:9" hidden="1" x14ac:dyDescent="0.3">
      <c r="A979" s="82" t="str" cm="1">
        <f t="array" ref="A97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979" s="79" t="str" cm="1">
        <f t="array" ref="B97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979" s="108" t="str" cm="1">
        <f t="array" ref="C97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979" s="79" t="str" cm="1">
        <f t="array" ref="D97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979" s="79" t="str" cm="1">
        <f t="array" ref="E97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979" s="80" t="str" cm="1">
        <f t="array" ref="F97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979" s="80" t="str" cm="1">
        <f t="array" ref="G97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979" s="80" t="str" cm="1">
        <f t="array" ref="H97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979" s="78" t="str" cm="1">
        <f t="array" ref="I97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980" spans="1:9" hidden="1" x14ac:dyDescent="0.3">
      <c r="A980" s="82" t="str" cm="1">
        <f t="array" ref="A98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980" s="79" t="str" cm="1">
        <f t="array" ref="B98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980" s="108" t="str" cm="1">
        <f t="array" ref="C98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980" s="79" t="str" cm="1">
        <f t="array" ref="D98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980" s="79" t="str" cm="1">
        <f t="array" ref="E98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980" s="80" t="str" cm="1">
        <f t="array" ref="F98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980" s="80" t="str" cm="1">
        <f t="array" ref="G98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980" s="80" t="str" cm="1">
        <f t="array" ref="H98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980" s="78" t="str" cm="1">
        <f t="array" ref="I98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981" spans="1:9" hidden="1" x14ac:dyDescent="0.3">
      <c r="A981" s="82" t="str" cm="1">
        <f t="array" ref="A98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981" s="79" t="str" cm="1">
        <f t="array" ref="B98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981" s="108" t="str" cm="1">
        <f t="array" ref="C98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981" s="79" t="str" cm="1">
        <f t="array" ref="D98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981" s="79" t="str" cm="1">
        <f t="array" ref="E98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981" s="80" t="str" cm="1">
        <f t="array" ref="F98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981" s="80" t="str" cm="1">
        <f t="array" ref="G98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981" s="80" t="str" cm="1">
        <f t="array" ref="H98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981" s="78" t="str" cm="1">
        <f t="array" ref="I98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982" spans="1:9" hidden="1" x14ac:dyDescent="0.3">
      <c r="A982" s="82" t="str" cm="1">
        <f t="array" ref="A98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982" s="79" t="str" cm="1">
        <f t="array" ref="B98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982" s="108" t="str" cm="1">
        <f t="array" ref="C98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982" s="79" t="str" cm="1">
        <f t="array" ref="D98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982" s="79" t="str" cm="1">
        <f t="array" ref="E98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982" s="80" t="str" cm="1">
        <f t="array" ref="F98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982" s="80" t="str" cm="1">
        <f t="array" ref="G98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982" s="80" t="str" cm="1">
        <f t="array" ref="H98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982" s="78" t="str" cm="1">
        <f t="array" ref="I98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983" spans="1:9" hidden="1" x14ac:dyDescent="0.3">
      <c r="A983" s="82" t="str" cm="1">
        <f t="array" ref="A98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983" s="79" t="str" cm="1">
        <f t="array" ref="B98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983" s="108" t="str" cm="1">
        <f t="array" ref="C98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983" s="79" t="str" cm="1">
        <f t="array" ref="D98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983" s="79" t="str" cm="1">
        <f t="array" ref="E98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983" s="80" t="str" cm="1">
        <f t="array" ref="F98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983" s="80" t="str" cm="1">
        <f t="array" ref="G98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983" s="80" t="str" cm="1">
        <f t="array" ref="H98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983" s="78" t="str" cm="1">
        <f t="array" ref="I98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984" spans="1:9" hidden="1" x14ac:dyDescent="0.3">
      <c r="A984" s="82" t="str" cm="1">
        <f t="array" ref="A98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984" s="79" t="str" cm="1">
        <f t="array" ref="B98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984" s="108" t="str" cm="1">
        <f t="array" ref="C98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984" s="79" t="str" cm="1">
        <f t="array" ref="D98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984" s="79" t="str" cm="1">
        <f t="array" ref="E98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984" s="80" t="str" cm="1">
        <f t="array" ref="F98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984" s="80" t="str" cm="1">
        <f t="array" ref="G98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984" s="80" t="str" cm="1">
        <f t="array" ref="H98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984" s="78" t="str" cm="1">
        <f t="array" ref="I98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985" spans="1:9" hidden="1" x14ac:dyDescent="0.3">
      <c r="A985" s="82" t="str" cm="1">
        <f t="array" ref="A98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985" s="79" t="str" cm="1">
        <f t="array" ref="B98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985" s="108" t="str" cm="1">
        <f t="array" ref="C98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985" s="79" t="str" cm="1">
        <f t="array" ref="D98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985" s="79" t="str" cm="1">
        <f t="array" ref="E98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985" s="80" t="str" cm="1">
        <f t="array" ref="F98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985" s="80" t="str" cm="1">
        <f t="array" ref="G98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985" s="80" t="str" cm="1">
        <f t="array" ref="H98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985" s="78" t="str" cm="1">
        <f t="array" ref="I98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986" spans="1:9" hidden="1" x14ac:dyDescent="0.3">
      <c r="A986" s="82" t="str" cm="1">
        <f t="array" ref="A98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986" s="79" t="str" cm="1">
        <f t="array" ref="B98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986" s="108" t="str" cm="1">
        <f t="array" ref="C98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986" s="79" t="str" cm="1">
        <f t="array" ref="D98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986" s="79" t="str" cm="1">
        <f t="array" ref="E98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986" s="80" t="str" cm="1">
        <f t="array" ref="F98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986" s="80" t="str" cm="1">
        <f t="array" ref="G98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986" s="80" t="str" cm="1">
        <f t="array" ref="H98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986" s="78" t="str" cm="1">
        <f t="array" ref="I98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987" spans="1:9" hidden="1" x14ac:dyDescent="0.3">
      <c r="A987" s="82" t="str" cm="1">
        <f t="array" ref="A98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987" s="79" t="str" cm="1">
        <f t="array" ref="B98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987" s="108" t="str" cm="1">
        <f t="array" ref="C98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987" s="79" t="str" cm="1">
        <f t="array" ref="D98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987" s="79" t="str" cm="1">
        <f t="array" ref="E98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987" s="80" t="str" cm="1">
        <f t="array" ref="F98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987" s="80" t="str" cm="1">
        <f t="array" ref="G98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987" s="80" t="str" cm="1">
        <f t="array" ref="H98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987" s="78" t="str" cm="1">
        <f t="array" ref="I98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988" spans="1:9" hidden="1" x14ac:dyDescent="0.3">
      <c r="A988" s="82" t="str" cm="1">
        <f t="array" ref="A98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988" s="79" t="str" cm="1">
        <f t="array" ref="B98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988" s="108" t="str" cm="1">
        <f t="array" ref="C98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988" s="79" t="str" cm="1">
        <f t="array" ref="D98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988" s="79" t="str" cm="1">
        <f t="array" ref="E98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988" s="80" t="str" cm="1">
        <f t="array" ref="F98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988" s="80" t="str" cm="1">
        <f t="array" ref="G98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988" s="80" t="str" cm="1">
        <f t="array" ref="H98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988" s="78" t="str" cm="1">
        <f t="array" ref="I98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989" spans="1:9" hidden="1" x14ac:dyDescent="0.3">
      <c r="A989" s="82" t="str" cm="1">
        <f t="array" ref="A98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989" s="79" t="str" cm="1">
        <f t="array" ref="B98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989" s="108" t="str" cm="1">
        <f t="array" ref="C98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989" s="79" t="str" cm="1">
        <f t="array" ref="D98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989" s="79" t="str" cm="1">
        <f t="array" ref="E98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989" s="80" t="str" cm="1">
        <f t="array" ref="F98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989" s="80" t="str" cm="1">
        <f t="array" ref="G98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989" s="80" t="str" cm="1">
        <f t="array" ref="H98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989" s="78" t="str" cm="1">
        <f t="array" ref="I98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990" spans="1:9" hidden="1" x14ac:dyDescent="0.3">
      <c r="A990" s="82" t="str" cm="1">
        <f t="array" ref="A99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990" s="79" t="str" cm="1">
        <f t="array" ref="B99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990" s="108" t="str" cm="1">
        <f t="array" ref="C99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990" s="79" t="str" cm="1">
        <f t="array" ref="D99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990" s="79" t="str" cm="1">
        <f t="array" ref="E99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990" s="80" t="str" cm="1">
        <f t="array" ref="F99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990" s="80" t="str" cm="1">
        <f t="array" ref="G99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990" s="80" t="str" cm="1">
        <f t="array" ref="H99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990" s="78" t="str" cm="1">
        <f t="array" ref="I99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991" spans="1:9" hidden="1" x14ac:dyDescent="0.3">
      <c r="A991" s="82" t="str" cm="1">
        <f t="array" ref="A99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991" s="79" t="str" cm="1">
        <f t="array" ref="B99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991" s="108" t="str" cm="1">
        <f t="array" ref="C99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991" s="79" t="str" cm="1">
        <f t="array" ref="D99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991" s="79" t="str" cm="1">
        <f t="array" ref="E99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991" s="80" t="str" cm="1">
        <f t="array" ref="F99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991" s="80" t="str" cm="1">
        <f t="array" ref="G99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991" s="80" t="str" cm="1">
        <f t="array" ref="H99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991" s="78" t="str" cm="1">
        <f t="array" ref="I99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992" spans="1:9" hidden="1" x14ac:dyDescent="0.3">
      <c r="A992" s="82" t="str" cm="1">
        <f t="array" ref="A99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992" s="79" t="str" cm="1">
        <f t="array" ref="B99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992" s="108" t="str" cm="1">
        <f t="array" ref="C99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992" s="79" t="str" cm="1">
        <f t="array" ref="D99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992" s="79" t="str" cm="1">
        <f t="array" ref="E99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992" s="80" t="str" cm="1">
        <f t="array" ref="F99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992" s="80" t="str" cm="1">
        <f t="array" ref="G99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992" s="80" t="str" cm="1">
        <f t="array" ref="H99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992" s="78" t="str" cm="1">
        <f t="array" ref="I99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993" spans="1:9" hidden="1" x14ac:dyDescent="0.3">
      <c r="A993" s="82" t="str" cm="1">
        <f t="array" ref="A99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993" s="79" t="str" cm="1">
        <f t="array" ref="B99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993" s="108" t="str" cm="1">
        <f t="array" ref="C99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993" s="79" t="str" cm="1">
        <f t="array" ref="D99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993" s="79" t="str" cm="1">
        <f t="array" ref="E99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993" s="80" t="str" cm="1">
        <f t="array" ref="F99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993" s="80" t="str" cm="1">
        <f t="array" ref="G99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993" s="80" t="str" cm="1">
        <f t="array" ref="H99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993" s="78" t="str" cm="1">
        <f t="array" ref="I99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994" spans="1:9" hidden="1" x14ac:dyDescent="0.3">
      <c r="A994" s="82" t="str" cm="1">
        <f t="array" ref="A99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994" s="79" t="str" cm="1">
        <f t="array" ref="B99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994" s="108" t="str" cm="1">
        <f t="array" ref="C99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994" s="79" t="str" cm="1">
        <f t="array" ref="D99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994" s="79" t="str" cm="1">
        <f t="array" ref="E99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994" s="80" t="str" cm="1">
        <f t="array" ref="F99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994" s="80" t="str" cm="1">
        <f t="array" ref="G99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994" s="80" t="str" cm="1">
        <f t="array" ref="H99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994" s="78" t="str" cm="1">
        <f t="array" ref="I99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995" spans="1:9" hidden="1" x14ac:dyDescent="0.3">
      <c r="A995" s="82" t="str" cm="1">
        <f t="array" ref="A99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995" s="79" t="str" cm="1">
        <f t="array" ref="B99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995" s="108" t="str" cm="1">
        <f t="array" ref="C99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995" s="79" t="str" cm="1">
        <f t="array" ref="D99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995" s="79" t="str" cm="1">
        <f t="array" ref="E99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995" s="80" t="str" cm="1">
        <f t="array" ref="F99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995" s="80" t="str" cm="1">
        <f t="array" ref="G99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995" s="80" t="str" cm="1">
        <f t="array" ref="H99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995" s="78" t="str" cm="1">
        <f t="array" ref="I99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996" spans="1:9" hidden="1" x14ac:dyDescent="0.3">
      <c r="A996" s="82" t="str" cm="1">
        <f t="array" ref="A99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996" s="79" t="str" cm="1">
        <f t="array" ref="B99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996" s="108" t="str" cm="1">
        <f t="array" ref="C99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996" s="79" t="str" cm="1">
        <f t="array" ref="D99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996" s="79" t="str" cm="1">
        <f t="array" ref="E99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996" s="80" t="str" cm="1">
        <f t="array" ref="F99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996" s="80" t="str" cm="1">
        <f t="array" ref="G99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996" s="80" t="str" cm="1">
        <f t="array" ref="H99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996" s="78" t="str" cm="1">
        <f t="array" ref="I99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997" spans="1:9" hidden="1" x14ac:dyDescent="0.3">
      <c r="A997" s="82" t="str" cm="1">
        <f t="array" ref="A99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997" s="79" t="str" cm="1">
        <f t="array" ref="B99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997" s="108" t="str" cm="1">
        <f t="array" ref="C99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997" s="79" t="str" cm="1">
        <f t="array" ref="D99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997" s="79" t="str" cm="1">
        <f t="array" ref="E99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997" s="80" t="str" cm="1">
        <f t="array" ref="F99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997" s="80" t="str" cm="1">
        <f t="array" ref="G99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997" s="80" t="str" cm="1">
        <f t="array" ref="H99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997" s="78" t="str" cm="1">
        <f t="array" ref="I99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998" spans="1:9" hidden="1" x14ac:dyDescent="0.3">
      <c r="A998" s="82" t="str" cm="1">
        <f t="array" ref="A99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998" s="79" t="str" cm="1">
        <f t="array" ref="B99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998" s="108" t="str" cm="1">
        <f t="array" ref="C99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998" s="79" t="str" cm="1">
        <f t="array" ref="D99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998" s="79" t="str" cm="1">
        <f t="array" ref="E99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998" s="80" t="str" cm="1">
        <f t="array" ref="F99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998" s="80" t="str" cm="1">
        <f t="array" ref="G99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998" s="80" t="str" cm="1">
        <f t="array" ref="H99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998" s="78" t="str" cm="1">
        <f t="array" ref="I99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999" spans="1:9" hidden="1" x14ac:dyDescent="0.3">
      <c r="A999" s="82" t="str" cm="1">
        <f t="array" ref="A99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999" s="79" t="str" cm="1">
        <f t="array" ref="B99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999" s="108" t="str" cm="1">
        <f t="array" ref="C99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999" s="79" t="str" cm="1">
        <f t="array" ref="D99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999" s="79" t="str" cm="1">
        <f t="array" ref="E99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999" s="80" t="str" cm="1">
        <f t="array" ref="F99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999" s="80" t="str" cm="1">
        <f t="array" ref="G99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999" s="80" t="str" cm="1">
        <f t="array" ref="H99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999" s="78" t="str" cm="1">
        <f t="array" ref="I99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1000" spans="1:9" hidden="1" x14ac:dyDescent="0.3">
      <c r="A1000" s="82" t="str" cm="1">
        <f t="array" ref="A100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1000" s="79" t="str" cm="1">
        <f t="array" ref="B100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1000" s="108" t="str" cm="1">
        <f t="array" ref="C100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1000" s="79" t="str" cm="1">
        <f t="array" ref="D100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1000" s="79" t="str" cm="1">
        <f t="array" ref="E100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1000" s="80" t="str" cm="1">
        <f t="array" ref="F100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1000" s="80" t="str" cm="1">
        <f t="array" ref="G100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1000" s="80" t="str" cm="1">
        <f t="array" ref="H100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1000" s="78" t="str" cm="1">
        <f t="array" ref="I100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1001" spans="1:9" hidden="1" x14ac:dyDescent="0.3">
      <c r="A1001" s="82" t="str" cm="1">
        <f t="array" ref="A100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1001" s="79" t="str" cm="1">
        <f t="array" ref="B100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1001" s="108" t="str" cm="1">
        <f t="array" ref="C100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1001" s="79" t="str" cm="1">
        <f t="array" ref="D100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1001" s="79" t="str" cm="1">
        <f t="array" ref="E100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1001" s="80" t="str" cm="1">
        <f t="array" ref="F100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1001" s="80" t="str" cm="1">
        <f t="array" ref="G100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1001" s="80" t="str" cm="1">
        <f t="array" ref="H100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1001" s="78" t="str" cm="1">
        <f t="array" ref="I100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1002" spans="1:9" hidden="1" x14ac:dyDescent="0.3">
      <c r="A1002" s="82" t="str" cm="1">
        <f t="array" ref="A100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1002" s="79" t="str" cm="1">
        <f t="array" ref="B100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1002" s="108" t="str" cm="1">
        <f t="array" ref="C100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1002" s="79" t="str" cm="1">
        <f t="array" ref="D100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1002" s="79" t="str" cm="1">
        <f t="array" ref="E100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1002" s="80" t="str" cm="1">
        <f t="array" ref="F100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1002" s="80" t="str" cm="1">
        <f t="array" ref="G100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1002" s="80" t="str" cm="1">
        <f t="array" ref="H100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1002" s="78" t="str" cm="1">
        <f t="array" ref="I100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1003" spans="1:9" hidden="1" x14ac:dyDescent="0.3">
      <c r="A1003" s="82" t="str" cm="1">
        <f t="array" ref="A100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1003" s="79" t="str" cm="1">
        <f t="array" ref="B100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1003" s="108" t="str" cm="1">
        <f t="array" ref="C100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1003" s="79" t="str" cm="1">
        <f t="array" ref="D100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1003" s="79" t="str" cm="1">
        <f t="array" ref="E100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1003" s="80" t="str" cm="1">
        <f t="array" ref="F100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1003" s="80" t="str" cm="1">
        <f t="array" ref="G100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1003" s="80" t="str" cm="1">
        <f t="array" ref="H100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1003" s="78" t="str" cm="1">
        <f t="array" ref="I100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1004" spans="1:9" hidden="1" x14ac:dyDescent="0.3">
      <c r="A1004" s="82" t="str" cm="1">
        <f t="array" ref="A100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1004" s="79" t="str" cm="1">
        <f t="array" ref="B100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1004" s="108" t="str" cm="1">
        <f t="array" ref="C100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1004" s="79" t="str" cm="1">
        <f t="array" ref="D100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1004" s="79" t="str" cm="1">
        <f t="array" ref="E100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1004" s="80" t="str" cm="1">
        <f t="array" ref="F100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1004" s="80" t="str" cm="1">
        <f t="array" ref="G100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1004" s="80" t="str" cm="1">
        <f t="array" ref="H100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1004" s="78" t="str" cm="1">
        <f t="array" ref="I100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1005" spans="1:9" hidden="1" x14ac:dyDescent="0.3">
      <c r="A1005" s="82" t="str" cm="1">
        <f t="array" ref="A100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1005" s="79" t="str" cm="1">
        <f t="array" ref="B100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1005" s="108" t="str" cm="1">
        <f t="array" ref="C100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1005" s="79" t="str" cm="1">
        <f t="array" ref="D100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1005" s="79" t="str" cm="1">
        <f t="array" ref="E100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1005" s="80" t="str" cm="1">
        <f t="array" ref="F100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1005" s="80" t="str" cm="1">
        <f t="array" ref="G100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1005" s="80" t="str" cm="1">
        <f t="array" ref="H100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1005" s="78" t="str" cm="1">
        <f t="array" ref="I100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1006" spans="1:9" hidden="1" x14ac:dyDescent="0.3">
      <c r="A1006" s="82" t="str" cm="1">
        <f t="array" ref="A100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1006" s="79" t="str" cm="1">
        <f t="array" ref="B100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1006" s="108" t="str" cm="1">
        <f t="array" ref="C100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1006" s="79" t="str" cm="1">
        <f t="array" ref="D100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1006" s="79" t="str" cm="1">
        <f t="array" ref="E100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1006" s="80" t="str" cm="1">
        <f t="array" ref="F100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1006" s="80" t="str" cm="1">
        <f t="array" ref="G100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1006" s="80" t="str" cm="1">
        <f t="array" ref="H100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1006" s="78" t="str" cm="1">
        <f t="array" ref="I100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1007" spans="1:9" hidden="1" x14ac:dyDescent="0.3">
      <c r="A1007" s="82" t="str" cm="1">
        <f t="array" ref="A100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1007" s="79" t="str" cm="1">
        <f t="array" ref="B100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1007" s="108" t="str" cm="1">
        <f t="array" ref="C100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1007" s="79" t="str" cm="1">
        <f t="array" ref="D100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1007" s="79" t="str" cm="1">
        <f t="array" ref="E100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1007" s="80" t="str" cm="1">
        <f t="array" ref="F100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1007" s="80" t="str" cm="1">
        <f t="array" ref="G100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1007" s="80" t="str" cm="1">
        <f t="array" ref="H100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1007" s="78" t="str" cm="1">
        <f t="array" ref="I100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1008" spans="1:9" hidden="1" x14ac:dyDescent="0.3">
      <c r="A1008" s="82" t="str" cm="1">
        <f t="array" ref="A100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1008" s="79" t="str" cm="1">
        <f t="array" ref="B100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1008" s="108" t="str" cm="1">
        <f t="array" ref="C100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1008" s="79" t="str" cm="1">
        <f t="array" ref="D100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1008" s="79" t="str" cm="1">
        <f t="array" ref="E100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1008" s="80" t="str" cm="1">
        <f t="array" ref="F100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1008" s="80" t="str" cm="1">
        <f t="array" ref="G100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1008" s="80" t="str" cm="1">
        <f t="array" ref="H100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1008" s="78" t="str" cm="1">
        <f t="array" ref="I100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1009" spans="1:9" hidden="1" x14ac:dyDescent="0.3">
      <c r="A1009" s="82" t="str" cm="1">
        <f t="array" ref="A100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1009" s="79" t="str" cm="1">
        <f t="array" ref="B100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1009" s="108" t="str" cm="1">
        <f t="array" ref="C100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1009" s="79" t="str" cm="1">
        <f t="array" ref="D100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1009" s="79" t="str" cm="1">
        <f t="array" ref="E100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1009" s="80" t="str" cm="1">
        <f t="array" ref="F100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1009" s="80" t="str" cm="1">
        <f t="array" ref="G100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1009" s="80" t="str" cm="1">
        <f t="array" ref="H100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1009" s="78" t="str" cm="1">
        <f t="array" ref="I100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1010" spans="1:9" hidden="1" x14ac:dyDescent="0.3">
      <c r="A1010" s="82" t="str" cm="1">
        <f t="array" ref="A101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1010" s="79" t="str" cm="1">
        <f t="array" ref="B101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1010" s="108" t="str" cm="1">
        <f t="array" ref="C101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1010" s="79" t="str" cm="1">
        <f t="array" ref="D101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1010" s="79" t="str" cm="1">
        <f t="array" ref="E101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1010" s="80" t="str" cm="1">
        <f t="array" ref="F101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1010" s="80" t="str" cm="1">
        <f t="array" ref="G101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1010" s="80" t="str" cm="1">
        <f t="array" ref="H101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1010" s="78" t="str" cm="1">
        <f t="array" ref="I101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1011" spans="1:9" hidden="1" x14ac:dyDescent="0.3">
      <c r="A1011" s="82" t="str" cm="1">
        <f t="array" ref="A101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1011" s="79" t="str" cm="1">
        <f t="array" ref="B101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1011" s="108" t="str" cm="1">
        <f t="array" ref="C101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1011" s="79" t="str" cm="1">
        <f t="array" ref="D101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1011" s="79" t="str" cm="1">
        <f t="array" ref="E101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1011" s="80" t="str" cm="1">
        <f t="array" ref="F101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1011" s="80" t="str" cm="1">
        <f t="array" ref="G101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1011" s="80" t="str" cm="1">
        <f t="array" ref="H101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1011" s="78" t="str" cm="1">
        <f t="array" ref="I101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1012" spans="1:9" hidden="1" x14ac:dyDescent="0.3">
      <c r="A1012" s="82" t="str" cm="1">
        <f t="array" ref="A101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1012" s="79" t="str" cm="1">
        <f t="array" ref="B101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1012" s="108" t="str" cm="1">
        <f t="array" ref="C101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1012" s="79" t="str" cm="1">
        <f t="array" ref="D101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1012" s="79" t="str" cm="1">
        <f t="array" ref="E101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1012" s="80" t="str" cm="1">
        <f t="array" ref="F101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1012" s="80" t="str" cm="1">
        <f t="array" ref="G101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1012" s="80" t="str" cm="1">
        <f t="array" ref="H101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1012" s="78" t="str" cm="1">
        <f t="array" ref="I101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1013" spans="1:9" hidden="1" x14ac:dyDescent="0.3">
      <c r="A1013" s="82" t="str" cm="1">
        <f t="array" ref="A101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1013" s="79" t="str" cm="1">
        <f t="array" ref="B101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1013" s="108" t="str" cm="1">
        <f t="array" ref="C101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1013" s="79" t="str" cm="1">
        <f t="array" ref="D101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1013" s="79" t="str" cm="1">
        <f t="array" ref="E101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1013" s="80" t="str" cm="1">
        <f t="array" ref="F101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1013" s="80" t="str" cm="1">
        <f t="array" ref="G101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1013" s="80" t="str" cm="1">
        <f t="array" ref="H101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1013" s="78" t="str" cm="1">
        <f t="array" ref="I101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1014" spans="1:9" hidden="1" x14ac:dyDescent="0.3">
      <c r="A1014" s="82" t="str" cm="1">
        <f t="array" ref="A101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1014" s="79" t="str" cm="1">
        <f t="array" ref="B101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1014" s="108" t="str" cm="1">
        <f t="array" ref="C101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1014" s="79" t="str" cm="1">
        <f t="array" ref="D101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1014" s="79" t="str" cm="1">
        <f t="array" ref="E101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1014" s="80" t="str" cm="1">
        <f t="array" ref="F101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1014" s="80" t="str" cm="1">
        <f t="array" ref="G101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1014" s="80" t="str" cm="1">
        <f t="array" ref="H101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1014" s="78" t="str" cm="1">
        <f t="array" ref="I101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1015" spans="1:9" hidden="1" x14ac:dyDescent="0.3">
      <c r="A1015" s="82" t="str" cm="1">
        <f t="array" ref="A101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1015" s="79" t="str" cm="1">
        <f t="array" ref="B101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1015" s="108" t="str" cm="1">
        <f t="array" ref="C101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1015" s="79" t="str" cm="1">
        <f t="array" ref="D101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1015" s="79" t="str" cm="1">
        <f t="array" ref="E101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1015" s="80" t="str" cm="1">
        <f t="array" ref="F101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1015" s="80" t="str" cm="1">
        <f t="array" ref="G101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1015" s="80" t="str" cm="1">
        <f t="array" ref="H101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1015" s="78" t="str" cm="1">
        <f t="array" ref="I101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1016" spans="1:9" hidden="1" x14ac:dyDescent="0.3">
      <c r="A1016" s="82" t="str" cm="1">
        <f t="array" ref="A101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1016" s="79" t="str" cm="1">
        <f t="array" ref="B101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1016" s="108" t="str" cm="1">
        <f t="array" ref="C101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1016" s="79" t="str" cm="1">
        <f t="array" ref="D101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1016" s="79" t="str" cm="1">
        <f t="array" ref="E101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1016" s="80" t="str" cm="1">
        <f t="array" ref="F101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1016" s="80" t="str" cm="1">
        <f t="array" ref="G101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1016" s="80" t="str" cm="1">
        <f t="array" ref="H101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1016" s="78" t="str" cm="1">
        <f t="array" ref="I101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1017" spans="1:9" hidden="1" x14ac:dyDescent="0.3">
      <c r="A1017" s="82" t="str" cm="1">
        <f t="array" ref="A101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1017" s="79" t="str" cm="1">
        <f t="array" ref="B101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1017" s="108" t="str" cm="1">
        <f t="array" ref="C101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1017" s="79" t="str" cm="1">
        <f t="array" ref="D101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1017" s="79" t="str" cm="1">
        <f t="array" ref="E101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1017" s="80" t="str" cm="1">
        <f t="array" ref="F101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1017" s="80" t="str" cm="1">
        <f t="array" ref="G101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1017" s="80" t="str" cm="1">
        <f t="array" ref="H101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1017" s="78" t="str" cm="1">
        <f t="array" ref="I101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1018" spans="1:9" hidden="1" x14ac:dyDescent="0.3">
      <c r="A1018" s="82" t="str" cm="1">
        <f t="array" ref="A101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1018" s="79" t="str" cm="1">
        <f t="array" ref="B101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1018" s="108" t="str" cm="1">
        <f t="array" ref="C101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1018" s="79" t="str" cm="1">
        <f t="array" ref="D101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1018" s="79" t="str" cm="1">
        <f t="array" ref="E101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1018" s="80" t="str" cm="1">
        <f t="array" ref="F101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1018" s="80" t="str" cm="1">
        <f t="array" ref="G101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1018" s="80" t="str" cm="1">
        <f t="array" ref="H101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1018" s="78" t="str" cm="1">
        <f t="array" ref="I101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1019" spans="1:9" hidden="1" x14ac:dyDescent="0.3">
      <c r="A1019" s="82" t="str" cm="1">
        <f t="array" ref="A101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1019" s="79" t="str" cm="1">
        <f t="array" ref="B101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1019" s="108" t="str" cm="1">
        <f t="array" ref="C101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1019" s="79" t="str" cm="1">
        <f t="array" ref="D101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1019" s="79" t="str" cm="1">
        <f t="array" ref="E101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1019" s="80" t="str" cm="1">
        <f t="array" ref="F101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1019" s="80" t="str" cm="1">
        <f t="array" ref="G101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1019" s="80" t="str" cm="1">
        <f t="array" ref="H101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1019" s="78" t="str" cm="1">
        <f t="array" ref="I101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1020" spans="1:9" hidden="1" x14ac:dyDescent="0.3">
      <c r="A1020" s="82" t="str" cm="1">
        <f t="array" ref="A102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1020" s="79" t="str" cm="1">
        <f t="array" ref="B102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1020" s="108" t="str" cm="1">
        <f t="array" ref="C102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1020" s="79" t="str" cm="1">
        <f t="array" ref="D102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1020" s="79" t="str" cm="1">
        <f t="array" ref="E102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1020" s="80" t="str" cm="1">
        <f t="array" ref="F102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1020" s="80" t="str" cm="1">
        <f t="array" ref="G102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1020" s="80" t="str" cm="1">
        <f t="array" ref="H102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1020" s="78" t="str" cm="1">
        <f t="array" ref="I102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1021" spans="1:9" hidden="1" x14ac:dyDescent="0.3">
      <c r="A1021" s="82" t="str" cm="1">
        <f t="array" ref="A102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1021" s="79" t="str" cm="1">
        <f t="array" ref="B102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1021" s="108" t="str" cm="1">
        <f t="array" ref="C102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1021" s="79" t="str" cm="1">
        <f t="array" ref="D102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1021" s="79" t="str" cm="1">
        <f t="array" ref="E102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1021" s="80" t="str" cm="1">
        <f t="array" ref="F102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1021" s="80" t="str" cm="1">
        <f t="array" ref="G102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1021" s="80" t="str" cm="1">
        <f t="array" ref="H102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1021" s="78" t="str" cm="1">
        <f t="array" ref="I102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1022" spans="1:9" hidden="1" x14ac:dyDescent="0.3">
      <c r="A1022" s="82" t="str" cm="1">
        <f t="array" ref="A102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1022" s="79" t="str" cm="1">
        <f t="array" ref="B102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1022" s="108" t="str" cm="1">
        <f t="array" ref="C102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1022" s="79" t="str" cm="1">
        <f t="array" ref="D102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1022" s="79" t="str" cm="1">
        <f t="array" ref="E102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1022" s="80" t="str" cm="1">
        <f t="array" ref="F102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1022" s="80" t="str" cm="1">
        <f t="array" ref="G102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1022" s="80" t="str" cm="1">
        <f t="array" ref="H102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1022" s="78" t="str" cm="1">
        <f t="array" ref="I102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1023" spans="1:9" hidden="1" x14ac:dyDescent="0.3">
      <c r="A1023" s="82" t="str" cm="1">
        <f t="array" ref="A102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1023" s="79" t="str" cm="1">
        <f t="array" ref="B102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1023" s="108" t="str" cm="1">
        <f t="array" ref="C102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1023" s="79" t="str" cm="1">
        <f t="array" ref="D102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1023" s="79" t="str" cm="1">
        <f t="array" ref="E102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1023" s="80" t="str" cm="1">
        <f t="array" ref="F102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1023" s="80" t="str" cm="1">
        <f t="array" ref="G102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1023" s="80" t="str" cm="1">
        <f t="array" ref="H102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1023" s="78" t="str" cm="1">
        <f t="array" ref="I102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1024" spans="1:9" hidden="1" x14ac:dyDescent="0.3">
      <c r="A1024" s="82" t="str" cm="1">
        <f t="array" ref="A102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1024" s="79" t="str" cm="1">
        <f t="array" ref="B102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1024" s="108" t="str" cm="1">
        <f t="array" ref="C102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1024" s="79" t="str" cm="1">
        <f t="array" ref="D102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1024" s="79" t="str" cm="1">
        <f t="array" ref="E102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1024" s="80" t="str" cm="1">
        <f t="array" ref="F102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1024" s="80" t="str" cm="1">
        <f t="array" ref="G102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1024" s="80" t="str" cm="1">
        <f t="array" ref="H102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1024" s="78" t="str" cm="1">
        <f t="array" ref="I102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1025" spans="1:9" hidden="1" x14ac:dyDescent="0.3">
      <c r="A1025" s="82" t="str" cm="1">
        <f t="array" ref="A102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1025" s="79" t="str" cm="1">
        <f t="array" ref="B102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1025" s="108" t="str" cm="1">
        <f t="array" ref="C102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1025" s="79" t="str" cm="1">
        <f t="array" ref="D102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1025" s="79" t="str" cm="1">
        <f t="array" ref="E102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1025" s="80" t="str" cm="1">
        <f t="array" ref="F102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1025" s="80" t="str" cm="1">
        <f t="array" ref="G102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1025" s="80" t="str" cm="1">
        <f t="array" ref="H102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1025" s="78" t="str" cm="1">
        <f t="array" ref="I102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1026" spans="1:9" hidden="1" x14ac:dyDescent="0.3">
      <c r="A1026" s="82" t="str" cm="1">
        <f t="array" ref="A102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1026" s="79" t="str" cm="1">
        <f t="array" ref="B102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1026" s="108" t="str" cm="1">
        <f t="array" ref="C102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1026" s="79" t="str" cm="1">
        <f t="array" ref="D102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1026" s="79" t="str" cm="1">
        <f t="array" ref="E102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1026" s="80" t="str" cm="1">
        <f t="array" ref="F102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1026" s="80" t="str" cm="1">
        <f t="array" ref="G102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1026" s="80" t="str" cm="1">
        <f t="array" ref="H102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1026" s="78" t="str" cm="1">
        <f t="array" ref="I102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1027" spans="1:9" hidden="1" x14ac:dyDescent="0.3">
      <c r="A1027" s="82" t="str" cm="1">
        <f t="array" ref="A102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1027" s="79" t="str" cm="1">
        <f t="array" ref="B102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1027" s="108" t="str" cm="1">
        <f t="array" ref="C102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1027" s="79" t="str" cm="1">
        <f t="array" ref="D102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1027" s="79" t="str" cm="1">
        <f t="array" ref="E102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1027" s="80" t="str" cm="1">
        <f t="array" ref="F102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1027" s="80" t="str" cm="1">
        <f t="array" ref="G102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1027" s="80" t="str" cm="1">
        <f t="array" ref="H102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1027" s="78" t="str" cm="1">
        <f t="array" ref="I102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1028" spans="1:9" hidden="1" x14ac:dyDescent="0.3">
      <c r="A1028" s="82" t="str" cm="1">
        <f t="array" ref="A102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1028" s="79" t="str" cm="1">
        <f t="array" ref="B102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1028" s="108" t="str" cm="1">
        <f t="array" ref="C102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1028" s="79" t="str" cm="1">
        <f t="array" ref="D102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1028" s="79" t="str" cm="1">
        <f t="array" ref="E102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1028" s="80" t="str" cm="1">
        <f t="array" ref="F102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1028" s="80" t="str" cm="1">
        <f t="array" ref="G102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1028" s="80" t="str" cm="1">
        <f t="array" ref="H102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1028" s="78" t="str" cm="1">
        <f t="array" ref="I102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1029" spans="1:9" hidden="1" x14ac:dyDescent="0.3">
      <c r="A1029" s="82" t="str" cm="1">
        <f t="array" ref="A102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1029" s="79" t="str" cm="1">
        <f t="array" ref="B102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1029" s="108" t="str" cm="1">
        <f t="array" ref="C102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1029" s="79" t="str" cm="1">
        <f t="array" ref="D102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1029" s="79" t="str" cm="1">
        <f t="array" ref="E102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1029" s="80" t="str" cm="1">
        <f t="array" ref="F102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1029" s="80" t="str" cm="1">
        <f t="array" ref="G102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1029" s="80" t="str" cm="1">
        <f t="array" ref="H102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1029" s="78" t="str" cm="1">
        <f t="array" ref="I102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1030" spans="1:9" hidden="1" x14ac:dyDescent="0.3">
      <c r="A1030" s="82" t="str" cm="1">
        <f t="array" ref="A103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1030" s="79" t="str" cm="1">
        <f t="array" ref="B103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1030" s="108" t="str" cm="1">
        <f t="array" ref="C103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1030" s="79" t="str" cm="1">
        <f t="array" ref="D103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1030" s="79" t="str" cm="1">
        <f t="array" ref="E103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1030" s="80" t="str" cm="1">
        <f t="array" ref="F103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1030" s="80" t="str" cm="1">
        <f t="array" ref="G103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1030" s="80" t="str" cm="1">
        <f t="array" ref="H103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1030" s="78" t="str" cm="1">
        <f t="array" ref="I103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1031" spans="1:9" hidden="1" x14ac:dyDescent="0.3">
      <c r="A1031" s="82" t="str" cm="1">
        <f t="array" ref="A103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1031" s="79" t="str" cm="1">
        <f t="array" ref="B103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1031" s="108" t="str" cm="1">
        <f t="array" ref="C103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1031" s="79" t="str" cm="1">
        <f t="array" ref="D103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1031" s="79" t="str" cm="1">
        <f t="array" ref="E103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1031" s="80" t="str" cm="1">
        <f t="array" ref="F103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1031" s="80" t="str" cm="1">
        <f t="array" ref="G103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1031" s="80" t="str" cm="1">
        <f t="array" ref="H103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1031" s="78" t="str" cm="1">
        <f t="array" ref="I103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1032" spans="1:9" hidden="1" x14ac:dyDescent="0.3">
      <c r="A1032" s="82" t="str" cm="1">
        <f t="array" ref="A103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1032" s="79" t="str" cm="1">
        <f t="array" ref="B103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1032" s="108" t="str" cm="1">
        <f t="array" ref="C103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1032" s="79" t="str" cm="1">
        <f t="array" ref="D103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1032" s="79" t="str" cm="1">
        <f t="array" ref="E103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1032" s="80" t="str" cm="1">
        <f t="array" ref="F103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1032" s="80" t="str" cm="1">
        <f t="array" ref="G103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1032" s="80" t="str" cm="1">
        <f t="array" ref="H103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1032" s="78" t="str" cm="1">
        <f t="array" ref="I103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1033" spans="1:9" hidden="1" x14ac:dyDescent="0.3">
      <c r="A1033" s="82" t="str" cm="1">
        <f t="array" ref="A103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1033" s="79" t="str" cm="1">
        <f t="array" ref="B103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1033" s="108" t="str" cm="1">
        <f t="array" ref="C103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1033" s="79" t="str" cm="1">
        <f t="array" ref="D103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1033" s="79" t="str" cm="1">
        <f t="array" ref="E103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1033" s="80" t="str" cm="1">
        <f t="array" ref="F103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1033" s="80" t="str" cm="1">
        <f t="array" ref="G103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1033" s="80" t="str" cm="1">
        <f t="array" ref="H103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1033" s="78" t="str" cm="1">
        <f t="array" ref="I103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1034" spans="1:9" hidden="1" x14ac:dyDescent="0.3">
      <c r="A1034" s="82" t="str" cm="1">
        <f t="array" ref="A103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1034" s="79" t="str" cm="1">
        <f t="array" ref="B103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1034" s="108" t="str" cm="1">
        <f t="array" ref="C103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1034" s="79" t="str" cm="1">
        <f t="array" ref="D103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1034" s="79" t="str" cm="1">
        <f t="array" ref="E103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1034" s="80" t="str" cm="1">
        <f t="array" ref="F103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1034" s="80" t="str" cm="1">
        <f t="array" ref="G103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1034" s="80" t="str" cm="1">
        <f t="array" ref="H103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1034" s="78" t="str" cm="1">
        <f t="array" ref="I103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1035" spans="1:9" hidden="1" x14ac:dyDescent="0.3">
      <c r="A1035" s="82" t="str" cm="1">
        <f t="array" ref="A103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1035" s="79" t="str" cm="1">
        <f t="array" ref="B103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1035" s="108" t="str" cm="1">
        <f t="array" ref="C103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1035" s="79" t="str" cm="1">
        <f t="array" ref="D103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1035" s="79" t="str" cm="1">
        <f t="array" ref="E103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1035" s="80" t="str" cm="1">
        <f t="array" ref="F103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1035" s="80" t="str" cm="1">
        <f t="array" ref="G103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1035" s="80" t="str" cm="1">
        <f t="array" ref="H103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1035" s="78" t="str" cm="1">
        <f t="array" ref="I103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1036" spans="1:9" hidden="1" x14ac:dyDescent="0.3">
      <c r="A1036" s="82" t="str" cm="1">
        <f t="array" ref="A103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1036" s="79" t="str" cm="1">
        <f t="array" ref="B103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1036" s="108" t="str" cm="1">
        <f t="array" ref="C103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1036" s="79" t="str" cm="1">
        <f t="array" ref="D103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1036" s="79" t="str" cm="1">
        <f t="array" ref="E103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1036" s="80" t="str" cm="1">
        <f t="array" ref="F103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1036" s="80" t="str" cm="1">
        <f t="array" ref="G103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1036" s="80" t="str" cm="1">
        <f t="array" ref="H103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1036" s="78" t="str" cm="1">
        <f t="array" ref="I103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1037" spans="1:9" hidden="1" x14ac:dyDescent="0.3">
      <c r="A1037" s="82" t="str" cm="1">
        <f t="array" ref="A103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1037" s="79" t="str" cm="1">
        <f t="array" ref="B103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1037" s="108" t="str" cm="1">
        <f t="array" ref="C103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1037" s="79" t="str" cm="1">
        <f t="array" ref="D103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1037" s="79" t="str" cm="1">
        <f t="array" ref="E103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1037" s="80" t="str" cm="1">
        <f t="array" ref="F103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1037" s="80" t="str" cm="1">
        <f t="array" ref="G103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1037" s="80" t="str" cm="1">
        <f t="array" ref="H103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1037" s="78" t="str" cm="1">
        <f t="array" ref="I103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1038" spans="1:9" hidden="1" x14ac:dyDescent="0.3">
      <c r="A1038" s="82" t="str" cm="1">
        <f t="array" ref="A103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1038" s="79" t="str" cm="1">
        <f t="array" ref="B103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1038" s="108" t="str" cm="1">
        <f t="array" ref="C103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1038" s="79" t="str" cm="1">
        <f t="array" ref="D103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1038" s="79" t="str" cm="1">
        <f t="array" ref="E103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1038" s="80" t="str" cm="1">
        <f t="array" ref="F103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1038" s="80" t="str" cm="1">
        <f t="array" ref="G103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1038" s="80" t="str" cm="1">
        <f t="array" ref="H103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1038" s="78" t="str" cm="1">
        <f t="array" ref="I103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1039" spans="1:9" hidden="1" x14ac:dyDescent="0.3">
      <c r="A1039" s="82" t="str" cm="1">
        <f t="array" ref="A103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1039" s="79" t="str" cm="1">
        <f t="array" ref="B103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1039" s="108" t="str" cm="1">
        <f t="array" ref="C103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1039" s="79" t="str" cm="1">
        <f t="array" ref="D103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1039" s="79" t="str" cm="1">
        <f t="array" ref="E103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1039" s="80" t="str" cm="1">
        <f t="array" ref="F103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1039" s="80" t="str" cm="1">
        <f t="array" ref="G103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1039" s="80" t="str" cm="1">
        <f t="array" ref="H103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1039" s="78" t="str" cm="1">
        <f t="array" ref="I103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1040" spans="1:9" hidden="1" x14ac:dyDescent="0.3">
      <c r="A1040" s="82" t="str" cm="1">
        <f t="array" ref="A104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1040" s="79" t="str" cm="1">
        <f t="array" ref="B104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1040" s="108" t="str" cm="1">
        <f t="array" ref="C104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1040" s="79" t="str" cm="1">
        <f t="array" ref="D104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1040" s="79" t="str" cm="1">
        <f t="array" ref="E104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1040" s="80" t="str" cm="1">
        <f t="array" ref="F104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1040" s="80" t="str" cm="1">
        <f t="array" ref="G104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1040" s="80" t="str" cm="1">
        <f t="array" ref="H104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1040" s="78" t="str" cm="1">
        <f t="array" ref="I104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1041" spans="1:9" hidden="1" x14ac:dyDescent="0.3">
      <c r="A1041" s="82" t="str" cm="1">
        <f t="array" ref="A104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1041" s="79" t="str" cm="1">
        <f t="array" ref="B104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1041" s="108" t="str" cm="1">
        <f t="array" ref="C104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1041" s="79" t="str" cm="1">
        <f t="array" ref="D104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1041" s="79" t="str" cm="1">
        <f t="array" ref="E104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1041" s="80" t="str" cm="1">
        <f t="array" ref="F104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1041" s="80" t="str" cm="1">
        <f t="array" ref="G104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1041" s="80" t="str" cm="1">
        <f t="array" ref="H104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1041" s="78" t="str" cm="1">
        <f t="array" ref="I104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1042" spans="1:9" hidden="1" x14ac:dyDescent="0.3">
      <c r="A1042" s="82" t="str" cm="1">
        <f t="array" ref="A104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1042" s="79" t="str" cm="1">
        <f t="array" ref="B104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1042" s="108" t="str" cm="1">
        <f t="array" ref="C104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1042" s="79" t="str" cm="1">
        <f t="array" ref="D104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1042" s="79" t="str" cm="1">
        <f t="array" ref="E104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1042" s="80" t="str" cm="1">
        <f t="array" ref="F104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1042" s="80" t="str" cm="1">
        <f t="array" ref="G104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1042" s="80" t="str" cm="1">
        <f t="array" ref="H104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1042" s="78" t="str" cm="1">
        <f t="array" ref="I104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1043" spans="1:9" hidden="1" x14ac:dyDescent="0.3">
      <c r="A1043" s="82" t="str" cm="1">
        <f t="array" ref="A104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1043" s="79" t="str" cm="1">
        <f t="array" ref="B104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1043" s="108" t="str" cm="1">
        <f t="array" ref="C104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1043" s="79" t="str" cm="1">
        <f t="array" ref="D104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1043" s="79" t="str" cm="1">
        <f t="array" ref="E104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1043" s="80" t="str" cm="1">
        <f t="array" ref="F104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1043" s="80" t="str" cm="1">
        <f t="array" ref="G104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1043" s="80" t="str" cm="1">
        <f t="array" ref="H104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1043" s="78" t="str" cm="1">
        <f t="array" ref="I104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1044" spans="1:9" hidden="1" x14ac:dyDescent="0.3">
      <c r="A1044" s="82" t="str" cm="1">
        <f t="array" ref="A104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1044" s="79" t="str" cm="1">
        <f t="array" ref="B104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1044" s="108" t="str" cm="1">
        <f t="array" ref="C104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1044" s="79" t="str" cm="1">
        <f t="array" ref="D104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1044" s="79" t="str" cm="1">
        <f t="array" ref="E104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1044" s="80" t="str" cm="1">
        <f t="array" ref="F104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1044" s="80" t="str" cm="1">
        <f t="array" ref="G104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1044" s="80" t="str" cm="1">
        <f t="array" ref="H104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1044" s="78" t="str" cm="1">
        <f t="array" ref="I104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1045" spans="1:9" hidden="1" x14ac:dyDescent="0.3">
      <c r="A1045" s="82" t="str" cm="1">
        <f t="array" ref="A104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1045" s="79" t="str" cm="1">
        <f t="array" ref="B104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1045" s="108" t="str" cm="1">
        <f t="array" ref="C104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1045" s="79" t="str" cm="1">
        <f t="array" ref="D104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1045" s="79" t="str" cm="1">
        <f t="array" ref="E104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1045" s="80" t="str" cm="1">
        <f t="array" ref="F104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1045" s="80" t="str" cm="1">
        <f t="array" ref="G104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1045" s="80" t="str" cm="1">
        <f t="array" ref="H104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1045" s="78" t="str" cm="1">
        <f t="array" ref="I104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1046" spans="1:9" hidden="1" x14ac:dyDescent="0.3">
      <c r="A1046" s="82" t="str" cm="1">
        <f t="array" ref="A104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1046" s="79" t="str" cm="1">
        <f t="array" ref="B104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1046" s="108" t="str" cm="1">
        <f t="array" ref="C104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1046" s="79" t="str" cm="1">
        <f t="array" ref="D104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1046" s="79" t="str" cm="1">
        <f t="array" ref="E104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1046" s="80" t="str" cm="1">
        <f t="array" ref="F104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1046" s="80" t="str" cm="1">
        <f t="array" ref="G104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1046" s="80" t="str" cm="1">
        <f t="array" ref="H104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1046" s="78" t="str" cm="1">
        <f t="array" ref="I104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1047" spans="1:9" hidden="1" x14ac:dyDescent="0.3">
      <c r="A1047" s="82" t="str" cm="1">
        <f t="array" ref="A104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1047" s="79" t="str" cm="1">
        <f t="array" ref="B104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1047" s="108" t="str" cm="1">
        <f t="array" ref="C104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1047" s="79" t="str" cm="1">
        <f t="array" ref="D104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1047" s="79" t="str" cm="1">
        <f t="array" ref="E104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1047" s="80" t="str" cm="1">
        <f t="array" ref="F104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1047" s="80" t="str" cm="1">
        <f t="array" ref="G104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1047" s="80" t="str" cm="1">
        <f t="array" ref="H104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1047" s="78" t="str" cm="1">
        <f t="array" ref="I104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1048" spans="1:9" hidden="1" x14ac:dyDescent="0.3">
      <c r="A1048" s="82" t="str" cm="1">
        <f t="array" ref="A104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1048" s="79" t="str" cm="1">
        <f t="array" ref="B104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1048" s="108" t="str" cm="1">
        <f t="array" ref="C104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1048" s="79" t="str" cm="1">
        <f t="array" ref="D104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1048" s="79" t="str" cm="1">
        <f t="array" ref="E104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1048" s="80" t="str" cm="1">
        <f t="array" ref="F104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1048" s="80" t="str" cm="1">
        <f t="array" ref="G104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1048" s="80" t="str" cm="1">
        <f t="array" ref="H104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1048" s="78" t="str" cm="1">
        <f t="array" ref="I104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1049" spans="1:9" hidden="1" x14ac:dyDescent="0.3">
      <c r="A1049" s="82" t="str" cm="1">
        <f t="array" ref="A104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1049" s="79" t="str" cm="1">
        <f t="array" ref="B104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1049" s="108" t="str" cm="1">
        <f t="array" ref="C104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1049" s="79" t="str" cm="1">
        <f t="array" ref="D104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1049" s="79" t="str" cm="1">
        <f t="array" ref="E104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1049" s="80" t="str" cm="1">
        <f t="array" ref="F104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1049" s="80" t="str" cm="1">
        <f t="array" ref="G104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1049" s="80" t="str" cm="1">
        <f t="array" ref="H104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1049" s="78" t="str" cm="1">
        <f t="array" ref="I104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1050" spans="1:9" hidden="1" x14ac:dyDescent="0.3">
      <c r="A1050" s="82" t="str" cm="1">
        <f t="array" ref="A105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1050" s="79" t="str" cm="1">
        <f t="array" ref="B105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1050" s="108" t="str" cm="1">
        <f t="array" ref="C105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1050" s="79" t="str" cm="1">
        <f t="array" ref="D105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1050" s="79" t="str" cm="1">
        <f t="array" ref="E105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1050" s="80" t="str" cm="1">
        <f t="array" ref="F105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1050" s="80" t="str" cm="1">
        <f t="array" ref="G105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1050" s="80" t="str" cm="1">
        <f t="array" ref="H105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1050" s="78" t="str" cm="1">
        <f t="array" ref="I105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1051" spans="1:9" hidden="1" x14ac:dyDescent="0.3">
      <c r="A1051" s="82" t="str" cm="1">
        <f t="array" ref="A105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1051" s="79" t="str" cm="1">
        <f t="array" ref="B105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1051" s="108" t="str" cm="1">
        <f t="array" ref="C105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1051" s="79" t="str" cm="1">
        <f t="array" ref="D105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1051" s="79" t="str" cm="1">
        <f t="array" ref="E105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1051" s="80" t="str" cm="1">
        <f t="array" ref="F105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1051" s="80" t="str" cm="1">
        <f t="array" ref="G105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1051" s="80" t="str" cm="1">
        <f t="array" ref="H105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1051" s="78" t="str" cm="1">
        <f t="array" ref="I105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1052" spans="1:9" hidden="1" x14ac:dyDescent="0.3">
      <c r="A1052" s="82" t="str" cm="1">
        <f t="array" ref="A105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1052" s="79" t="str" cm="1">
        <f t="array" ref="B105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1052" s="108" t="str" cm="1">
        <f t="array" ref="C105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1052" s="79" t="str" cm="1">
        <f t="array" ref="D105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1052" s="79" t="str" cm="1">
        <f t="array" ref="E105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1052" s="80" t="str" cm="1">
        <f t="array" ref="F105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1052" s="80" t="str" cm="1">
        <f t="array" ref="G105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1052" s="80" t="str" cm="1">
        <f t="array" ref="H105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1052" s="78" t="str" cm="1">
        <f t="array" ref="I105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1053" spans="1:9" hidden="1" x14ac:dyDescent="0.3">
      <c r="A1053" s="82" t="str" cm="1">
        <f t="array" ref="A105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1053" s="79" t="str" cm="1">
        <f t="array" ref="B105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C1053" s="108" t="str" cm="1">
        <f t="array" ref="C105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D1053" s="79" t="str" cm="1">
        <f t="array" ref="D105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1053" s="79" t="str" cm="1">
        <f t="array" ref="E105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1053" s="80" t="str" cm="1">
        <f t="array" ref="F105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1053" s="80" t="str" cm="1">
        <f t="array" ref="G105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1053" s="80" t="str" cm="1">
        <f t="array" ref="H105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1053" s="78" t="str" cm="1">
        <f t="array" ref="I105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</sheetData>
  <pageMargins left="0.25" right="0.25" top="0.75" bottom="0.75" header="0.3" footer="0.3"/>
  <pageSetup paperSize="9" scale="67" fitToHeight="0" orientation="portrait" r:id="rId1"/>
  <headerFooter>
    <oddHeader>&amp;L&amp;G&amp;C&amp;"-,Bold"&amp;20ARRIVAL LIST</oddHeader>
    <oddFooter>&amp;L&amp;P of &amp;N&amp;RIssues On :&amp;D @ &amp;T</oddFooter>
  </headerFooter>
  <legacyDrawingHF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FE4583-3153-4C68-85BE-0C2EB84E2BFD}">
  <sheetPr codeName="Sheet10">
    <tabColor theme="5" tint="-0.249977111117893"/>
    <pageSetUpPr fitToPage="1"/>
  </sheetPr>
  <dimension ref="A1:I1002"/>
  <sheetViews>
    <sheetView zoomScaleNormal="100" zoomScalePageLayoutView="70" workbookViewId="0">
      <selection activeCell="I1019" sqref="I1019"/>
    </sheetView>
  </sheetViews>
  <sheetFormatPr defaultColWidth="9.88671875" defaultRowHeight="15.6" x14ac:dyDescent="0.3"/>
  <cols>
    <col min="1" max="1" width="12.109375" style="78" bestFit="1" customWidth="1"/>
    <col min="2" max="2" width="25.44140625" style="78" bestFit="1" customWidth="1"/>
    <col min="3" max="3" width="13.44140625" style="79" bestFit="1" customWidth="1"/>
    <col min="4" max="4" width="38.33203125" style="78" bestFit="1" customWidth="1"/>
    <col min="5" max="5" width="35.33203125" style="78" customWidth="1"/>
    <col min="6" max="6" width="5.88671875" style="75" customWidth="1"/>
    <col min="7" max="7" width="6.44140625" style="79" customWidth="1"/>
    <col min="8" max="8" width="9.88671875" style="77" customWidth="1"/>
    <col min="9" max="9" width="12" style="76" customWidth="1"/>
    <col min="10" max="10" width="9.88671875" style="75" customWidth="1"/>
    <col min="11" max="16384" width="9.88671875" style="75"/>
  </cols>
  <sheetData>
    <row r="1" spans="1:9" x14ac:dyDescent="0.3">
      <c r="A1" s="94" t="s">
        <v>228</v>
      </c>
      <c r="B1" s="93" t="s">
        <v>229</v>
      </c>
      <c r="C1" s="89"/>
      <c r="D1" s="87"/>
      <c r="E1" s="87"/>
      <c r="F1" s="92"/>
      <c r="G1" s="89"/>
      <c r="H1" s="86"/>
      <c r="I1" s="91"/>
    </row>
    <row r="2" spans="1:9" x14ac:dyDescent="0.3">
      <c r="A2" s="90">
        <v>46047</v>
      </c>
      <c r="B2" s="90">
        <f>A2</f>
        <v>46047</v>
      </c>
      <c r="C2" s="89"/>
      <c r="D2" s="87"/>
      <c r="E2" s="87"/>
      <c r="F2" s="110"/>
      <c r="G2" s="109" t="s">
        <v>1366</v>
      </c>
      <c r="H2" s="81" t="s">
        <v>1366</v>
      </c>
      <c r="I2" s="111"/>
    </row>
    <row r="3" spans="1:9" x14ac:dyDescent="0.3">
      <c r="A3" s="87"/>
      <c r="B3" s="87"/>
      <c r="C3" s="89"/>
      <c r="D3" s="87"/>
      <c r="E3" s="87"/>
      <c r="F3" s="88"/>
      <c r="G3" s="89"/>
      <c r="H3" s="86"/>
      <c r="I3" s="85"/>
    </row>
    <row r="4" spans="1:9" x14ac:dyDescent="0.3">
      <c r="A4" s="83" t="s">
        <v>11</v>
      </c>
      <c r="B4" s="84" t="s">
        <v>36</v>
      </c>
      <c r="C4" s="83" t="s">
        <v>37</v>
      </c>
      <c r="D4" s="84" t="s">
        <v>8</v>
      </c>
      <c r="E4" s="84" t="s">
        <v>19</v>
      </c>
      <c r="F4" s="83" t="s">
        <v>15</v>
      </c>
      <c r="G4" s="83" t="s">
        <v>16</v>
      </c>
      <c r="H4" s="83" t="s">
        <v>17</v>
      </c>
      <c r="I4" s="83" t="s">
        <v>3</v>
      </c>
    </row>
    <row r="5" spans="1:9" hidden="1" x14ac:dyDescent="0.3">
      <c r="A5" s="82" t="str" cm="1">
        <f t="array" ref="A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5" s="79" t="e">
        <f>'BKG Bank'!#REF!</f>
        <v>#REF!</v>
      </c>
      <c r="C5" s="108" t="e">
        <f>'BKG Bank'!#REF!</f>
        <v>#REF!</v>
      </c>
      <c r="D5" s="79" t="str" cm="1">
        <f t="array" ref="D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5" s="79" t="str" cm="1">
        <f t="array" ref="E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5" s="80" t="str" cm="1">
        <f t="array" ref="F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5" s="80" t="str" cm="1">
        <f t="array" ref="G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5" s="80" t="str" cm="1">
        <f t="array" ref="H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5" s="78" t="str" cm="1">
        <f t="array" ref="I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6" spans="1:9" x14ac:dyDescent="0.3">
      <c r="A6" s="82" t="str" cm="1">
        <f t="array" ref="A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6" s="79" t="e">
        <f>'BKG Bank'!#REF!</f>
        <v>#REF!</v>
      </c>
      <c r="C6" s="108" t="e">
        <f>'BKG Bank'!#REF!</f>
        <v>#REF!</v>
      </c>
      <c r="D6" s="79" t="str" cm="1">
        <f t="array" ref="D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6" s="79" t="str" cm="1">
        <f t="array" ref="E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6" s="80" t="str" cm="1">
        <f t="array" ref="F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6" s="80" t="str" cm="1">
        <f t="array" ref="G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6" s="80" t="str" cm="1">
        <f t="array" ref="H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6" s="78" t="str" cm="1">
        <f t="array" ref="I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7" spans="1:9" x14ac:dyDescent="0.3">
      <c r="A7" s="82" t="str" cm="1">
        <f t="array" ref="A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7" s="79" t="e">
        <f>'BKG Bank'!#REF!</f>
        <v>#REF!</v>
      </c>
      <c r="C7" s="108" t="e">
        <f>'BKG Bank'!#REF!</f>
        <v>#REF!</v>
      </c>
      <c r="D7" s="79" t="str" cm="1">
        <f t="array" ref="D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7" s="79" t="str" cm="1">
        <f t="array" ref="E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7" s="80" t="str" cm="1">
        <f t="array" ref="F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7" s="80" t="str" cm="1">
        <f t="array" ref="G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7" s="80" t="str" cm="1">
        <f t="array" ref="H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7" s="78" t="str" cm="1">
        <f t="array" ref="I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8" spans="1:9" hidden="1" x14ac:dyDescent="0.3">
      <c r="A8" s="82" t="str" cm="1">
        <f t="array" ref="A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8" s="79" t="e">
        <f>'BKG Bank'!#REF!</f>
        <v>#REF!</v>
      </c>
      <c r="C8" s="108" t="e">
        <f>'BKG Bank'!#REF!</f>
        <v>#REF!</v>
      </c>
      <c r="D8" s="79" t="str" cm="1">
        <f t="array" ref="D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8" s="79" t="str" cm="1">
        <f t="array" ref="E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8" s="80" t="str" cm="1">
        <f t="array" ref="F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8" s="80" t="str" cm="1">
        <f t="array" ref="G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8" s="80" t="str" cm="1">
        <f t="array" ref="H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8" s="78" t="str" cm="1">
        <f t="array" ref="I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9" spans="1:9" hidden="1" x14ac:dyDescent="0.3">
      <c r="A9" s="82" t="str" cm="1">
        <f t="array" ref="A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9" s="79" t="e">
        <f>'BKG Bank'!#REF!</f>
        <v>#REF!</v>
      </c>
      <c r="C9" s="108" t="e">
        <f>'BKG Bank'!#REF!</f>
        <v>#REF!</v>
      </c>
      <c r="D9" s="79" t="str" cm="1">
        <f t="array" ref="D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9" s="79" t="str" cm="1">
        <f t="array" ref="E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9" s="80" t="str" cm="1">
        <f t="array" ref="F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9" s="80" t="str" cm="1">
        <f t="array" ref="G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9" s="80" t="str" cm="1">
        <f t="array" ref="H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9" s="78" t="str" cm="1">
        <f t="array" ref="I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10" spans="1:9" hidden="1" x14ac:dyDescent="0.3">
      <c r="A10" s="82" t="str" cm="1">
        <f t="array" ref="A1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10" s="79" t="e">
        <f>'BKG Bank'!#REF!</f>
        <v>#REF!</v>
      </c>
      <c r="C10" s="108" t="e">
        <f>'BKG Bank'!#REF!</f>
        <v>#REF!</v>
      </c>
      <c r="D10" s="79" t="str" cm="1">
        <f t="array" ref="D1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10" s="79" t="str" cm="1">
        <f t="array" ref="E1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10" s="80" t="str" cm="1">
        <f t="array" ref="F1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10" s="80" t="str" cm="1">
        <f t="array" ref="G1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10" s="80" t="str" cm="1">
        <f t="array" ref="H1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10" s="78" t="str" cm="1">
        <f t="array" ref="I1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11" spans="1:9" hidden="1" x14ac:dyDescent="0.3">
      <c r="A11" s="82" t="str" cm="1">
        <f t="array" ref="A1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11" s="79" t="e">
        <f>'BKG Bank'!#REF!</f>
        <v>#REF!</v>
      </c>
      <c r="C11" s="108" t="e">
        <f>'BKG Bank'!#REF!</f>
        <v>#REF!</v>
      </c>
      <c r="D11" s="79" t="str" cm="1">
        <f t="array" ref="D1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11" s="79" t="str" cm="1">
        <f t="array" ref="E1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11" s="80" t="str" cm="1">
        <f t="array" ref="F1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11" s="80" t="str" cm="1">
        <f t="array" ref="G1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11" s="80" t="str" cm="1">
        <f t="array" ref="H1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11" s="78" t="str" cm="1">
        <f t="array" ref="I1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12" spans="1:9" hidden="1" x14ac:dyDescent="0.3">
      <c r="A12" s="82" t="str" cm="1">
        <f t="array" ref="A1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12" s="79" t="e">
        <f>'BKG Bank'!#REF!</f>
        <v>#REF!</v>
      </c>
      <c r="C12" s="108" t="e">
        <f>'BKG Bank'!#REF!</f>
        <v>#REF!</v>
      </c>
      <c r="D12" s="79" t="str" cm="1">
        <f t="array" ref="D1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12" s="79" t="str" cm="1">
        <f t="array" ref="E1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12" s="80" t="str" cm="1">
        <f t="array" ref="F1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12" s="80" t="str" cm="1">
        <f t="array" ref="G1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12" s="80" t="str" cm="1">
        <f t="array" ref="H1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12" s="78" t="str" cm="1">
        <f t="array" ref="I1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13" spans="1:9" hidden="1" x14ac:dyDescent="0.3">
      <c r="A13" s="82" t="str" cm="1">
        <f t="array" ref="A1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13" s="79" t="e">
        <f>'BKG Bank'!#REF!</f>
        <v>#REF!</v>
      </c>
      <c r="C13" s="108" t="e">
        <f>'BKG Bank'!#REF!</f>
        <v>#REF!</v>
      </c>
      <c r="D13" s="79" t="str" cm="1">
        <f t="array" ref="D1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13" s="79" t="str" cm="1">
        <f t="array" ref="E1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13" s="80" t="str" cm="1">
        <f t="array" ref="F1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13" s="80" t="str" cm="1">
        <f t="array" ref="G1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13" s="80" t="str" cm="1">
        <f t="array" ref="H1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13" s="78" t="str" cm="1">
        <f t="array" ref="I1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14" spans="1:9" hidden="1" x14ac:dyDescent="0.3">
      <c r="A14" s="82" t="str" cm="1">
        <f t="array" ref="A1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14" s="79" t="e">
        <f>'BKG Bank'!#REF!</f>
        <v>#REF!</v>
      </c>
      <c r="C14" s="108" t="e">
        <f>'BKG Bank'!#REF!</f>
        <v>#REF!</v>
      </c>
      <c r="D14" s="79" t="str" cm="1">
        <f t="array" ref="D1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14" s="79" t="str" cm="1">
        <f t="array" ref="E1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14" s="80" t="str" cm="1">
        <f t="array" ref="F1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14" s="80" t="str" cm="1">
        <f t="array" ref="G1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14" s="80" t="str" cm="1">
        <f t="array" ref="H1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14" s="78" t="str" cm="1">
        <f t="array" ref="I1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15" spans="1:9" hidden="1" x14ac:dyDescent="0.3">
      <c r="A15" s="82" t="str" cm="1">
        <f t="array" ref="A1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15" s="79" t="e">
        <f>'BKG Bank'!#REF!</f>
        <v>#REF!</v>
      </c>
      <c r="C15" s="108" t="e">
        <f>'BKG Bank'!#REF!</f>
        <v>#REF!</v>
      </c>
      <c r="D15" s="79" t="str" cm="1">
        <f t="array" ref="D1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15" s="79" t="str" cm="1">
        <f t="array" ref="E1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15" s="80" t="str" cm="1">
        <f t="array" ref="F1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15" s="80" t="str" cm="1">
        <f t="array" ref="G1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15" s="80" t="str" cm="1">
        <f t="array" ref="H1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15" s="78" t="str" cm="1">
        <f t="array" ref="I1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16" spans="1:9" hidden="1" x14ac:dyDescent="0.3">
      <c r="A16" s="82" t="str" cm="1">
        <f t="array" ref="A1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16" s="79" t="e">
        <f>'BKG Bank'!#REF!</f>
        <v>#REF!</v>
      </c>
      <c r="C16" s="108" t="e">
        <f>'BKG Bank'!#REF!</f>
        <v>#REF!</v>
      </c>
      <c r="D16" s="79" t="str" cm="1">
        <f t="array" ref="D1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16" s="79" t="str" cm="1">
        <f t="array" ref="E1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16" s="80" t="str" cm="1">
        <f t="array" ref="F1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16" s="80" t="str" cm="1">
        <f t="array" ref="G1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16" s="80" t="str" cm="1">
        <f t="array" ref="H1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16" s="78" t="str" cm="1">
        <f t="array" ref="I1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17" spans="1:9" hidden="1" x14ac:dyDescent="0.3">
      <c r="A17" s="82" t="str" cm="1">
        <f t="array" ref="A1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17" s="79" t="e">
        <f>'BKG Bank'!#REF!</f>
        <v>#REF!</v>
      </c>
      <c r="C17" s="108" t="e">
        <f>'BKG Bank'!#REF!</f>
        <v>#REF!</v>
      </c>
      <c r="D17" s="79" t="str" cm="1">
        <f t="array" ref="D1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17" s="79" t="str" cm="1">
        <f t="array" ref="E1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17" s="80" t="str" cm="1">
        <f t="array" ref="F1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17" s="80" t="str" cm="1">
        <f t="array" ref="G1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17" s="80" t="str" cm="1">
        <f t="array" ref="H1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17" s="78" t="str" cm="1">
        <f t="array" ref="I1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18" spans="1:9" hidden="1" x14ac:dyDescent="0.3">
      <c r="A18" s="82" t="str" cm="1">
        <f t="array" ref="A1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18" s="79" t="e">
        <f>'BKG Bank'!#REF!</f>
        <v>#REF!</v>
      </c>
      <c r="C18" s="108" t="e">
        <f>'BKG Bank'!#REF!</f>
        <v>#REF!</v>
      </c>
      <c r="D18" s="79" t="str" cm="1">
        <f t="array" ref="D1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18" s="79" t="str" cm="1">
        <f t="array" ref="E1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18" s="80" t="str" cm="1">
        <f t="array" ref="F1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18" s="80" t="str" cm="1">
        <f t="array" ref="G1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18" s="80" t="str" cm="1">
        <f t="array" ref="H1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18" s="78" t="str" cm="1">
        <f t="array" ref="I1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19" spans="1:9" hidden="1" x14ac:dyDescent="0.3">
      <c r="A19" s="82" t="str" cm="1">
        <f t="array" ref="A1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19" s="79" t="e">
        <f>'BKG Bank'!#REF!</f>
        <v>#REF!</v>
      </c>
      <c r="C19" s="108" t="e">
        <f>'BKG Bank'!#REF!</f>
        <v>#REF!</v>
      </c>
      <c r="D19" s="79" t="str" cm="1">
        <f t="array" ref="D1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19" s="79" t="str" cm="1">
        <f t="array" ref="E1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19" s="80" t="str" cm="1">
        <f t="array" ref="F1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19" s="80" t="str" cm="1">
        <f t="array" ref="G1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19" s="80" t="str" cm="1">
        <f t="array" ref="H1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19" s="78" t="str" cm="1">
        <f t="array" ref="I1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20" spans="1:9" hidden="1" x14ac:dyDescent="0.3">
      <c r="A20" s="82" t="str" cm="1">
        <f t="array" ref="A2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20" s="79" t="e">
        <f>'BKG Bank'!#REF!</f>
        <v>#REF!</v>
      </c>
      <c r="C20" s="108" t="e">
        <f>'BKG Bank'!#REF!</f>
        <v>#REF!</v>
      </c>
      <c r="D20" s="79" t="str" cm="1">
        <f t="array" ref="D2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20" s="79" t="str" cm="1">
        <f t="array" ref="E2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20" s="80" t="str" cm="1">
        <f t="array" ref="F2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20" s="80" t="str" cm="1">
        <f t="array" ref="G2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20" s="80" t="str" cm="1">
        <f t="array" ref="H2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20" s="78" t="str" cm="1">
        <f t="array" ref="I2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21" spans="1:9" hidden="1" x14ac:dyDescent="0.3">
      <c r="A21" s="82" t="str" cm="1">
        <f t="array" ref="A2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21" s="79" t="e">
        <f>'BKG Bank'!#REF!</f>
        <v>#REF!</v>
      </c>
      <c r="C21" s="108" t="e">
        <f>'BKG Bank'!#REF!</f>
        <v>#REF!</v>
      </c>
      <c r="D21" s="79" t="str" cm="1">
        <f t="array" ref="D2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21" s="79" t="str" cm="1">
        <f t="array" ref="E2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21" s="80" t="str" cm="1">
        <f t="array" ref="F2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21" s="80" t="str" cm="1">
        <f t="array" ref="G2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21" s="80" t="str" cm="1">
        <f t="array" ref="H2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21" s="78" t="str" cm="1">
        <f t="array" ref="I2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22" spans="1:9" hidden="1" x14ac:dyDescent="0.3">
      <c r="A22" s="82" t="str" cm="1">
        <f t="array" ref="A2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22" s="79" t="e">
        <f>'BKG Bank'!#REF!</f>
        <v>#REF!</v>
      </c>
      <c r="C22" s="108" t="e">
        <f>'BKG Bank'!#REF!</f>
        <v>#REF!</v>
      </c>
      <c r="D22" s="79" t="str" cm="1">
        <f t="array" ref="D2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22" s="79" t="str" cm="1">
        <f t="array" ref="E2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22" s="80" t="str" cm="1">
        <f t="array" ref="F2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22" s="80" t="str" cm="1">
        <f t="array" ref="G2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22" s="80" t="str" cm="1">
        <f t="array" ref="H2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22" s="78" t="str" cm="1">
        <f t="array" ref="I2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23" spans="1:9" hidden="1" x14ac:dyDescent="0.3">
      <c r="A23" s="82" t="str" cm="1">
        <f t="array" ref="A2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23" s="79" t="e">
        <f>'BKG Bank'!#REF!</f>
        <v>#REF!</v>
      </c>
      <c r="C23" s="108" t="e">
        <f>'BKG Bank'!#REF!</f>
        <v>#REF!</v>
      </c>
      <c r="D23" s="79" t="str" cm="1">
        <f t="array" ref="D2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23" s="79" t="str" cm="1">
        <f t="array" ref="E2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23" s="80" t="str" cm="1">
        <f t="array" ref="F2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23" s="80" t="str" cm="1">
        <f t="array" ref="G2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23" s="80" t="str" cm="1">
        <f t="array" ref="H2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23" s="78" t="str" cm="1">
        <f t="array" ref="I2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24" spans="1:9" hidden="1" x14ac:dyDescent="0.3">
      <c r="A24" s="82" t="str" cm="1">
        <f t="array" ref="A2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24" s="79" t="e">
        <f>'BKG Bank'!#REF!</f>
        <v>#REF!</v>
      </c>
      <c r="C24" s="108" t="e">
        <f>'BKG Bank'!#REF!</f>
        <v>#REF!</v>
      </c>
      <c r="D24" s="79" t="str" cm="1">
        <f t="array" ref="D2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24" s="79" t="str" cm="1">
        <f t="array" ref="E2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24" s="80" t="str" cm="1">
        <f t="array" ref="F2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24" s="80" t="str" cm="1">
        <f t="array" ref="G2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24" s="80" t="str" cm="1">
        <f t="array" ref="H2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24" s="78" t="str" cm="1">
        <f t="array" ref="I2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25" spans="1:9" hidden="1" x14ac:dyDescent="0.3">
      <c r="A25" s="82" t="str" cm="1">
        <f t="array" ref="A2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25" s="79" t="e">
        <f>'BKG Bank'!#REF!</f>
        <v>#REF!</v>
      </c>
      <c r="C25" s="108" t="e">
        <f>'BKG Bank'!#REF!</f>
        <v>#REF!</v>
      </c>
      <c r="D25" s="79" t="str" cm="1">
        <f t="array" ref="D2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25" s="79" t="str" cm="1">
        <f t="array" ref="E2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25" s="80" t="str" cm="1">
        <f t="array" ref="F2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25" s="80" t="str" cm="1">
        <f t="array" ref="G2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25" s="80" t="str" cm="1">
        <f t="array" ref="H2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25" s="78" t="str" cm="1">
        <f t="array" ref="I2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26" spans="1:9" hidden="1" x14ac:dyDescent="0.3">
      <c r="A26" s="82" t="str" cm="1">
        <f t="array" ref="A2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26" s="79" t="e">
        <f>'BKG Bank'!#REF!</f>
        <v>#REF!</v>
      </c>
      <c r="C26" s="108" t="e">
        <f>'BKG Bank'!#REF!</f>
        <v>#REF!</v>
      </c>
      <c r="D26" s="79" t="str" cm="1">
        <f t="array" ref="D2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26" s="79" t="str" cm="1">
        <f t="array" ref="E2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26" s="80" t="str" cm="1">
        <f t="array" ref="F2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26" s="80" t="str" cm="1">
        <f t="array" ref="G2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26" s="80" t="str" cm="1">
        <f t="array" ref="H2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26" s="78" t="str" cm="1">
        <f t="array" ref="I2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27" spans="1:9" hidden="1" x14ac:dyDescent="0.3">
      <c r="A27" s="82" t="str" cm="1">
        <f t="array" ref="A2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27" s="79" t="e">
        <f>'BKG Bank'!#REF!</f>
        <v>#REF!</v>
      </c>
      <c r="C27" s="108" t="e">
        <f>'BKG Bank'!#REF!</f>
        <v>#REF!</v>
      </c>
      <c r="D27" s="79" t="str" cm="1">
        <f t="array" ref="D2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27" s="79" t="str" cm="1">
        <f t="array" ref="E2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27" s="80" t="str" cm="1">
        <f t="array" ref="F2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27" s="80" t="str" cm="1">
        <f t="array" ref="G2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27" s="80" t="str" cm="1">
        <f t="array" ref="H2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27" s="78" t="str" cm="1">
        <f t="array" ref="I2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28" spans="1:9" hidden="1" x14ac:dyDescent="0.3">
      <c r="A28" s="82" t="str" cm="1">
        <f t="array" ref="A2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28" s="79" t="e">
        <f>'BKG Bank'!#REF!</f>
        <v>#REF!</v>
      </c>
      <c r="C28" s="108" t="e">
        <f>'BKG Bank'!#REF!</f>
        <v>#REF!</v>
      </c>
      <c r="D28" s="79" t="str" cm="1">
        <f t="array" ref="D2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28" s="79" t="str" cm="1">
        <f t="array" ref="E2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28" s="80" t="str" cm="1">
        <f t="array" ref="F2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28" s="80" t="str" cm="1">
        <f t="array" ref="G2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28" s="80" t="str" cm="1">
        <f t="array" ref="H2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28" s="78" t="str" cm="1">
        <f t="array" ref="I2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29" spans="1:9" hidden="1" x14ac:dyDescent="0.3">
      <c r="A29" s="82" t="str" cm="1">
        <f t="array" ref="A2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29" s="79" t="e">
        <f>'BKG Bank'!#REF!</f>
        <v>#REF!</v>
      </c>
      <c r="C29" s="108" t="e">
        <f>'BKG Bank'!#REF!</f>
        <v>#REF!</v>
      </c>
      <c r="D29" s="79" t="str" cm="1">
        <f t="array" ref="D2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29" s="79" t="str" cm="1">
        <f t="array" ref="E2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29" s="80" t="str" cm="1">
        <f t="array" ref="F2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29" s="80" t="str" cm="1">
        <f t="array" ref="G2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29" s="80" t="str" cm="1">
        <f t="array" ref="H2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29" s="78" t="str" cm="1">
        <f t="array" ref="I2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30" spans="1:9" hidden="1" x14ac:dyDescent="0.3">
      <c r="A30" s="82" t="str" cm="1">
        <f t="array" ref="A3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30" s="79" t="e">
        <f>'BKG Bank'!#REF!</f>
        <v>#REF!</v>
      </c>
      <c r="C30" s="108" t="e">
        <f>'BKG Bank'!#REF!</f>
        <v>#REF!</v>
      </c>
      <c r="D30" s="79" t="str" cm="1">
        <f t="array" ref="D3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30" s="79" t="str" cm="1">
        <f t="array" ref="E3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30" s="80" t="str" cm="1">
        <f t="array" ref="F3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30" s="80" t="str" cm="1">
        <f t="array" ref="G3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30" s="80" t="str" cm="1">
        <f t="array" ref="H3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30" s="78" t="str" cm="1">
        <f t="array" ref="I3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31" spans="1:9" hidden="1" x14ac:dyDescent="0.3">
      <c r="A31" s="82" t="str" cm="1">
        <f t="array" ref="A3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31" s="79" t="e">
        <f>'BKG Bank'!#REF!</f>
        <v>#REF!</v>
      </c>
      <c r="C31" s="108" t="e">
        <f>'BKG Bank'!#REF!</f>
        <v>#REF!</v>
      </c>
      <c r="D31" s="79" t="str" cm="1">
        <f t="array" ref="D3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31" s="79" t="str" cm="1">
        <f t="array" ref="E3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31" s="80" t="str" cm="1">
        <f t="array" ref="F3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31" s="80" t="str" cm="1">
        <f t="array" ref="G3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31" s="80" t="str" cm="1">
        <f t="array" ref="H3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31" s="78" t="str" cm="1">
        <f t="array" ref="I3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32" spans="1:9" hidden="1" x14ac:dyDescent="0.3">
      <c r="A32" s="82" t="str" cm="1">
        <f t="array" ref="A3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32" s="79" t="e">
        <f>'BKG Bank'!#REF!</f>
        <v>#REF!</v>
      </c>
      <c r="C32" s="108" t="e">
        <f>'BKG Bank'!#REF!</f>
        <v>#REF!</v>
      </c>
      <c r="D32" s="79" t="str" cm="1">
        <f t="array" ref="D3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32" s="79" t="str" cm="1">
        <f t="array" ref="E3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32" s="80" t="str" cm="1">
        <f t="array" ref="F3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32" s="80" t="str" cm="1">
        <f t="array" ref="G3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32" s="80" t="str" cm="1">
        <f t="array" ref="H3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32" s="78" t="str" cm="1">
        <f t="array" ref="I3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33" spans="1:9" hidden="1" x14ac:dyDescent="0.3">
      <c r="A33" s="82" t="str" cm="1">
        <f t="array" ref="A3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33" s="79" t="e">
        <f>'BKG Bank'!#REF!</f>
        <v>#REF!</v>
      </c>
      <c r="C33" s="108" t="e">
        <f>'BKG Bank'!#REF!</f>
        <v>#REF!</v>
      </c>
      <c r="D33" s="79" t="str" cm="1">
        <f t="array" ref="D3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33" s="79" t="str" cm="1">
        <f t="array" ref="E3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33" s="80" t="str" cm="1">
        <f t="array" ref="F3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33" s="80" t="str" cm="1">
        <f t="array" ref="G3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33" s="80" t="str" cm="1">
        <f t="array" ref="H3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33" s="78" t="str" cm="1">
        <f t="array" ref="I3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34" spans="1:9" hidden="1" x14ac:dyDescent="0.3">
      <c r="A34" s="82" t="str" cm="1">
        <f t="array" ref="A3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34" s="79" t="e">
        <f>'BKG Bank'!#REF!</f>
        <v>#REF!</v>
      </c>
      <c r="C34" s="108" t="e">
        <f>'BKG Bank'!#REF!</f>
        <v>#REF!</v>
      </c>
      <c r="D34" s="79" t="str" cm="1">
        <f t="array" ref="D3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34" s="79" t="str" cm="1">
        <f t="array" ref="E3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34" s="80" t="str" cm="1">
        <f t="array" ref="F3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34" s="80" t="str" cm="1">
        <f t="array" ref="G3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34" s="80" t="str" cm="1">
        <f t="array" ref="H3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34" s="78" t="str" cm="1">
        <f t="array" ref="I3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35" spans="1:9" hidden="1" x14ac:dyDescent="0.3">
      <c r="A35" s="82" t="str" cm="1">
        <f t="array" ref="A3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35" s="79" t="e">
        <f>'BKG Bank'!#REF!</f>
        <v>#REF!</v>
      </c>
      <c r="C35" s="108" t="e">
        <f>'BKG Bank'!#REF!</f>
        <v>#REF!</v>
      </c>
      <c r="D35" s="79" t="str" cm="1">
        <f t="array" ref="D3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35" s="79" t="str" cm="1">
        <f t="array" ref="E3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35" s="80" t="str" cm="1">
        <f t="array" ref="F3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35" s="80" t="str" cm="1">
        <f t="array" ref="G3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35" s="80" t="str" cm="1">
        <f t="array" ref="H3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35" s="78" t="str" cm="1">
        <f t="array" ref="I3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36" spans="1:9" hidden="1" x14ac:dyDescent="0.3">
      <c r="A36" s="82" t="str" cm="1">
        <f t="array" ref="A3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36" s="79" t="e">
        <f>'BKG Bank'!#REF!</f>
        <v>#REF!</v>
      </c>
      <c r="C36" s="108" t="e">
        <f>'BKG Bank'!#REF!</f>
        <v>#REF!</v>
      </c>
      <c r="D36" s="79" t="str" cm="1">
        <f t="array" ref="D3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36" s="79" t="str" cm="1">
        <f t="array" ref="E3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36" s="80" t="str" cm="1">
        <f t="array" ref="F3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36" s="80" t="str" cm="1">
        <f t="array" ref="G3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36" s="80" t="str" cm="1">
        <f t="array" ref="H3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36" s="78" t="str" cm="1">
        <f t="array" ref="I3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37" spans="1:9" hidden="1" x14ac:dyDescent="0.3">
      <c r="A37" s="82" t="str" cm="1">
        <f t="array" ref="A3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37" s="79" t="e">
        <f>'BKG Bank'!#REF!</f>
        <v>#REF!</v>
      </c>
      <c r="C37" s="108" t="e">
        <f>'BKG Bank'!#REF!</f>
        <v>#REF!</v>
      </c>
      <c r="D37" s="79" t="str" cm="1">
        <f t="array" ref="D3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37" s="79" t="str" cm="1">
        <f t="array" ref="E3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37" s="80" t="str" cm="1">
        <f t="array" ref="F3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37" s="80" t="str" cm="1">
        <f t="array" ref="G3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37" s="80" t="str" cm="1">
        <f t="array" ref="H3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37" s="78" t="str" cm="1">
        <f t="array" ref="I3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38" spans="1:9" hidden="1" x14ac:dyDescent="0.3">
      <c r="A38" s="82" t="str" cm="1">
        <f t="array" ref="A3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38" s="79" t="e">
        <f>'BKG Bank'!#REF!</f>
        <v>#REF!</v>
      </c>
      <c r="C38" s="108" t="e">
        <f>'BKG Bank'!#REF!</f>
        <v>#REF!</v>
      </c>
      <c r="D38" s="79" t="str" cm="1">
        <f t="array" ref="D3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38" s="79" t="str" cm="1">
        <f t="array" ref="E3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38" s="80" t="str" cm="1">
        <f t="array" ref="F3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38" s="80" t="str" cm="1">
        <f t="array" ref="G3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38" s="80" t="str" cm="1">
        <f t="array" ref="H3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38" s="78" t="str" cm="1">
        <f t="array" ref="I3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39" spans="1:9" hidden="1" x14ac:dyDescent="0.3">
      <c r="A39" s="82" t="str" cm="1">
        <f t="array" ref="A3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39" s="79" t="e">
        <f>'BKG Bank'!#REF!</f>
        <v>#REF!</v>
      </c>
      <c r="C39" s="108" t="e">
        <f>'BKG Bank'!#REF!</f>
        <v>#REF!</v>
      </c>
      <c r="D39" s="79" t="str" cm="1">
        <f t="array" ref="D3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39" s="79" t="str" cm="1">
        <f t="array" ref="E3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39" s="80" t="str" cm="1">
        <f t="array" ref="F3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39" s="80" t="str" cm="1">
        <f t="array" ref="G3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39" s="80" t="str" cm="1">
        <f t="array" ref="H3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39" s="78" t="str" cm="1">
        <f t="array" ref="I3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40" spans="1:9" hidden="1" x14ac:dyDescent="0.3">
      <c r="A40" s="82" t="str" cm="1">
        <f t="array" ref="A4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40" s="79" t="e">
        <f>'BKG Bank'!#REF!</f>
        <v>#REF!</v>
      </c>
      <c r="C40" s="108" t="e">
        <f>'BKG Bank'!#REF!</f>
        <v>#REF!</v>
      </c>
      <c r="D40" s="79" t="str" cm="1">
        <f t="array" ref="D4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40" s="79" t="str" cm="1">
        <f t="array" ref="E4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40" s="80" t="str" cm="1">
        <f t="array" ref="F4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40" s="80" t="str" cm="1">
        <f t="array" ref="G4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40" s="80" t="str" cm="1">
        <f t="array" ref="H4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40" s="78" t="str" cm="1">
        <f t="array" ref="I4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41" spans="1:9" hidden="1" x14ac:dyDescent="0.3">
      <c r="A41" s="82" t="str" cm="1">
        <f t="array" ref="A4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41" s="79" t="e">
        <f>'BKG Bank'!#REF!</f>
        <v>#REF!</v>
      </c>
      <c r="C41" s="108" t="e">
        <f>'BKG Bank'!#REF!</f>
        <v>#REF!</v>
      </c>
      <c r="D41" s="79" t="str" cm="1">
        <f t="array" ref="D4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41" s="79" t="str" cm="1">
        <f t="array" ref="E4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41" s="80" t="str" cm="1">
        <f t="array" ref="F4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41" s="80" t="str" cm="1">
        <f t="array" ref="G4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41" s="80" t="str" cm="1">
        <f t="array" ref="H4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41" s="78" t="str" cm="1">
        <f t="array" ref="I4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42" spans="1:9" hidden="1" x14ac:dyDescent="0.3">
      <c r="A42" s="82" t="str" cm="1">
        <f t="array" ref="A4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42" s="79" t="e">
        <f>'BKG Bank'!#REF!</f>
        <v>#REF!</v>
      </c>
      <c r="C42" s="108" t="e">
        <f>'BKG Bank'!#REF!</f>
        <v>#REF!</v>
      </c>
      <c r="D42" s="79" t="str" cm="1">
        <f t="array" ref="D4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42" s="79" t="str" cm="1">
        <f t="array" ref="E4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42" s="80" t="str" cm="1">
        <f t="array" ref="F4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42" s="80" t="str" cm="1">
        <f t="array" ref="G4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42" s="80" t="str" cm="1">
        <f t="array" ref="H4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42" s="78" t="str" cm="1">
        <f t="array" ref="I4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43" spans="1:9" hidden="1" x14ac:dyDescent="0.3">
      <c r="A43" s="82" t="str" cm="1">
        <f t="array" ref="A4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43" s="79" t="e">
        <f>'BKG Bank'!#REF!</f>
        <v>#REF!</v>
      </c>
      <c r="C43" s="108" t="e">
        <f>'BKG Bank'!#REF!</f>
        <v>#REF!</v>
      </c>
      <c r="D43" s="79" t="str" cm="1">
        <f t="array" ref="D4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43" s="79" t="str" cm="1">
        <f t="array" ref="E4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43" s="80" t="str" cm="1">
        <f t="array" ref="F4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43" s="80" t="str" cm="1">
        <f t="array" ref="G4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43" s="80" t="str" cm="1">
        <f t="array" ref="H4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43" s="78" t="str" cm="1">
        <f t="array" ref="I4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44" spans="1:9" hidden="1" x14ac:dyDescent="0.3">
      <c r="A44" s="82" t="str" cm="1">
        <f t="array" ref="A4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44" s="79" t="e">
        <f>'BKG Bank'!#REF!</f>
        <v>#REF!</v>
      </c>
      <c r="C44" s="108" t="e">
        <f>'BKG Bank'!#REF!</f>
        <v>#REF!</v>
      </c>
      <c r="D44" s="79" t="str" cm="1">
        <f t="array" ref="D4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44" s="79" t="str" cm="1">
        <f t="array" ref="E4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44" s="80" t="str" cm="1">
        <f t="array" ref="F4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44" s="80" t="str" cm="1">
        <f t="array" ref="G4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44" s="80" t="str" cm="1">
        <f t="array" ref="H4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44" s="78" t="str" cm="1">
        <f t="array" ref="I4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45" spans="1:9" hidden="1" x14ac:dyDescent="0.3">
      <c r="A45" s="82" t="str" cm="1">
        <f t="array" ref="A4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45" s="79" t="e">
        <f>'BKG Bank'!#REF!</f>
        <v>#REF!</v>
      </c>
      <c r="C45" s="108" t="e">
        <f>'BKG Bank'!#REF!</f>
        <v>#REF!</v>
      </c>
      <c r="D45" s="79" t="str" cm="1">
        <f t="array" ref="D4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45" s="79" t="str" cm="1">
        <f t="array" ref="E4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45" s="80" t="str" cm="1">
        <f t="array" ref="F4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45" s="80" t="str" cm="1">
        <f t="array" ref="G4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45" s="80" t="str" cm="1">
        <f t="array" ref="H4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45" s="78" t="str" cm="1">
        <f t="array" ref="I4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46" spans="1:9" hidden="1" x14ac:dyDescent="0.3">
      <c r="A46" s="82" t="str" cm="1">
        <f t="array" ref="A4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46" s="79" t="e">
        <f>'BKG Bank'!#REF!</f>
        <v>#REF!</v>
      </c>
      <c r="C46" s="108" t="e">
        <f>'BKG Bank'!#REF!</f>
        <v>#REF!</v>
      </c>
      <c r="D46" s="79" t="str" cm="1">
        <f t="array" ref="D4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46" s="79" t="str" cm="1">
        <f t="array" ref="E4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46" s="80" t="str" cm="1">
        <f t="array" ref="F4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46" s="80" t="str" cm="1">
        <f t="array" ref="G4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46" s="80" t="str" cm="1">
        <f t="array" ref="H4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46" s="78" t="str" cm="1">
        <f t="array" ref="I4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47" spans="1:9" hidden="1" x14ac:dyDescent="0.3">
      <c r="A47" s="82" t="str" cm="1">
        <f t="array" ref="A4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47" s="79" t="e">
        <f>'BKG Bank'!#REF!</f>
        <v>#REF!</v>
      </c>
      <c r="C47" s="108" t="e">
        <f>'BKG Bank'!#REF!</f>
        <v>#REF!</v>
      </c>
      <c r="D47" s="79" t="str" cm="1">
        <f t="array" ref="D4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47" s="79" t="str" cm="1">
        <f t="array" ref="E4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47" s="80" t="str" cm="1">
        <f t="array" ref="F4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47" s="80" t="str" cm="1">
        <f t="array" ref="G4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47" s="80" t="str" cm="1">
        <f t="array" ref="H4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47" s="78" t="str" cm="1">
        <f t="array" ref="I4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48" spans="1:9" hidden="1" x14ac:dyDescent="0.3">
      <c r="A48" s="82" t="str" cm="1">
        <f t="array" ref="A4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48" s="79" t="e">
        <f>'BKG Bank'!#REF!</f>
        <v>#REF!</v>
      </c>
      <c r="C48" s="108" t="e">
        <f>'BKG Bank'!#REF!</f>
        <v>#REF!</v>
      </c>
      <c r="D48" s="79" t="str" cm="1">
        <f t="array" ref="D4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48" s="79" t="str" cm="1">
        <f t="array" ref="E4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48" s="80" t="str" cm="1">
        <f t="array" ref="F4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48" s="80" t="str" cm="1">
        <f t="array" ref="G4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48" s="80" t="str" cm="1">
        <f t="array" ref="H4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48" s="78" t="str" cm="1">
        <f t="array" ref="I4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49" spans="1:9" hidden="1" x14ac:dyDescent="0.3">
      <c r="A49" s="82" t="str" cm="1">
        <f t="array" ref="A4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49" s="79" t="e">
        <f>'BKG Bank'!#REF!</f>
        <v>#REF!</v>
      </c>
      <c r="C49" s="108" t="e">
        <f>'BKG Bank'!#REF!</f>
        <v>#REF!</v>
      </c>
      <c r="D49" s="79" t="str" cm="1">
        <f t="array" ref="D4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49" s="79" t="str" cm="1">
        <f t="array" ref="E4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49" s="80" t="str" cm="1">
        <f t="array" ref="F4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49" s="80" t="str" cm="1">
        <f t="array" ref="G4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49" s="80" t="str" cm="1">
        <f t="array" ref="H4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49" s="78" t="str" cm="1">
        <f t="array" ref="I4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50" spans="1:9" hidden="1" x14ac:dyDescent="0.3">
      <c r="A50" s="82" t="str" cm="1">
        <f t="array" ref="A5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50" s="79" t="e">
        <f>'BKG Bank'!#REF!</f>
        <v>#REF!</v>
      </c>
      <c r="C50" s="108" t="e">
        <f>'BKG Bank'!#REF!</f>
        <v>#REF!</v>
      </c>
      <c r="D50" s="79" t="str" cm="1">
        <f t="array" ref="D5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50" s="79" t="str" cm="1">
        <f t="array" ref="E5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50" s="80" t="str" cm="1">
        <f t="array" ref="F5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50" s="80" t="str" cm="1">
        <f t="array" ref="G5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50" s="80" t="str" cm="1">
        <f t="array" ref="H5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50" s="78" t="str" cm="1">
        <f t="array" ref="I5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51" spans="1:9" hidden="1" x14ac:dyDescent="0.3">
      <c r="A51" s="82" t="str" cm="1">
        <f t="array" ref="A5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51" s="79" t="e">
        <f>'BKG Bank'!#REF!</f>
        <v>#REF!</v>
      </c>
      <c r="C51" s="108" t="e">
        <f>'BKG Bank'!#REF!</f>
        <v>#REF!</v>
      </c>
      <c r="D51" s="79" t="str" cm="1">
        <f t="array" ref="D5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51" s="79" t="str" cm="1">
        <f t="array" ref="E5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51" s="80" t="str" cm="1">
        <f t="array" ref="F5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51" s="80" t="str" cm="1">
        <f t="array" ref="G5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51" s="80" t="str" cm="1">
        <f t="array" ref="H5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51" s="78" t="str" cm="1">
        <f t="array" ref="I5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52" spans="1:9" hidden="1" x14ac:dyDescent="0.3">
      <c r="A52" s="82" t="str" cm="1">
        <f t="array" ref="A5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52" s="79" t="e">
        <f>'BKG Bank'!#REF!</f>
        <v>#REF!</v>
      </c>
      <c r="C52" s="108" t="e">
        <f>'BKG Bank'!#REF!</f>
        <v>#REF!</v>
      </c>
      <c r="D52" s="79" t="str" cm="1">
        <f t="array" ref="D5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52" s="79" t="str" cm="1">
        <f t="array" ref="E5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52" s="80" t="str" cm="1">
        <f t="array" ref="F5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52" s="80" t="str" cm="1">
        <f t="array" ref="G5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52" s="80" t="str" cm="1">
        <f t="array" ref="H5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52" s="78" t="str" cm="1">
        <f t="array" ref="I5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53" spans="1:9" hidden="1" x14ac:dyDescent="0.3">
      <c r="A53" s="82" t="str" cm="1">
        <f t="array" ref="A5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53" s="79" t="e">
        <f>'BKG Bank'!#REF!</f>
        <v>#REF!</v>
      </c>
      <c r="C53" s="108" t="e">
        <f>'BKG Bank'!#REF!</f>
        <v>#REF!</v>
      </c>
      <c r="D53" s="79" t="str" cm="1">
        <f t="array" ref="D5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53" s="79" t="str" cm="1">
        <f t="array" ref="E5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53" s="80" t="str" cm="1">
        <f t="array" ref="F5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53" s="80" t="str" cm="1">
        <f t="array" ref="G5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53" s="80" t="str" cm="1">
        <f t="array" ref="H5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53" s="78" t="str" cm="1">
        <f t="array" ref="I5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54" spans="1:9" hidden="1" x14ac:dyDescent="0.3">
      <c r="A54" s="82" t="str" cm="1">
        <f t="array" ref="A5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54" s="79" t="e">
        <f>'BKG Bank'!#REF!</f>
        <v>#REF!</v>
      </c>
      <c r="C54" s="108" t="e">
        <f>'BKG Bank'!#REF!</f>
        <v>#REF!</v>
      </c>
      <c r="D54" s="79" t="str" cm="1">
        <f t="array" ref="D5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54" s="79" t="str" cm="1">
        <f t="array" ref="E5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54" s="80" t="str" cm="1">
        <f t="array" ref="F5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54" s="80" t="str" cm="1">
        <f t="array" ref="G5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54" s="80" t="str" cm="1">
        <f t="array" ref="H5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54" s="78" t="str" cm="1">
        <f t="array" ref="I5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55" spans="1:9" hidden="1" x14ac:dyDescent="0.3">
      <c r="A55" s="82" t="str" cm="1">
        <f t="array" ref="A5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55" s="79" t="e">
        <f>'BKG Bank'!#REF!</f>
        <v>#REF!</v>
      </c>
      <c r="C55" s="108" t="e">
        <f>'BKG Bank'!#REF!</f>
        <v>#REF!</v>
      </c>
      <c r="D55" s="79" t="str" cm="1">
        <f t="array" ref="D5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55" s="79" t="str" cm="1">
        <f t="array" ref="E5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55" s="80" t="str" cm="1">
        <f t="array" ref="F5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55" s="80" t="str" cm="1">
        <f t="array" ref="G5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55" s="80" t="str" cm="1">
        <f t="array" ref="H5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55" s="78" t="str" cm="1">
        <f t="array" ref="I5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56" spans="1:9" hidden="1" x14ac:dyDescent="0.3">
      <c r="A56" s="82" t="str" cm="1">
        <f t="array" ref="A5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56" s="79" t="e">
        <f>'BKG Bank'!#REF!</f>
        <v>#REF!</v>
      </c>
      <c r="C56" s="108" t="e">
        <f>'BKG Bank'!#REF!</f>
        <v>#REF!</v>
      </c>
      <c r="D56" s="79" t="str" cm="1">
        <f t="array" ref="D5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56" s="79" t="str" cm="1">
        <f t="array" ref="E5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56" s="80" t="str" cm="1">
        <f t="array" ref="F5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56" s="80" t="str" cm="1">
        <f t="array" ref="G5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56" s="80" t="str" cm="1">
        <f t="array" ref="H5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56" s="78" t="str" cm="1">
        <f t="array" ref="I5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57" spans="1:9" hidden="1" x14ac:dyDescent="0.3">
      <c r="A57" s="82" t="str" cm="1">
        <f t="array" ref="A5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57" s="79" t="e">
        <f>'BKG Bank'!#REF!</f>
        <v>#REF!</v>
      </c>
      <c r="C57" s="108" t="e">
        <f>'BKG Bank'!#REF!</f>
        <v>#REF!</v>
      </c>
      <c r="D57" s="79" t="str" cm="1">
        <f t="array" ref="D5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57" s="79" t="str" cm="1">
        <f t="array" ref="E5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57" s="80" t="str" cm="1">
        <f t="array" ref="F5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57" s="80" t="str" cm="1">
        <f t="array" ref="G5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57" s="80" t="str" cm="1">
        <f t="array" ref="H5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57" s="78" t="str" cm="1">
        <f t="array" ref="I5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58" spans="1:9" hidden="1" x14ac:dyDescent="0.3">
      <c r="A58" s="82" t="str" cm="1">
        <f t="array" ref="A5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58" s="79" t="e">
        <f>'BKG Bank'!#REF!</f>
        <v>#REF!</v>
      </c>
      <c r="C58" s="108" t="e">
        <f>'BKG Bank'!#REF!</f>
        <v>#REF!</v>
      </c>
      <c r="D58" s="79" t="str" cm="1">
        <f t="array" ref="D5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58" s="79" t="str" cm="1">
        <f t="array" ref="E5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58" s="80" t="str" cm="1">
        <f t="array" ref="F5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58" s="80" t="str" cm="1">
        <f t="array" ref="G5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58" s="80" t="str" cm="1">
        <f t="array" ref="H5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58" s="78" t="str" cm="1">
        <f t="array" ref="I5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59" spans="1:9" hidden="1" x14ac:dyDescent="0.3">
      <c r="A59" s="82" t="str" cm="1">
        <f t="array" ref="A5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59" s="79" t="e">
        <f>'BKG Bank'!#REF!</f>
        <v>#REF!</v>
      </c>
      <c r="C59" s="108" t="e">
        <f>'BKG Bank'!#REF!</f>
        <v>#REF!</v>
      </c>
      <c r="D59" s="79" t="str" cm="1">
        <f t="array" ref="D5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59" s="79" t="str" cm="1">
        <f t="array" ref="E5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59" s="80" t="str" cm="1">
        <f t="array" ref="F5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59" s="80" t="str" cm="1">
        <f t="array" ref="G5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59" s="80" t="str" cm="1">
        <f t="array" ref="H5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59" s="78" t="str" cm="1">
        <f t="array" ref="I5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60" spans="1:9" hidden="1" x14ac:dyDescent="0.3">
      <c r="A60" s="82" t="str" cm="1">
        <f t="array" ref="A6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60" s="79" t="e">
        <f>'BKG Bank'!#REF!</f>
        <v>#REF!</v>
      </c>
      <c r="C60" s="108" t="e">
        <f>'BKG Bank'!#REF!</f>
        <v>#REF!</v>
      </c>
      <c r="D60" s="79" t="str" cm="1">
        <f t="array" ref="D6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60" s="79" t="str" cm="1">
        <f t="array" ref="E6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60" s="80" t="str" cm="1">
        <f t="array" ref="F6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60" s="80" t="str" cm="1">
        <f t="array" ref="G6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60" s="80" t="str" cm="1">
        <f t="array" ref="H6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60" s="78" t="str" cm="1">
        <f t="array" ref="I6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61" spans="1:9" hidden="1" x14ac:dyDescent="0.3">
      <c r="A61" s="82" t="str" cm="1">
        <f t="array" ref="A6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61" s="79" t="e">
        <f>'BKG Bank'!#REF!</f>
        <v>#REF!</v>
      </c>
      <c r="C61" s="108" t="e">
        <f>'BKG Bank'!#REF!</f>
        <v>#REF!</v>
      </c>
      <c r="D61" s="79" t="str" cm="1">
        <f t="array" ref="D6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61" s="79" t="str" cm="1">
        <f t="array" ref="E6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61" s="80" t="str" cm="1">
        <f t="array" ref="F6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61" s="80" t="str" cm="1">
        <f t="array" ref="G6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61" s="80" t="str" cm="1">
        <f t="array" ref="H6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61" s="78" t="str" cm="1">
        <f t="array" ref="I6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62" spans="1:9" hidden="1" x14ac:dyDescent="0.3">
      <c r="A62" s="82" t="str" cm="1">
        <f t="array" ref="A6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62" s="79" t="e">
        <f>'BKG Bank'!#REF!</f>
        <v>#REF!</v>
      </c>
      <c r="C62" s="108" t="e">
        <f>'BKG Bank'!#REF!</f>
        <v>#REF!</v>
      </c>
      <c r="D62" s="79" t="str" cm="1">
        <f t="array" ref="D6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62" s="79" t="str" cm="1">
        <f t="array" ref="E6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62" s="80" t="str" cm="1">
        <f t="array" ref="F6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62" s="80" t="str" cm="1">
        <f t="array" ref="G6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62" s="80" t="str" cm="1">
        <f t="array" ref="H6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62" s="78" t="str" cm="1">
        <f t="array" ref="I6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63" spans="1:9" hidden="1" x14ac:dyDescent="0.3">
      <c r="A63" s="82" t="str" cm="1">
        <f t="array" ref="A6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63" s="79" t="e">
        <f>'BKG Bank'!#REF!</f>
        <v>#REF!</v>
      </c>
      <c r="C63" s="108" t="e">
        <f>'BKG Bank'!#REF!</f>
        <v>#REF!</v>
      </c>
      <c r="D63" s="79" t="str" cm="1">
        <f t="array" ref="D6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63" s="79" t="str" cm="1">
        <f t="array" ref="E6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63" s="80" t="str" cm="1">
        <f t="array" ref="F6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63" s="80" t="str" cm="1">
        <f t="array" ref="G6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63" s="80" t="str" cm="1">
        <f t="array" ref="H6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63" s="78" t="str" cm="1">
        <f t="array" ref="I6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64" spans="1:9" hidden="1" x14ac:dyDescent="0.3">
      <c r="A64" s="82" t="str" cm="1">
        <f t="array" ref="A6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64" s="79" t="e">
        <f>'BKG Bank'!#REF!</f>
        <v>#REF!</v>
      </c>
      <c r="C64" s="108" t="e">
        <f>'BKG Bank'!#REF!</f>
        <v>#REF!</v>
      </c>
      <c r="D64" s="79" t="str" cm="1">
        <f t="array" ref="D6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64" s="79" t="str" cm="1">
        <f t="array" ref="E6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64" s="80" t="str" cm="1">
        <f t="array" ref="F6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64" s="80" t="str" cm="1">
        <f t="array" ref="G6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64" s="80" t="str" cm="1">
        <f t="array" ref="H6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64" s="78" t="str" cm="1">
        <f t="array" ref="I6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65" spans="1:9" hidden="1" x14ac:dyDescent="0.3">
      <c r="A65" s="82" t="str" cm="1">
        <f t="array" ref="A6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65" s="79" t="e">
        <f>'BKG Bank'!#REF!</f>
        <v>#REF!</v>
      </c>
      <c r="C65" s="108" t="e">
        <f>'BKG Bank'!#REF!</f>
        <v>#REF!</v>
      </c>
      <c r="D65" s="79" t="str" cm="1">
        <f t="array" ref="D6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65" s="79" t="str" cm="1">
        <f t="array" ref="E6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65" s="80" t="str" cm="1">
        <f t="array" ref="F6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65" s="80" t="str" cm="1">
        <f t="array" ref="G6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65" s="80" t="str" cm="1">
        <f t="array" ref="H6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65" s="78" t="str" cm="1">
        <f t="array" ref="I6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66" spans="1:9" hidden="1" x14ac:dyDescent="0.3">
      <c r="A66" s="82" t="str" cm="1">
        <f t="array" ref="A6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66" s="79" t="e">
        <f>'BKG Bank'!#REF!</f>
        <v>#REF!</v>
      </c>
      <c r="C66" s="108" t="e">
        <f>'BKG Bank'!#REF!</f>
        <v>#REF!</v>
      </c>
      <c r="D66" s="79" t="str" cm="1">
        <f t="array" ref="D6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66" s="79" t="str" cm="1">
        <f t="array" ref="E6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66" s="80" t="str" cm="1">
        <f t="array" ref="F6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66" s="80" t="str" cm="1">
        <f t="array" ref="G6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66" s="80" t="str" cm="1">
        <f t="array" ref="H6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66" s="78" t="str" cm="1">
        <f t="array" ref="I6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67" spans="1:9" hidden="1" x14ac:dyDescent="0.3">
      <c r="A67" s="82" t="str" cm="1">
        <f t="array" ref="A6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67" s="79" t="e">
        <f>'BKG Bank'!#REF!</f>
        <v>#REF!</v>
      </c>
      <c r="C67" s="108" t="e">
        <f>'BKG Bank'!#REF!</f>
        <v>#REF!</v>
      </c>
      <c r="D67" s="79" t="str" cm="1">
        <f t="array" ref="D6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67" s="79" t="str" cm="1">
        <f t="array" ref="E6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67" s="80" t="str" cm="1">
        <f t="array" ref="F6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67" s="80" t="str" cm="1">
        <f t="array" ref="G6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67" s="80" t="str" cm="1">
        <f t="array" ref="H6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67" s="78" t="str" cm="1">
        <f t="array" ref="I6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68" spans="1:9" hidden="1" x14ac:dyDescent="0.3">
      <c r="A68" s="82" t="str" cm="1">
        <f t="array" ref="A6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68" s="79" t="e">
        <f>'BKG Bank'!#REF!</f>
        <v>#REF!</v>
      </c>
      <c r="C68" s="108" t="e">
        <f>'BKG Bank'!#REF!</f>
        <v>#REF!</v>
      </c>
      <c r="D68" s="79" t="str" cm="1">
        <f t="array" ref="D6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68" s="79" t="str" cm="1">
        <f t="array" ref="E6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68" s="80" t="str" cm="1">
        <f t="array" ref="F6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68" s="80" t="str" cm="1">
        <f t="array" ref="G6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68" s="80" t="str" cm="1">
        <f t="array" ref="H6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68" s="78" t="str" cm="1">
        <f t="array" ref="I6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69" spans="1:9" hidden="1" x14ac:dyDescent="0.3">
      <c r="A69" s="82" t="str" cm="1">
        <f t="array" ref="A6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69" s="79" t="e">
        <f>'BKG Bank'!#REF!</f>
        <v>#REF!</v>
      </c>
      <c r="C69" s="108" t="e">
        <f>'BKG Bank'!#REF!</f>
        <v>#REF!</v>
      </c>
      <c r="D69" s="79" t="str" cm="1">
        <f t="array" ref="D6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69" s="79" t="str" cm="1">
        <f t="array" ref="E6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69" s="80" t="str" cm="1">
        <f t="array" ref="F6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69" s="80" t="str" cm="1">
        <f t="array" ref="G6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69" s="80" t="str" cm="1">
        <f t="array" ref="H6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69" s="78" t="str" cm="1">
        <f t="array" ref="I6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70" spans="1:9" hidden="1" x14ac:dyDescent="0.3">
      <c r="A70" s="82" t="str" cm="1">
        <f t="array" ref="A7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70" s="79" t="e">
        <f>'BKG Bank'!#REF!</f>
        <v>#REF!</v>
      </c>
      <c r="C70" s="108" t="e">
        <f>'BKG Bank'!#REF!</f>
        <v>#REF!</v>
      </c>
      <c r="D70" s="79" t="str" cm="1">
        <f t="array" ref="D7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70" s="79" t="str" cm="1">
        <f t="array" ref="E7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70" s="80" t="str" cm="1">
        <f t="array" ref="F7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70" s="80" t="str" cm="1">
        <f t="array" ref="G7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70" s="80" t="str" cm="1">
        <f t="array" ref="H7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70" s="78" t="str" cm="1">
        <f t="array" ref="I7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71" spans="1:9" hidden="1" x14ac:dyDescent="0.3">
      <c r="A71" s="82" t="str" cm="1">
        <f t="array" ref="A7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71" s="79" t="e">
        <f>'BKG Bank'!#REF!</f>
        <v>#REF!</v>
      </c>
      <c r="C71" s="108" t="e">
        <f>'BKG Bank'!#REF!</f>
        <v>#REF!</v>
      </c>
      <c r="D71" s="79" t="str" cm="1">
        <f t="array" ref="D7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71" s="79" t="str" cm="1">
        <f t="array" ref="E7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71" s="80" t="str" cm="1">
        <f t="array" ref="F7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71" s="80" t="str" cm="1">
        <f t="array" ref="G7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71" s="80" t="str" cm="1">
        <f t="array" ref="H7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71" s="78" t="str" cm="1">
        <f t="array" ref="I7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72" spans="1:9" hidden="1" x14ac:dyDescent="0.3">
      <c r="A72" s="82" t="str" cm="1">
        <f t="array" ref="A7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72" s="79" t="e">
        <f>'BKG Bank'!#REF!</f>
        <v>#REF!</v>
      </c>
      <c r="C72" s="108" t="e">
        <f>'BKG Bank'!#REF!</f>
        <v>#REF!</v>
      </c>
      <c r="D72" s="79" t="str" cm="1">
        <f t="array" ref="D7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72" s="79" t="str" cm="1">
        <f t="array" ref="E7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72" s="80" t="str" cm="1">
        <f t="array" ref="F7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72" s="80" t="str" cm="1">
        <f t="array" ref="G7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72" s="80" t="str" cm="1">
        <f t="array" ref="H7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72" s="78" t="str" cm="1">
        <f t="array" ref="I7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73" spans="1:9" hidden="1" x14ac:dyDescent="0.3">
      <c r="A73" s="82" t="str" cm="1">
        <f t="array" ref="A7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73" s="79" t="e">
        <f>'BKG Bank'!#REF!</f>
        <v>#REF!</v>
      </c>
      <c r="C73" s="108" t="e">
        <f>'BKG Bank'!#REF!</f>
        <v>#REF!</v>
      </c>
      <c r="D73" s="79" t="str" cm="1">
        <f t="array" ref="D7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73" s="79" t="str" cm="1">
        <f t="array" ref="E7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73" s="80" t="str" cm="1">
        <f t="array" ref="F7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73" s="80" t="str" cm="1">
        <f t="array" ref="G7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73" s="80" t="str" cm="1">
        <f t="array" ref="H7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73" s="78" t="str" cm="1">
        <f t="array" ref="I7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74" spans="1:9" hidden="1" x14ac:dyDescent="0.3">
      <c r="A74" s="82" t="str" cm="1">
        <f t="array" ref="A7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74" s="79" t="e">
        <f>'BKG Bank'!#REF!</f>
        <v>#REF!</v>
      </c>
      <c r="C74" s="108" t="e">
        <f>'BKG Bank'!#REF!</f>
        <v>#REF!</v>
      </c>
      <c r="D74" s="79" t="str" cm="1">
        <f t="array" ref="D7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74" s="79" t="str" cm="1">
        <f t="array" ref="E7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74" s="80" t="str" cm="1">
        <f t="array" ref="F7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74" s="80" t="str" cm="1">
        <f t="array" ref="G7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74" s="80" t="str" cm="1">
        <f t="array" ref="H7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74" s="78" t="str" cm="1">
        <f t="array" ref="I7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75" spans="1:9" hidden="1" x14ac:dyDescent="0.3">
      <c r="A75" s="82" t="str" cm="1">
        <f t="array" ref="A7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75" s="79" t="e">
        <f>'BKG Bank'!#REF!</f>
        <v>#REF!</v>
      </c>
      <c r="C75" s="108" t="e">
        <f>'BKG Bank'!#REF!</f>
        <v>#REF!</v>
      </c>
      <c r="D75" s="79" t="str" cm="1">
        <f t="array" ref="D7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75" s="79" t="str" cm="1">
        <f t="array" ref="E7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75" s="80" t="str" cm="1">
        <f t="array" ref="F7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75" s="80" t="str" cm="1">
        <f t="array" ref="G7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75" s="80" t="str" cm="1">
        <f t="array" ref="H7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75" s="78" t="str" cm="1">
        <f t="array" ref="I7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76" spans="1:9" hidden="1" x14ac:dyDescent="0.3">
      <c r="A76" s="82" t="str" cm="1">
        <f t="array" ref="A7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76" s="79" t="e">
        <f>'BKG Bank'!#REF!</f>
        <v>#REF!</v>
      </c>
      <c r="C76" s="108" t="e">
        <f>'BKG Bank'!#REF!</f>
        <v>#REF!</v>
      </c>
      <c r="D76" s="79" t="str" cm="1">
        <f t="array" ref="D7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76" s="79" t="str" cm="1">
        <f t="array" ref="E7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76" s="80" t="str" cm="1">
        <f t="array" ref="F7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76" s="80" t="str" cm="1">
        <f t="array" ref="G7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76" s="80" t="str" cm="1">
        <f t="array" ref="H7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76" s="78" t="str" cm="1">
        <f t="array" ref="I7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77" spans="1:9" hidden="1" x14ac:dyDescent="0.3">
      <c r="A77" s="82" t="str" cm="1">
        <f t="array" ref="A7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77" s="79" t="e">
        <f>'BKG Bank'!#REF!</f>
        <v>#REF!</v>
      </c>
      <c r="C77" s="108" t="e">
        <f>'BKG Bank'!#REF!</f>
        <v>#REF!</v>
      </c>
      <c r="D77" s="79" t="str" cm="1">
        <f t="array" ref="D7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77" s="79" t="str" cm="1">
        <f t="array" ref="E7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77" s="80" t="str" cm="1">
        <f t="array" ref="F7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77" s="80" t="str" cm="1">
        <f t="array" ref="G7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77" s="80" t="str" cm="1">
        <f t="array" ref="H7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77" s="78" t="str" cm="1">
        <f t="array" ref="I7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78" spans="1:9" hidden="1" x14ac:dyDescent="0.3">
      <c r="A78" s="82" t="str" cm="1">
        <f t="array" ref="A7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78" s="79" t="e">
        <f>'BKG Bank'!#REF!</f>
        <v>#REF!</v>
      </c>
      <c r="C78" s="108" t="e">
        <f>'BKG Bank'!#REF!</f>
        <v>#REF!</v>
      </c>
      <c r="D78" s="79" t="str" cm="1">
        <f t="array" ref="D7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78" s="79" t="str" cm="1">
        <f t="array" ref="E7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78" s="80" t="str" cm="1">
        <f t="array" ref="F7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78" s="80" t="str" cm="1">
        <f t="array" ref="G7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78" s="80" t="str" cm="1">
        <f t="array" ref="H7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78" s="78" t="str" cm="1">
        <f t="array" ref="I7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79" spans="1:9" hidden="1" x14ac:dyDescent="0.3">
      <c r="A79" s="82" t="str" cm="1">
        <f t="array" ref="A7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79" s="79" t="e">
        <f>'BKG Bank'!#REF!</f>
        <v>#REF!</v>
      </c>
      <c r="C79" s="108" t="e">
        <f>'BKG Bank'!#REF!</f>
        <v>#REF!</v>
      </c>
      <c r="D79" s="79" t="str" cm="1">
        <f t="array" ref="D7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79" s="79" t="str" cm="1">
        <f t="array" ref="E7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79" s="80" t="str" cm="1">
        <f t="array" ref="F7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79" s="80" t="str" cm="1">
        <f t="array" ref="G7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79" s="80" t="str" cm="1">
        <f t="array" ref="H7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79" s="78" t="str" cm="1">
        <f t="array" ref="I7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80" spans="1:9" hidden="1" x14ac:dyDescent="0.3">
      <c r="A80" s="82" t="str" cm="1">
        <f t="array" ref="A8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80" s="79" t="e">
        <f>'BKG Bank'!#REF!</f>
        <v>#REF!</v>
      </c>
      <c r="C80" s="108" t="e">
        <f>'BKG Bank'!#REF!</f>
        <v>#REF!</v>
      </c>
      <c r="D80" s="79" t="str" cm="1">
        <f t="array" ref="D8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80" s="79" t="str" cm="1">
        <f t="array" ref="E8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80" s="80" t="str" cm="1">
        <f t="array" ref="F8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80" s="80" t="str" cm="1">
        <f t="array" ref="G8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80" s="80" t="str" cm="1">
        <f t="array" ref="H8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80" s="78" t="str" cm="1">
        <f t="array" ref="I8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81" spans="1:9" hidden="1" x14ac:dyDescent="0.3">
      <c r="A81" s="82" t="str" cm="1">
        <f t="array" ref="A8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81" s="79" t="e">
        <f>'BKG Bank'!#REF!</f>
        <v>#REF!</v>
      </c>
      <c r="C81" s="108" t="e">
        <f>'BKG Bank'!#REF!</f>
        <v>#REF!</v>
      </c>
      <c r="D81" s="79" t="str" cm="1">
        <f t="array" ref="D8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81" s="79" t="str" cm="1">
        <f t="array" ref="E8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81" s="80" t="str" cm="1">
        <f t="array" ref="F8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81" s="80" t="str" cm="1">
        <f t="array" ref="G8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81" s="80" t="str" cm="1">
        <f t="array" ref="H8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81" s="78" t="str" cm="1">
        <f t="array" ref="I8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82" spans="1:9" hidden="1" x14ac:dyDescent="0.3">
      <c r="A82" s="82" t="str" cm="1">
        <f t="array" ref="A8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82" s="79" t="e">
        <f>'BKG Bank'!#REF!</f>
        <v>#REF!</v>
      </c>
      <c r="C82" s="108" t="e">
        <f>'BKG Bank'!#REF!</f>
        <v>#REF!</v>
      </c>
      <c r="D82" s="79" t="str" cm="1">
        <f t="array" ref="D8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82" s="79" t="str" cm="1">
        <f t="array" ref="E8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82" s="80" t="str" cm="1">
        <f t="array" ref="F8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82" s="80" t="str" cm="1">
        <f t="array" ref="G8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82" s="80" t="str" cm="1">
        <f t="array" ref="H8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82" s="78" t="str" cm="1">
        <f t="array" ref="I8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83" spans="1:9" hidden="1" x14ac:dyDescent="0.3">
      <c r="A83" s="82" t="str" cm="1">
        <f t="array" ref="A8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83" s="79" t="e">
        <f>'BKG Bank'!#REF!</f>
        <v>#REF!</v>
      </c>
      <c r="C83" s="108" t="e">
        <f>'BKG Bank'!#REF!</f>
        <v>#REF!</v>
      </c>
      <c r="D83" s="79" t="str" cm="1">
        <f t="array" ref="D8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83" s="79" t="str" cm="1">
        <f t="array" ref="E8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83" s="80" t="str" cm="1">
        <f t="array" ref="F8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83" s="80" t="str" cm="1">
        <f t="array" ref="G8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83" s="80" t="str" cm="1">
        <f t="array" ref="H8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83" s="78" t="str" cm="1">
        <f t="array" ref="I8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84" spans="1:9" hidden="1" x14ac:dyDescent="0.3">
      <c r="A84" s="82" t="str" cm="1">
        <f t="array" ref="A8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84" s="79" t="e">
        <f>'BKG Bank'!#REF!</f>
        <v>#REF!</v>
      </c>
      <c r="C84" s="108" t="e">
        <f>'BKG Bank'!#REF!</f>
        <v>#REF!</v>
      </c>
      <c r="D84" s="79" t="str" cm="1">
        <f t="array" ref="D8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84" s="79" t="str" cm="1">
        <f t="array" ref="E8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84" s="80" t="str" cm="1">
        <f t="array" ref="F8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84" s="80" t="str" cm="1">
        <f t="array" ref="G8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84" s="80" t="str" cm="1">
        <f t="array" ref="H8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84" s="78" t="str" cm="1">
        <f t="array" ref="I8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85" spans="1:9" hidden="1" x14ac:dyDescent="0.3">
      <c r="A85" s="82" t="str" cm="1">
        <f t="array" ref="A8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85" s="79" t="e">
        <f>'BKG Bank'!#REF!</f>
        <v>#REF!</v>
      </c>
      <c r="C85" s="108" t="e">
        <f>'BKG Bank'!#REF!</f>
        <v>#REF!</v>
      </c>
      <c r="D85" s="79" t="str" cm="1">
        <f t="array" ref="D8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85" s="79" t="str" cm="1">
        <f t="array" ref="E8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85" s="80" t="str" cm="1">
        <f t="array" ref="F8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85" s="80" t="str" cm="1">
        <f t="array" ref="G8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85" s="80" t="str" cm="1">
        <f t="array" ref="H8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85" s="78" t="str" cm="1">
        <f t="array" ref="I8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86" spans="1:9" hidden="1" x14ac:dyDescent="0.3">
      <c r="A86" s="82" t="str" cm="1">
        <f t="array" ref="A8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86" s="79" t="e">
        <f>'BKG Bank'!#REF!</f>
        <v>#REF!</v>
      </c>
      <c r="C86" s="108" t="e">
        <f>'BKG Bank'!#REF!</f>
        <v>#REF!</v>
      </c>
      <c r="D86" s="79" t="str" cm="1">
        <f t="array" ref="D8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86" s="79" t="str" cm="1">
        <f t="array" ref="E8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86" s="80" t="str" cm="1">
        <f t="array" ref="F8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86" s="80" t="str" cm="1">
        <f t="array" ref="G8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86" s="80" t="str" cm="1">
        <f t="array" ref="H8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86" s="78" t="str" cm="1">
        <f t="array" ref="I8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87" spans="1:9" hidden="1" x14ac:dyDescent="0.3">
      <c r="A87" s="82" t="str" cm="1">
        <f t="array" ref="A8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87" s="79" t="e">
        <f>'BKG Bank'!#REF!</f>
        <v>#REF!</v>
      </c>
      <c r="C87" s="108" t="e">
        <f>'BKG Bank'!#REF!</f>
        <v>#REF!</v>
      </c>
      <c r="D87" s="79" t="str" cm="1">
        <f t="array" ref="D8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87" s="79" t="str" cm="1">
        <f t="array" ref="E8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87" s="80" t="str" cm="1">
        <f t="array" ref="F8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87" s="80" t="str" cm="1">
        <f t="array" ref="G8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87" s="80" t="str" cm="1">
        <f t="array" ref="H8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87" s="78" t="str" cm="1">
        <f t="array" ref="I8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88" spans="1:9" hidden="1" x14ac:dyDescent="0.3">
      <c r="A88" s="82" t="str" cm="1">
        <f t="array" ref="A8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88" s="79" t="e">
        <f>'BKG Bank'!#REF!</f>
        <v>#REF!</v>
      </c>
      <c r="C88" s="108" t="e">
        <f>'BKG Bank'!#REF!</f>
        <v>#REF!</v>
      </c>
      <c r="D88" s="79" t="str" cm="1">
        <f t="array" ref="D8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88" s="79" t="str" cm="1">
        <f t="array" ref="E8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88" s="80" t="str" cm="1">
        <f t="array" ref="F8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88" s="80" t="str" cm="1">
        <f t="array" ref="G8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88" s="80" t="str" cm="1">
        <f t="array" ref="H8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88" s="78" t="str" cm="1">
        <f t="array" ref="I8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89" spans="1:9" hidden="1" x14ac:dyDescent="0.3">
      <c r="A89" s="82" t="str" cm="1">
        <f t="array" ref="A8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89" s="79" t="e">
        <f>'BKG Bank'!#REF!</f>
        <v>#REF!</v>
      </c>
      <c r="C89" s="108" t="e">
        <f>'BKG Bank'!#REF!</f>
        <v>#REF!</v>
      </c>
      <c r="D89" s="79" t="str" cm="1">
        <f t="array" ref="D8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89" s="79" t="str" cm="1">
        <f t="array" ref="E8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89" s="80" t="str" cm="1">
        <f t="array" ref="F8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89" s="80" t="str" cm="1">
        <f t="array" ref="G8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89" s="80" t="str" cm="1">
        <f t="array" ref="H8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89" s="78" t="str" cm="1">
        <f t="array" ref="I8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90" spans="1:9" hidden="1" x14ac:dyDescent="0.3">
      <c r="A90" s="82" t="str" cm="1">
        <f t="array" ref="A9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90" s="79" t="e">
        <f>'BKG Bank'!#REF!</f>
        <v>#REF!</v>
      </c>
      <c r="C90" s="108" t="e">
        <f>'BKG Bank'!#REF!</f>
        <v>#REF!</v>
      </c>
      <c r="D90" s="79" t="str" cm="1">
        <f t="array" ref="D9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90" s="79" t="str" cm="1">
        <f t="array" ref="E9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90" s="80" t="str" cm="1">
        <f t="array" ref="F9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90" s="80" t="str" cm="1">
        <f t="array" ref="G9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90" s="80" t="str" cm="1">
        <f t="array" ref="H9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90" s="78" t="str" cm="1">
        <f t="array" ref="I9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91" spans="1:9" hidden="1" x14ac:dyDescent="0.3">
      <c r="A91" s="82" t="str" cm="1">
        <f t="array" ref="A9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91" s="79" t="e">
        <f>'BKG Bank'!#REF!</f>
        <v>#REF!</v>
      </c>
      <c r="C91" s="108" t="e">
        <f>'BKG Bank'!#REF!</f>
        <v>#REF!</v>
      </c>
      <c r="D91" s="79" t="str" cm="1">
        <f t="array" ref="D9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91" s="79" t="str" cm="1">
        <f t="array" ref="E9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91" s="80" t="str" cm="1">
        <f t="array" ref="F9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91" s="80" t="str" cm="1">
        <f t="array" ref="G9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91" s="80" t="str" cm="1">
        <f t="array" ref="H9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91" s="78" t="str" cm="1">
        <f t="array" ref="I9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92" spans="1:9" hidden="1" x14ac:dyDescent="0.3">
      <c r="A92" s="82" t="str" cm="1">
        <f t="array" ref="A9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92" s="79" t="e">
        <f>'BKG Bank'!#REF!</f>
        <v>#REF!</v>
      </c>
      <c r="C92" s="108" t="e">
        <f>'BKG Bank'!#REF!</f>
        <v>#REF!</v>
      </c>
      <c r="D92" s="79" t="str" cm="1">
        <f t="array" ref="D9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92" s="79" t="str" cm="1">
        <f t="array" ref="E9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92" s="80" t="str" cm="1">
        <f t="array" ref="F9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92" s="80" t="str" cm="1">
        <f t="array" ref="G9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92" s="80" t="str" cm="1">
        <f t="array" ref="H9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92" s="78" t="str" cm="1">
        <f t="array" ref="I9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93" spans="1:9" hidden="1" x14ac:dyDescent="0.3">
      <c r="A93" s="82" t="str" cm="1">
        <f t="array" ref="A9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93" s="79" t="e">
        <f>'BKG Bank'!#REF!</f>
        <v>#REF!</v>
      </c>
      <c r="C93" s="108" t="e">
        <f>'BKG Bank'!#REF!</f>
        <v>#REF!</v>
      </c>
      <c r="D93" s="79" t="str" cm="1">
        <f t="array" ref="D9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93" s="79" t="str" cm="1">
        <f t="array" ref="E9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93" s="80" t="str" cm="1">
        <f t="array" ref="F9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93" s="80" t="str" cm="1">
        <f t="array" ref="G9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93" s="80" t="str" cm="1">
        <f t="array" ref="H9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93" s="78" t="str" cm="1">
        <f t="array" ref="I9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94" spans="1:9" hidden="1" x14ac:dyDescent="0.3">
      <c r="A94" s="82" t="str" cm="1">
        <f t="array" ref="A9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94" s="79" t="e">
        <f>'BKG Bank'!#REF!</f>
        <v>#REF!</v>
      </c>
      <c r="C94" s="108" t="e">
        <f>'BKG Bank'!#REF!</f>
        <v>#REF!</v>
      </c>
      <c r="D94" s="79" t="str" cm="1">
        <f t="array" ref="D9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94" s="79" t="str" cm="1">
        <f t="array" ref="E9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94" s="80" t="str" cm="1">
        <f t="array" ref="F9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94" s="80" t="str" cm="1">
        <f t="array" ref="G9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94" s="80" t="str" cm="1">
        <f t="array" ref="H9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94" s="78" t="str" cm="1">
        <f t="array" ref="I9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95" spans="1:9" hidden="1" x14ac:dyDescent="0.3">
      <c r="A95" s="82" t="str" cm="1">
        <f t="array" ref="A9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95" s="79" t="e">
        <f>'BKG Bank'!#REF!</f>
        <v>#REF!</v>
      </c>
      <c r="C95" s="108" t="e">
        <f>'BKG Bank'!#REF!</f>
        <v>#REF!</v>
      </c>
      <c r="D95" s="79" t="str" cm="1">
        <f t="array" ref="D9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95" s="79" t="str" cm="1">
        <f t="array" ref="E9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95" s="80" t="str" cm="1">
        <f t="array" ref="F9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95" s="80" t="str" cm="1">
        <f t="array" ref="G9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95" s="80" t="str" cm="1">
        <f t="array" ref="H9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95" s="78" t="str" cm="1">
        <f t="array" ref="I9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96" spans="1:9" hidden="1" x14ac:dyDescent="0.3">
      <c r="A96" s="82" t="str" cm="1">
        <f t="array" ref="A9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96" s="79" t="e">
        <f>'BKG Bank'!#REF!</f>
        <v>#REF!</v>
      </c>
      <c r="C96" s="108" t="e">
        <f>'BKG Bank'!#REF!</f>
        <v>#REF!</v>
      </c>
      <c r="D96" s="79" t="str" cm="1">
        <f t="array" ref="D9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96" s="79" t="str" cm="1">
        <f t="array" ref="E9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96" s="80" t="str" cm="1">
        <f t="array" ref="F9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96" s="80" t="str" cm="1">
        <f t="array" ref="G9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96" s="80" t="str" cm="1">
        <f t="array" ref="H9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96" s="78" t="str" cm="1">
        <f t="array" ref="I9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97" spans="1:9" hidden="1" x14ac:dyDescent="0.3">
      <c r="A97" s="82" t="str" cm="1">
        <f t="array" ref="A9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97" s="79" t="e">
        <f>'BKG Bank'!#REF!</f>
        <v>#REF!</v>
      </c>
      <c r="C97" s="108" t="e">
        <f>'BKG Bank'!#REF!</f>
        <v>#REF!</v>
      </c>
      <c r="D97" s="79" t="str" cm="1">
        <f t="array" ref="D9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97" s="79" t="str" cm="1">
        <f t="array" ref="E9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97" s="80" t="str" cm="1">
        <f t="array" ref="F9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97" s="80" t="str" cm="1">
        <f t="array" ref="G9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97" s="80" t="str" cm="1">
        <f t="array" ref="H9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97" s="78" t="str" cm="1">
        <f t="array" ref="I9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98" spans="1:9" hidden="1" x14ac:dyDescent="0.3">
      <c r="A98" s="82" t="str" cm="1">
        <f t="array" ref="A9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98" s="79" t="e">
        <f>'BKG Bank'!#REF!</f>
        <v>#REF!</v>
      </c>
      <c r="C98" s="108" t="e">
        <f>'BKG Bank'!#REF!</f>
        <v>#REF!</v>
      </c>
      <c r="D98" s="79" t="str" cm="1">
        <f t="array" ref="D9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98" s="79" t="str" cm="1">
        <f t="array" ref="E9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98" s="80" t="str" cm="1">
        <f t="array" ref="F9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98" s="80" t="str" cm="1">
        <f t="array" ref="G9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98" s="80" t="str" cm="1">
        <f t="array" ref="H9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98" s="78" t="str" cm="1">
        <f t="array" ref="I9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99" spans="1:9" hidden="1" x14ac:dyDescent="0.3">
      <c r="A99" s="82" t="str" cm="1">
        <f t="array" ref="A9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99" s="79" t="e">
        <f>'BKG Bank'!#REF!</f>
        <v>#REF!</v>
      </c>
      <c r="C99" s="108" t="e">
        <f>'BKG Bank'!#REF!</f>
        <v>#REF!</v>
      </c>
      <c r="D99" s="79" t="str" cm="1">
        <f t="array" ref="D9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99" s="79" t="str" cm="1">
        <f t="array" ref="E9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99" s="80" t="str" cm="1">
        <f t="array" ref="F9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99" s="80" t="str" cm="1">
        <f t="array" ref="G9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99" s="80" t="str" cm="1">
        <f t="array" ref="H9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99" s="78" t="str" cm="1">
        <f t="array" ref="I9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100" spans="1:9" hidden="1" x14ac:dyDescent="0.3">
      <c r="A100" s="82" t="str" cm="1">
        <f t="array" ref="A10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100" s="79" t="e">
        <f>'BKG Bank'!#REF!</f>
        <v>#REF!</v>
      </c>
      <c r="C100" s="108" t="e">
        <f>'BKG Bank'!#REF!</f>
        <v>#REF!</v>
      </c>
      <c r="D100" s="79" t="str" cm="1">
        <f t="array" ref="D10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100" s="79" t="str" cm="1">
        <f t="array" ref="E10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100" s="80" t="str" cm="1">
        <f t="array" ref="F10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100" s="80" t="str" cm="1">
        <f t="array" ref="G10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100" s="80" t="str" cm="1">
        <f t="array" ref="H10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100" s="78" t="str" cm="1">
        <f t="array" ref="I10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101" spans="1:9" hidden="1" x14ac:dyDescent="0.3">
      <c r="A101" s="82" t="str" cm="1">
        <f t="array" ref="A10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101" s="79" t="e">
        <f>'BKG Bank'!#REF!</f>
        <v>#REF!</v>
      </c>
      <c r="C101" s="108" t="e">
        <f>'BKG Bank'!#REF!</f>
        <v>#REF!</v>
      </c>
      <c r="D101" s="79" t="str" cm="1">
        <f t="array" ref="D10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101" s="79" t="str" cm="1">
        <f t="array" ref="E10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101" s="80" t="str" cm="1">
        <f t="array" ref="F10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101" s="80" t="str" cm="1">
        <f t="array" ref="G10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101" s="80" t="str" cm="1">
        <f t="array" ref="H10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101" s="78" t="str" cm="1">
        <f t="array" ref="I10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102" spans="1:9" hidden="1" x14ac:dyDescent="0.3">
      <c r="A102" s="82" t="str" cm="1">
        <f t="array" ref="A10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102" s="79" t="e">
        <f>'BKG Bank'!#REF!</f>
        <v>#REF!</v>
      </c>
      <c r="C102" s="108" t="e">
        <f>'BKG Bank'!#REF!</f>
        <v>#REF!</v>
      </c>
      <c r="D102" s="79" t="str" cm="1">
        <f t="array" ref="D10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102" s="79" t="str" cm="1">
        <f t="array" ref="E10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102" s="80" t="str" cm="1">
        <f t="array" ref="F10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102" s="80" t="str" cm="1">
        <f t="array" ref="G10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102" s="80" t="str" cm="1">
        <f t="array" ref="H10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102" s="78" t="str" cm="1">
        <f t="array" ref="I10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103" spans="1:9" hidden="1" x14ac:dyDescent="0.3">
      <c r="A103" s="82" t="str" cm="1">
        <f t="array" ref="A10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103" s="79" t="e">
        <f>'BKG Bank'!#REF!</f>
        <v>#REF!</v>
      </c>
      <c r="C103" s="108" t="e">
        <f>'BKG Bank'!#REF!</f>
        <v>#REF!</v>
      </c>
      <c r="D103" s="79" t="str" cm="1">
        <f t="array" ref="D10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103" s="79" t="str" cm="1">
        <f t="array" ref="E10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103" s="80" t="str" cm="1">
        <f t="array" ref="F10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103" s="80" t="str" cm="1">
        <f t="array" ref="G10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103" s="80" t="str" cm="1">
        <f t="array" ref="H10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103" s="78" t="str" cm="1">
        <f t="array" ref="I10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104" spans="1:9" hidden="1" x14ac:dyDescent="0.3">
      <c r="A104" s="82" t="str" cm="1">
        <f t="array" ref="A10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104" s="79" t="e">
        <f>'BKG Bank'!#REF!</f>
        <v>#REF!</v>
      </c>
      <c r="C104" s="108" t="e">
        <f>'BKG Bank'!#REF!</f>
        <v>#REF!</v>
      </c>
      <c r="D104" s="79" t="str" cm="1">
        <f t="array" ref="D10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104" s="79" t="str" cm="1">
        <f t="array" ref="E10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104" s="80" t="str" cm="1">
        <f t="array" ref="F10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104" s="80" t="str" cm="1">
        <f t="array" ref="G10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104" s="80" t="str" cm="1">
        <f t="array" ref="H10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104" s="78" t="str" cm="1">
        <f t="array" ref="I10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105" spans="1:9" hidden="1" x14ac:dyDescent="0.3">
      <c r="A105" s="82" t="str" cm="1">
        <f t="array" ref="A10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105" s="79" t="e">
        <f>'BKG Bank'!#REF!</f>
        <v>#REF!</v>
      </c>
      <c r="C105" s="108" t="e">
        <f>'BKG Bank'!#REF!</f>
        <v>#REF!</v>
      </c>
      <c r="D105" s="79" t="str" cm="1">
        <f t="array" ref="D10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105" s="79" t="str" cm="1">
        <f t="array" ref="E10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105" s="80" t="str" cm="1">
        <f t="array" ref="F10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105" s="80" t="str" cm="1">
        <f t="array" ref="G10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105" s="80" t="str" cm="1">
        <f t="array" ref="H10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105" s="78" t="str" cm="1">
        <f t="array" ref="I10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106" spans="1:9" hidden="1" x14ac:dyDescent="0.3">
      <c r="A106" s="82" t="str" cm="1">
        <f t="array" ref="A10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106" s="79" t="e">
        <f>'BKG Bank'!#REF!</f>
        <v>#REF!</v>
      </c>
      <c r="C106" s="108" t="e">
        <f>'BKG Bank'!#REF!</f>
        <v>#REF!</v>
      </c>
      <c r="D106" s="79" t="str" cm="1">
        <f t="array" ref="D10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106" s="79" t="str" cm="1">
        <f t="array" ref="E10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106" s="80" t="str" cm="1">
        <f t="array" ref="F10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106" s="80" t="str" cm="1">
        <f t="array" ref="G10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106" s="80" t="str" cm="1">
        <f t="array" ref="H10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106" s="78" t="str" cm="1">
        <f t="array" ref="I10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107" spans="1:9" hidden="1" x14ac:dyDescent="0.3">
      <c r="A107" s="82" t="str" cm="1">
        <f t="array" ref="A10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107" s="79" t="e">
        <f>'BKG Bank'!#REF!</f>
        <v>#REF!</v>
      </c>
      <c r="C107" s="108" t="e">
        <f>'BKG Bank'!#REF!</f>
        <v>#REF!</v>
      </c>
      <c r="D107" s="79" t="str" cm="1">
        <f t="array" ref="D10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107" s="79" t="str" cm="1">
        <f t="array" ref="E10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107" s="80" t="str" cm="1">
        <f t="array" ref="F10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107" s="80" t="str" cm="1">
        <f t="array" ref="G10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107" s="80" t="str" cm="1">
        <f t="array" ref="H10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107" s="78" t="str" cm="1">
        <f t="array" ref="I10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108" spans="1:9" hidden="1" x14ac:dyDescent="0.3">
      <c r="A108" s="82" t="str" cm="1">
        <f t="array" ref="A10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108" s="79" t="e">
        <f>'BKG Bank'!#REF!</f>
        <v>#REF!</v>
      </c>
      <c r="C108" s="108" t="e">
        <f>'BKG Bank'!#REF!</f>
        <v>#REF!</v>
      </c>
      <c r="D108" s="79" t="str" cm="1">
        <f t="array" ref="D10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108" s="79" t="str" cm="1">
        <f t="array" ref="E10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108" s="80" t="str" cm="1">
        <f t="array" ref="F10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108" s="80" t="str" cm="1">
        <f t="array" ref="G10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108" s="80" t="str" cm="1">
        <f t="array" ref="H10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108" s="78" t="str" cm="1">
        <f t="array" ref="I10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109" spans="1:9" hidden="1" x14ac:dyDescent="0.3">
      <c r="A109" s="82" t="str" cm="1">
        <f t="array" ref="A10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109" s="79" t="e">
        <f>'BKG Bank'!#REF!</f>
        <v>#REF!</v>
      </c>
      <c r="C109" s="108" t="e">
        <f>'BKG Bank'!#REF!</f>
        <v>#REF!</v>
      </c>
      <c r="D109" s="79" t="str" cm="1">
        <f t="array" ref="D10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109" s="79" t="str" cm="1">
        <f t="array" ref="E10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109" s="80" t="str" cm="1">
        <f t="array" ref="F10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109" s="80" t="str" cm="1">
        <f t="array" ref="G10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109" s="80" t="str" cm="1">
        <f t="array" ref="H10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109" s="78" t="str" cm="1">
        <f t="array" ref="I10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110" spans="1:9" hidden="1" x14ac:dyDescent="0.3">
      <c r="A110" s="82" t="str" cm="1">
        <f t="array" ref="A11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110" s="79" t="e">
        <f>'BKG Bank'!#REF!</f>
        <v>#REF!</v>
      </c>
      <c r="C110" s="108" t="e">
        <f>'BKG Bank'!#REF!</f>
        <v>#REF!</v>
      </c>
      <c r="D110" s="79" t="str" cm="1">
        <f t="array" ref="D11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110" s="79" t="str" cm="1">
        <f t="array" ref="E11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110" s="80" t="str" cm="1">
        <f t="array" ref="F11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110" s="80" t="str" cm="1">
        <f t="array" ref="G11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110" s="80" t="str" cm="1">
        <f t="array" ref="H11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110" s="78" t="str" cm="1">
        <f t="array" ref="I11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111" spans="1:9" hidden="1" x14ac:dyDescent="0.3">
      <c r="A111" s="82" t="str" cm="1">
        <f t="array" ref="A11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111" s="79" t="e">
        <f>'BKG Bank'!#REF!</f>
        <v>#REF!</v>
      </c>
      <c r="C111" s="108" t="e">
        <f>'BKG Bank'!#REF!</f>
        <v>#REF!</v>
      </c>
      <c r="D111" s="79" t="str" cm="1">
        <f t="array" ref="D11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111" s="79" t="str" cm="1">
        <f t="array" ref="E11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111" s="80" t="str" cm="1">
        <f t="array" ref="F11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111" s="80" t="str" cm="1">
        <f t="array" ref="G11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111" s="80" t="str" cm="1">
        <f t="array" ref="H11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111" s="78" t="str" cm="1">
        <f t="array" ref="I11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112" spans="1:9" hidden="1" x14ac:dyDescent="0.3">
      <c r="A112" s="82" t="str" cm="1">
        <f t="array" ref="A11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112" s="79" t="e">
        <f>'BKG Bank'!#REF!</f>
        <v>#REF!</v>
      </c>
      <c r="C112" s="108" t="e">
        <f>'BKG Bank'!#REF!</f>
        <v>#REF!</v>
      </c>
      <c r="D112" s="79" t="str" cm="1">
        <f t="array" ref="D11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112" s="79" t="str" cm="1">
        <f t="array" ref="E11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112" s="80" t="str" cm="1">
        <f t="array" ref="F11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112" s="80" t="str" cm="1">
        <f t="array" ref="G11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112" s="80" t="str" cm="1">
        <f t="array" ref="H11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112" s="78" t="str" cm="1">
        <f t="array" ref="I11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113" spans="1:9" hidden="1" x14ac:dyDescent="0.3">
      <c r="A113" s="82" t="str" cm="1">
        <f t="array" ref="A11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113" s="79" t="e">
        <f>'BKG Bank'!#REF!</f>
        <v>#REF!</v>
      </c>
      <c r="C113" s="108" t="e">
        <f>'BKG Bank'!#REF!</f>
        <v>#REF!</v>
      </c>
      <c r="D113" s="79" t="str" cm="1">
        <f t="array" ref="D11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113" s="79" t="str" cm="1">
        <f t="array" ref="E11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113" s="80" t="str" cm="1">
        <f t="array" ref="F11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113" s="80" t="str" cm="1">
        <f t="array" ref="G11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113" s="80" t="str" cm="1">
        <f t="array" ref="H11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113" s="78" t="str" cm="1">
        <f t="array" ref="I11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114" spans="1:9" hidden="1" x14ac:dyDescent="0.3">
      <c r="A114" s="82" t="str" cm="1">
        <f t="array" ref="A11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114" s="79" t="e">
        <f>'BKG Bank'!#REF!</f>
        <v>#REF!</v>
      </c>
      <c r="C114" s="108" t="e">
        <f>'BKG Bank'!#REF!</f>
        <v>#REF!</v>
      </c>
      <c r="D114" s="79" t="str" cm="1">
        <f t="array" ref="D11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114" s="79" t="str" cm="1">
        <f t="array" ref="E11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114" s="80" t="str" cm="1">
        <f t="array" ref="F11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114" s="80" t="str" cm="1">
        <f t="array" ref="G11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114" s="80" t="str" cm="1">
        <f t="array" ref="H11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114" s="78" t="str" cm="1">
        <f t="array" ref="I11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115" spans="1:9" hidden="1" x14ac:dyDescent="0.3">
      <c r="A115" s="82" t="str" cm="1">
        <f t="array" ref="A11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115" s="79" t="e">
        <f>'BKG Bank'!#REF!</f>
        <v>#REF!</v>
      </c>
      <c r="C115" s="108" t="e">
        <f>'BKG Bank'!#REF!</f>
        <v>#REF!</v>
      </c>
      <c r="D115" s="79" t="str" cm="1">
        <f t="array" ref="D11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115" s="79" t="str" cm="1">
        <f t="array" ref="E11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115" s="80" t="str" cm="1">
        <f t="array" ref="F11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115" s="80" t="str" cm="1">
        <f t="array" ref="G11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115" s="80" t="str" cm="1">
        <f t="array" ref="H11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115" s="78" t="str" cm="1">
        <f t="array" ref="I11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116" spans="1:9" hidden="1" x14ac:dyDescent="0.3">
      <c r="A116" s="82" t="str" cm="1">
        <f t="array" ref="A11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116" s="79" t="e">
        <f>'BKG Bank'!#REF!</f>
        <v>#REF!</v>
      </c>
      <c r="C116" s="108" t="e">
        <f>'BKG Bank'!#REF!</f>
        <v>#REF!</v>
      </c>
      <c r="D116" s="79" t="str" cm="1">
        <f t="array" ref="D11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116" s="79" t="str" cm="1">
        <f t="array" ref="E11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116" s="80" t="str" cm="1">
        <f t="array" ref="F11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116" s="80" t="str" cm="1">
        <f t="array" ref="G11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116" s="80" t="str" cm="1">
        <f t="array" ref="H11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116" s="78" t="str" cm="1">
        <f t="array" ref="I11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117" spans="1:9" hidden="1" x14ac:dyDescent="0.3">
      <c r="A117" s="82" t="str" cm="1">
        <f t="array" ref="A11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117" s="79" t="e">
        <f>'BKG Bank'!#REF!</f>
        <v>#REF!</v>
      </c>
      <c r="C117" s="108" t="e">
        <f>'BKG Bank'!#REF!</f>
        <v>#REF!</v>
      </c>
      <c r="D117" s="79" t="str" cm="1">
        <f t="array" ref="D11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117" s="79" t="str" cm="1">
        <f t="array" ref="E11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117" s="80" t="str" cm="1">
        <f t="array" ref="F11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117" s="80" t="str" cm="1">
        <f t="array" ref="G11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117" s="80" t="str" cm="1">
        <f t="array" ref="H11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117" s="78" t="str" cm="1">
        <f t="array" ref="I11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118" spans="1:9" hidden="1" x14ac:dyDescent="0.3">
      <c r="A118" s="82" t="str" cm="1">
        <f t="array" ref="A11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118" s="79" t="e">
        <f>'BKG Bank'!#REF!</f>
        <v>#REF!</v>
      </c>
      <c r="C118" s="108" t="e">
        <f>'BKG Bank'!#REF!</f>
        <v>#REF!</v>
      </c>
      <c r="D118" s="79" t="str" cm="1">
        <f t="array" ref="D11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118" s="79" t="str" cm="1">
        <f t="array" ref="E11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118" s="80" t="str" cm="1">
        <f t="array" ref="F11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118" s="80" t="str" cm="1">
        <f t="array" ref="G11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118" s="80" t="str" cm="1">
        <f t="array" ref="H11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118" s="78" t="str" cm="1">
        <f t="array" ref="I11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119" spans="1:9" hidden="1" x14ac:dyDescent="0.3">
      <c r="A119" s="82" t="str" cm="1">
        <f t="array" ref="A11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119" s="79" t="e">
        <f>'BKG Bank'!#REF!</f>
        <v>#REF!</v>
      </c>
      <c r="C119" s="108" t="e">
        <f>'BKG Bank'!#REF!</f>
        <v>#REF!</v>
      </c>
      <c r="D119" s="79" t="str" cm="1">
        <f t="array" ref="D11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119" s="79" t="str" cm="1">
        <f t="array" ref="E11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119" s="80" t="str" cm="1">
        <f t="array" ref="F11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119" s="80" t="str" cm="1">
        <f t="array" ref="G11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119" s="80" t="str" cm="1">
        <f t="array" ref="H11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119" s="78" t="str" cm="1">
        <f t="array" ref="I11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120" spans="1:9" hidden="1" x14ac:dyDescent="0.3">
      <c r="A120" s="82" t="str" cm="1">
        <f t="array" ref="A12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120" s="79" t="e">
        <f>'BKG Bank'!#REF!</f>
        <v>#REF!</v>
      </c>
      <c r="C120" s="108" t="e">
        <f>'BKG Bank'!#REF!</f>
        <v>#REF!</v>
      </c>
      <c r="D120" s="79" t="str" cm="1">
        <f t="array" ref="D12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120" s="79" t="str" cm="1">
        <f t="array" ref="E12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120" s="80" t="str" cm="1">
        <f t="array" ref="F12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120" s="80" t="str" cm="1">
        <f t="array" ref="G12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120" s="80" t="str" cm="1">
        <f t="array" ref="H12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120" s="78" t="str" cm="1">
        <f t="array" ref="I12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121" spans="1:9" hidden="1" x14ac:dyDescent="0.3">
      <c r="A121" s="82" t="str" cm="1">
        <f t="array" ref="A12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121" s="79" t="e">
        <f>'BKG Bank'!#REF!</f>
        <v>#REF!</v>
      </c>
      <c r="C121" s="108" t="e">
        <f>'BKG Bank'!#REF!</f>
        <v>#REF!</v>
      </c>
      <c r="D121" s="79" t="str" cm="1">
        <f t="array" ref="D12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121" s="79" t="str" cm="1">
        <f t="array" ref="E12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121" s="80" t="str" cm="1">
        <f t="array" ref="F12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121" s="80" t="str" cm="1">
        <f t="array" ref="G12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121" s="80" t="str" cm="1">
        <f t="array" ref="H12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121" s="78" t="str" cm="1">
        <f t="array" ref="I12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122" spans="1:9" hidden="1" x14ac:dyDescent="0.3">
      <c r="A122" s="82" t="str" cm="1">
        <f t="array" ref="A12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122" s="79" t="e">
        <f>'BKG Bank'!#REF!</f>
        <v>#REF!</v>
      </c>
      <c r="C122" s="108" t="e">
        <f>'BKG Bank'!#REF!</f>
        <v>#REF!</v>
      </c>
      <c r="D122" s="79" t="str" cm="1">
        <f t="array" ref="D12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122" s="79" t="str" cm="1">
        <f t="array" ref="E12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122" s="80" t="str" cm="1">
        <f t="array" ref="F12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122" s="80" t="str" cm="1">
        <f t="array" ref="G12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122" s="80" t="str" cm="1">
        <f t="array" ref="H12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122" s="78" t="str" cm="1">
        <f t="array" ref="I12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123" spans="1:9" hidden="1" x14ac:dyDescent="0.3">
      <c r="A123" s="82" t="str" cm="1">
        <f t="array" ref="A12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123" s="79" t="e">
        <f>'BKG Bank'!#REF!</f>
        <v>#REF!</v>
      </c>
      <c r="C123" s="108" t="e">
        <f>'BKG Bank'!#REF!</f>
        <v>#REF!</v>
      </c>
      <c r="D123" s="79" t="str" cm="1">
        <f t="array" ref="D12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123" s="79" t="str" cm="1">
        <f t="array" ref="E12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123" s="80" t="str" cm="1">
        <f t="array" ref="F12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123" s="80" t="str" cm="1">
        <f t="array" ref="G12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123" s="80" t="str" cm="1">
        <f t="array" ref="H12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123" s="78" t="str" cm="1">
        <f t="array" ref="I12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124" spans="1:9" hidden="1" x14ac:dyDescent="0.3">
      <c r="A124" s="82" t="str" cm="1">
        <f t="array" ref="A12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124" s="79" t="e">
        <f>'BKG Bank'!#REF!</f>
        <v>#REF!</v>
      </c>
      <c r="C124" s="108" t="e">
        <f>'BKG Bank'!#REF!</f>
        <v>#REF!</v>
      </c>
      <c r="D124" s="79" t="str" cm="1">
        <f t="array" ref="D12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124" s="79" t="str" cm="1">
        <f t="array" ref="E12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124" s="80" t="str" cm="1">
        <f t="array" ref="F12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124" s="80" t="str" cm="1">
        <f t="array" ref="G12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124" s="80" t="str" cm="1">
        <f t="array" ref="H12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124" s="78" t="str" cm="1">
        <f t="array" ref="I12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125" spans="1:9" hidden="1" x14ac:dyDescent="0.3">
      <c r="A125" s="82" t="str" cm="1">
        <f t="array" ref="A12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125" s="79" t="e">
        <f>'BKG Bank'!#REF!</f>
        <v>#REF!</v>
      </c>
      <c r="C125" s="108" t="e">
        <f>'BKG Bank'!#REF!</f>
        <v>#REF!</v>
      </c>
      <c r="D125" s="79" t="str" cm="1">
        <f t="array" ref="D12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125" s="79" t="str" cm="1">
        <f t="array" ref="E12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125" s="80" t="str" cm="1">
        <f t="array" ref="F12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125" s="80" t="str" cm="1">
        <f t="array" ref="G12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125" s="80" t="str" cm="1">
        <f t="array" ref="H12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125" s="78" t="str" cm="1">
        <f t="array" ref="I12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126" spans="1:9" hidden="1" x14ac:dyDescent="0.3">
      <c r="A126" s="82" t="str" cm="1">
        <f t="array" ref="A12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126" s="79" t="e">
        <f>'BKG Bank'!#REF!</f>
        <v>#REF!</v>
      </c>
      <c r="C126" s="108" t="e">
        <f>'BKG Bank'!#REF!</f>
        <v>#REF!</v>
      </c>
      <c r="D126" s="79" t="str" cm="1">
        <f t="array" ref="D12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126" s="79" t="str" cm="1">
        <f t="array" ref="E12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126" s="80" t="str" cm="1">
        <f t="array" ref="F12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126" s="80" t="str" cm="1">
        <f t="array" ref="G12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126" s="80" t="str" cm="1">
        <f t="array" ref="H12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126" s="78" t="str" cm="1">
        <f t="array" ref="I12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127" spans="1:9" hidden="1" x14ac:dyDescent="0.3">
      <c r="A127" s="82" t="str" cm="1">
        <f t="array" ref="A12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127" s="79" t="e">
        <f>'BKG Bank'!#REF!</f>
        <v>#REF!</v>
      </c>
      <c r="C127" s="108" t="e">
        <f>'BKG Bank'!#REF!</f>
        <v>#REF!</v>
      </c>
      <c r="D127" s="79" t="str" cm="1">
        <f t="array" ref="D12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127" s="79" t="str" cm="1">
        <f t="array" ref="E12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127" s="80" t="str" cm="1">
        <f t="array" ref="F12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127" s="80" t="str" cm="1">
        <f t="array" ref="G12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127" s="80" t="str" cm="1">
        <f t="array" ref="H12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127" s="78" t="str" cm="1">
        <f t="array" ref="I12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128" spans="1:9" hidden="1" x14ac:dyDescent="0.3">
      <c r="A128" s="82" t="str" cm="1">
        <f t="array" ref="A12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128" s="79" t="e">
        <f>'BKG Bank'!#REF!</f>
        <v>#REF!</v>
      </c>
      <c r="C128" s="108" t="e">
        <f>'BKG Bank'!#REF!</f>
        <v>#REF!</v>
      </c>
      <c r="D128" s="79" t="str" cm="1">
        <f t="array" ref="D12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128" s="79" t="str" cm="1">
        <f t="array" ref="E12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128" s="80" t="str" cm="1">
        <f t="array" ref="F12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128" s="80" t="str" cm="1">
        <f t="array" ref="G12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128" s="80" t="str" cm="1">
        <f t="array" ref="H12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128" s="78" t="str" cm="1">
        <f t="array" ref="I12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129" spans="1:9" hidden="1" x14ac:dyDescent="0.3">
      <c r="A129" s="82" t="str" cm="1">
        <f t="array" ref="A12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129" s="79" t="e">
        <f>'BKG Bank'!#REF!</f>
        <v>#REF!</v>
      </c>
      <c r="C129" s="108" t="e">
        <f>'BKG Bank'!#REF!</f>
        <v>#REF!</v>
      </c>
      <c r="D129" s="79" t="str" cm="1">
        <f t="array" ref="D12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129" s="79" t="str" cm="1">
        <f t="array" ref="E12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129" s="80" t="str" cm="1">
        <f t="array" ref="F12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129" s="80" t="str" cm="1">
        <f t="array" ref="G12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129" s="80" t="str" cm="1">
        <f t="array" ref="H12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129" s="78" t="str" cm="1">
        <f t="array" ref="I12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130" spans="1:9" hidden="1" x14ac:dyDescent="0.3">
      <c r="A130" s="82" t="str" cm="1">
        <f t="array" ref="A13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130" s="79" t="e">
        <f>'BKG Bank'!#REF!</f>
        <v>#REF!</v>
      </c>
      <c r="C130" s="108" t="e">
        <f>'BKG Bank'!#REF!</f>
        <v>#REF!</v>
      </c>
      <c r="D130" s="79" t="str" cm="1">
        <f t="array" ref="D13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130" s="79" t="str" cm="1">
        <f t="array" ref="E13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130" s="80" t="str" cm="1">
        <f t="array" ref="F13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130" s="80" t="str" cm="1">
        <f t="array" ref="G13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130" s="80" t="str" cm="1">
        <f t="array" ref="H13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130" s="78" t="str" cm="1">
        <f t="array" ref="I13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131" spans="1:9" hidden="1" x14ac:dyDescent="0.3">
      <c r="A131" s="82" t="str" cm="1">
        <f t="array" ref="A13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131" s="79" t="e">
        <f>'BKG Bank'!#REF!</f>
        <v>#REF!</v>
      </c>
      <c r="C131" s="108" t="e">
        <f>'BKG Bank'!#REF!</f>
        <v>#REF!</v>
      </c>
      <c r="D131" s="79" t="str" cm="1">
        <f t="array" ref="D13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131" s="79" t="str" cm="1">
        <f t="array" ref="E13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131" s="80" t="str" cm="1">
        <f t="array" ref="F13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131" s="80" t="str" cm="1">
        <f t="array" ref="G13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131" s="80" t="str" cm="1">
        <f t="array" ref="H13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131" s="78" t="str" cm="1">
        <f t="array" ref="I13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132" spans="1:9" hidden="1" x14ac:dyDescent="0.3">
      <c r="A132" s="82" t="str" cm="1">
        <f t="array" ref="A13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132" s="79" t="e">
        <f>'BKG Bank'!#REF!</f>
        <v>#REF!</v>
      </c>
      <c r="C132" s="108" t="e">
        <f>'BKG Bank'!#REF!</f>
        <v>#REF!</v>
      </c>
      <c r="D132" s="79" t="str" cm="1">
        <f t="array" ref="D13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132" s="79" t="str" cm="1">
        <f t="array" ref="E13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132" s="80" t="str" cm="1">
        <f t="array" ref="F13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132" s="80" t="str" cm="1">
        <f t="array" ref="G13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132" s="80" t="str" cm="1">
        <f t="array" ref="H13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132" s="78" t="str" cm="1">
        <f t="array" ref="I13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133" spans="1:9" hidden="1" x14ac:dyDescent="0.3">
      <c r="A133" s="82" t="str" cm="1">
        <f t="array" ref="A13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133" s="79" t="e">
        <f>'BKG Bank'!#REF!</f>
        <v>#REF!</v>
      </c>
      <c r="C133" s="108" t="e">
        <f>'BKG Bank'!#REF!</f>
        <v>#REF!</v>
      </c>
      <c r="D133" s="79" t="str" cm="1">
        <f t="array" ref="D13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133" s="79" t="str" cm="1">
        <f t="array" ref="E13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133" s="80" t="str" cm="1">
        <f t="array" ref="F13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133" s="80" t="str" cm="1">
        <f t="array" ref="G13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133" s="80" t="str" cm="1">
        <f t="array" ref="H13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133" s="78" t="str" cm="1">
        <f t="array" ref="I13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134" spans="1:9" hidden="1" x14ac:dyDescent="0.3">
      <c r="A134" s="82" t="str" cm="1">
        <f t="array" ref="A13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134" s="79" t="e">
        <f>'BKG Bank'!#REF!</f>
        <v>#REF!</v>
      </c>
      <c r="C134" s="108" t="e">
        <f>'BKG Bank'!#REF!</f>
        <v>#REF!</v>
      </c>
      <c r="D134" s="79" t="str" cm="1">
        <f t="array" ref="D13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134" s="79" t="str" cm="1">
        <f t="array" ref="E13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134" s="80" t="str" cm="1">
        <f t="array" ref="F13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134" s="80" t="str" cm="1">
        <f t="array" ref="G13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134" s="80" t="str" cm="1">
        <f t="array" ref="H13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134" s="78" t="str" cm="1">
        <f t="array" ref="I13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135" spans="1:9" hidden="1" x14ac:dyDescent="0.3">
      <c r="A135" s="82" t="str" cm="1">
        <f t="array" ref="A13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135" s="79" t="e">
        <f>'BKG Bank'!#REF!</f>
        <v>#REF!</v>
      </c>
      <c r="C135" s="108" t="e">
        <f>'BKG Bank'!#REF!</f>
        <v>#REF!</v>
      </c>
      <c r="D135" s="79" t="str" cm="1">
        <f t="array" ref="D13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135" s="79" t="str" cm="1">
        <f t="array" ref="E13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135" s="80" t="str" cm="1">
        <f t="array" ref="F13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135" s="80" t="str" cm="1">
        <f t="array" ref="G13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135" s="80" t="str" cm="1">
        <f t="array" ref="H13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135" s="78" t="str" cm="1">
        <f t="array" ref="I13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136" spans="1:9" hidden="1" x14ac:dyDescent="0.3">
      <c r="A136" s="82" t="str" cm="1">
        <f t="array" ref="A13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136" s="79" t="e">
        <f>'BKG Bank'!#REF!</f>
        <v>#REF!</v>
      </c>
      <c r="C136" s="108" t="e">
        <f>'BKG Bank'!#REF!</f>
        <v>#REF!</v>
      </c>
      <c r="D136" s="79" t="str" cm="1">
        <f t="array" ref="D13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136" s="79" t="str" cm="1">
        <f t="array" ref="E13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136" s="80" t="str" cm="1">
        <f t="array" ref="F13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136" s="80" t="str" cm="1">
        <f t="array" ref="G13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136" s="80" t="str" cm="1">
        <f t="array" ref="H13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136" s="78" t="str" cm="1">
        <f t="array" ref="I13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137" spans="1:9" hidden="1" x14ac:dyDescent="0.3">
      <c r="A137" s="82" t="str" cm="1">
        <f t="array" ref="A13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137" s="79" t="e">
        <f>'BKG Bank'!#REF!</f>
        <v>#REF!</v>
      </c>
      <c r="C137" s="108" t="e">
        <f>'BKG Bank'!#REF!</f>
        <v>#REF!</v>
      </c>
      <c r="D137" s="79" t="str" cm="1">
        <f t="array" ref="D13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137" s="79" t="str" cm="1">
        <f t="array" ref="E13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137" s="80" t="str" cm="1">
        <f t="array" ref="F13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137" s="80" t="str" cm="1">
        <f t="array" ref="G13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137" s="80" t="str" cm="1">
        <f t="array" ref="H13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137" s="78" t="str" cm="1">
        <f t="array" ref="I13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138" spans="1:9" hidden="1" x14ac:dyDescent="0.3">
      <c r="A138" s="82" t="str" cm="1">
        <f t="array" ref="A13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138" s="79" t="e">
        <f>'BKG Bank'!#REF!</f>
        <v>#REF!</v>
      </c>
      <c r="C138" s="108" t="e">
        <f>'BKG Bank'!#REF!</f>
        <v>#REF!</v>
      </c>
      <c r="D138" s="79" t="str" cm="1">
        <f t="array" ref="D13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138" s="79" t="str" cm="1">
        <f t="array" ref="E13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138" s="80" t="str" cm="1">
        <f t="array" ref="F13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138" s="80" t="str" cm="1">
        <f t="array" ref="G13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138" s="80" t="str" cm="1">
        <f t="array" ref="H13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138" s="78" t="str" cm="1">
        <f t="array" ref="I13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139" spans="1:9" hidden="1" x14ac:dyDescent="0.3">
      <c r="A139" s="82" t="str" cm="1">
        <f t="array" ref="A13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139" s="79" t="e">
        <f>'BKG Bank'!#REF!</f>
        <v>#REF!</v>
      </c>
      <c r="C139" s="108" t="e">
        <f>'BKG Bank'!#REF!</f>
        <v>#REF!</v>
      </c>
      <c r="D139" s="79" t="str" cm="1">
        <f t="array" ref="D13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139" s="79" t="str" cm="1">
        <f t="array" ref="E13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139" s="80" t="str" cm="1">
        <f t="array" ref="F13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139" s="80" t="str" cm="1">
        <f t="array" ref="G13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139" s="80" t="str" cm="1">
        <f t="array" ref="H13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139" s="78" t="str" cm="1">
        <f t="array" ref="I13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140" spans="1:9" hidden="1" x14ac:dyDescent="0.3">
      <c r="A140" s="82" t="str" cm="1">
        <f t="array" ref="A14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140" s="79" t="e">
        <f>'BKG Bank'!#REF!</f>
        <v>#REF!</v>
      </c>
      <c r="C140" s="108" t="e">
        <f>'BKG Bank'!#REF!</f>
        <v>#REF!</v>
      </c>
      <c r="D140" s="79" t="str" cm="1">
        <f t="array" ref="D14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140" s="79" t="str" cm="1">
        <f t="array" ref="E14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140" s="80" t="str" cm="1">
        <f t="array" ref="F14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140" s="80" t="str" cm="1">
        <f t="array" ref="G14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140" s="80" t="str" cm="1">
        <f t="array" ref="H14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140" s="78" t="str" cm="1">
        <f t="array" ref="I14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141" spans="1:9" hidden="1" x14ac:dyDescent="0.3">
      <c r="A141" s="82" t="str" cm="1">
        <f t="array" ref="A14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141" s="79" t="e">
        <f>'BKG Bank'!#REF!</f>
        <v>#REF!</v>
      </c>
      <c r="C141" s="108" t="e">
        <f>'BKG Bank'!#REF!</f>
        <v>#REF!</v>
      </c>
      <c r="D141" s="79" t="str" cm="1">
        <f t="array" ref="D14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141" s="79" t="str" cm="1">
        <f t="array" ref="E14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141" s="80" t="str" cm="1">
        <f t="array" ref="F14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141" s="80" t="str" cm="1">
        <f t="array" ref="G14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141" s="80" t="str" cm="1">
        <f t="array" ref="H14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141" s="78" t="str" cm="1">
        <f t="array" ref="I14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142" spans="1:9" hidden="1" x14ac:dyDescent="0.3">
      <c r="A142" s="82" t="str" cm="1">
        <f t="array" ref="A14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142" s="79" t="e">
        <f>'BKG Bank'!#REF!</f>
        <v>#REF!</v>
      </c>
      <c r="C142" s="108" t="e">
        <f>'BKG Bank'!#REF!</f>
        <v>#REF!</v>
      </c>
      <c r="D142" s="79" t="str" cm="1">
        <f t="array" ref="D14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142" s="79" t="str" cm="1">
        <f t="array" ref="E14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142" s="80" t="str" cm="1">
        <f t="array" ref="F14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142" s="80" t="str" cm="1">
        <f t="array" ref="G14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142" s="80" t="str" cm="1">
        <f t="array" ref="H14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142" s="78" t="str" cm="1">
        <f t="array" ref="I14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143" spans="1:9" hidden="1" x14ac:dyDescent="0.3">
      <c r="A143" s="82" t="str" cm="1">
        <f t="array" ref="A14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143" s="79" t="e">
        <f>'BKG Bank'!#REF!</f>
        <v>#REF!</v>
      </c>
      <c r="C143" s="108" t="e">
        <f>'BKG Bank'!#REF!</f>
        <v>#REF!</v>
      </c>
      <c r="D143" s="79" t="str" cm="1">
        <f t="array" ref="D14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143" s="79" t="str" cm="1">
        <f t="array" ref="E14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143" s="80" t="str" cm="1">
        <f t="array" ref="F14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143" s="80" t="str" cm="1">
        <f t="array" ref="G14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143" s="80" t="str" cm="1">
        <f t="array" ref="H14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143" s="78" t="str" cm="1">
        <f t="array" ref="I14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144" spans="1:9" hidden="1" x14ac:dyDescent="0.3">
      <c r="A144" s="82" t="str" cm="1">
        <f t="array" ref="A14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144" s="79" t="e">
        <f>'BKG Bank'!#REF!</f>
        <v>#REF!</v>
      </c>
      <c r="C144" s="108" t="e">
        <f>'BKG Bank'!#REF!</f>
        <v>#REF!</v>
      </c>
      <c r="D144" s="79" t="str" cm="1">
        <f t="array" ref="D14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144" s="79" t="str" cm="1">
        <f t="array" ref="E14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144" s="80" t="str" cm="1">
        <f t="array" ref="F14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144" s="80" t="str" cm="1">
        <f t="array" ref="G14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144" s="80" t="str" cm="1">
        <f t="array" ref="H14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144" s="78" t="str" cm="1">
        <f t="array" ref="I14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145" spans="1:9" hidden="1" x14ac:dyDescent="0.3">
      <c r="A145" s="82" t="str" cm="1">
        <f t="array" ref="A14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145" s="79" t="e">
        <f>'BKG Bank'!#REF!</f>
        <v>#REF!</v>
      </c>
      <c r="C145" s="108" t="e">
        <f>'BKG Bank'!#REF!</f>
        <v>#REF!</v>
      </c>
      <c r="D145" s="79" t="str" cm="1">
        <f t="array" ref="D14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145" s="79" t="str" cm="1">
        <f t="array" ref="E14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145" s="80" t="str" cm="1">
        <f t="array" ref="F14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145" s="80" t="str" cm="1">
        <f t="array" ref="G14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145" s="80" t="str" cm="1">
        <f t="array" ref="H14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145" s="78" t="str" cm="1">
        <f t="array" ref="I14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146" spans="1:9" hidden="1" x14ac:dyDescent="0.3">
      <c r="A146" s="82" t="str" cm="1">
        <f t="array" ref="A14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146" s="79" t="e">
        <f>'BKG Bank'!#REF!</f>
        <v>#REF!</v>
      </c>
      <c r="C146" s="108" t="e">
        <f>'BKG Bank'!#REF!</f>
        <v>#REF!</v>
      </c>
      <c r="D146" s="79" t="str" cm="1">
        <f t="array" ref="D14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146" s="79" t="str" cm="1">
        <f t="array" ref="E14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146" s="80" t="str" cm="1">
        <f t="array" ref="F14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146" s="80" t="str" cm="1">
        <f t="array" ref="G14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146" s="80" t="str" cm="1">
        <f t="array" ref="H14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146" s="78" t="str" cm="1">
        <f t="array" ref="I14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147" spans="1:9" hidden="1" x14ac:dyDescent="0.3">
      <c r="A147" s="82" t="str" cm="1">
        <f t="array" ref="A14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147" s="79" t="e">
        <f>'BKG Bank'!#REF!</f>
        <v>#REF!</v>
      </c>
      <c r="C147" s="108" t="e">
        <f>'BKG Bank'!#REF!</f>
        <v>#REF!</v>
      </c>
      <c r="D147" s="79" t="str" cm="1">
        <f t="array" ref="D14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147" s="79" t="str" cm="1">
        <f t="array" ref="E14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147" s="80" t="str" cm="1">
        <f t="array" ref="F14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147" s="80" t="str" cm="1">
        <f t="array" ref="G14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147" s="80" t="str" cm="1">
        <f t="array" ref="H14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147" s="78" t="str" cm="1">
        <f t="array" ref="I14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148" spans="1:9" hidden="1" x14ac:dyDescent="0.3">
      <c r="A148" s="82" t="str" cm="1">
        <f t="array" ref="A14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148" s="79" t="e">
        <f>'BKG Bank'!#REF!</f>
        <v>#REF!</v>
      </c>
      <c r="C148" s="108" t="e">
        <f>'BKG Bank'!#REF!</f>
        <v>#REF!</v>
      </c>
      <c r="D148" s="79" t="str" cm="1">
        <f t="array" ref="D14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148" s="79" t="str" cm="1">
        <f t="array" ref="E14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148" s="80" t="str" cm="1">
        <f t="array" ref="F14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148" s="80" t="str" cm="1">
        <f t="array" ref="G14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148" s="80" t="str" cm="1">
        <f t="array" ref="H14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148" s="78" t="str" cm="1">
        <f t="array" ref="I14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149" spans="1:9" hidden="1" x14ac:dyDescent="0.3">
      <c r="A149" s="82" t="str" cm="1">
        <f t="array" ref="A14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149" s="79" t="e">
        <f>'BKG Bank'!#REF!</f>
        <v>#REF!</v>
      </c>
      <c r="C149" s="108" t="e">
        <f>'BKG Bank'!#REF!</f>
        <v>#REF!</v>
      </c>
      <c r="D149" s="79" t="str" cm="1">
        <f t="array" ref="D14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149" s="79" t="str" cm="1">
        <f t="array" ref="E14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149" s="80" t="str" cm="1">
        <f t="array" ref="F14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149" s="80" t="str" cm="1">
        <f t="array" ref="G14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149" s="80" t="str" cm="1">
        <f t="array" ref="H14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149" s="78" t="str" cm="1">
        <f t="array" ref="I14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150" spans="1:9" hidden="1" x14ac:dyDescent="0.3">
      <c r="A150" s="82" t="str" cm="1">
        <f t="array" ref="A15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150" s="79" t="e">
        <f>'BKG Bank'!#REF!</f>
        <v>#REF!</v>
      </c>
      <c r="C150" s="108" t="e">
        <f>'BKG Bank'!#REF!</f>
        <v>#REF!</v>
      </c>
      <c r="D150" s="79" t="str" cm="1">
        <f t="array" ref="D15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150" s="79" t="str" cm="1">
        <f t="array" ref="E15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150" s="80" t="str" cm="1">
        <f t="array" ref="F15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150" s="80" t="str" cm="1">
        <f t="array" ref="G15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150" s="80" t="str" cm="1">
        <f t="array" ref="H15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150" s="78" t="str" cm="1">
        <f t="array" ref="I15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151" spans="1:9" hidden="1" x14ac:dyDescent="0.3">
      <c r="A151" s="82" t="str" cm="1">
        <f t="array" ref="A15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151" s="79" t="e">
        <f>'BKG Bank'!#REF!</f>
        <v>#REF!</v>
      </c>
      <c r="C151" s="108" t="e">
        <f>'BKG Bank'!#REF!</f>
        <v>#REF!</v>
      </c>
      <c r="D151" s="79" t="str" cm="1">
        <f t="array" ref="D15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151" s="79" t="str" cm="1">
        <f t="array" ref="E15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151" s="80" t="str" cm="1">
        <f t="array" ref="F15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151" s="80" t="str" cm="1">
        <f t="array" ref="G15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151" s="80" t="str" cm="1">
        <f t="array" ref="H15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151" s="78" t="str" cm="1">
        <f t="array" ref="I15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152" spans="1:9" hidden="1" x14ac:dyDescent="0.3">
      <c r="A152" s="82" t="str" cm="1">
        <f t="array" ref="A15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152" s="79" t="e">
        <f>'BKG Bank'!#REF!</f>
        <v>#REF!</v>
      </c>
      <c r="C152" s="108" t="e">
        <f>'BKG Bank'!#REF!</f>
        <v>#REF!</v>
      </c>
      <c r="D152" s="79" t="str" cm="1">
        <f t="array" ref="D15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152" s="79" t="str" cm="1">
        <f t="array" ref="E15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152" s="80" t="str" cm="1">
        <f t="array" ref="F15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152" s="80" t="str" cm="1">
        <f t="array" ref="G15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152" s="80" t="str" cm="1">
        <f t="array" ref="H15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152" s="78" t="str" cm="1">
        <f t="array" ref="I15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153" spans="1:9" hidden="1" x14ac:dyDescent="0.3">
      <c r="A153" s="82" t="str" cm="1">
        <f t="array" ref="A15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153" s="79" t="e">
        <f>'BKG Bank'!#REF!</f>
        <v>#REF!</v>
      </c>
      <c r="C153" s="108" t="e">
        <f>'BKG Bank'!#REF!</f>
        <v>#REF!</v>
      </c>
      <c r="D153" s="79" t="str" cm="1">
        <f t="array" ref="D15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153" s="79" t="str" cm="1">
        <f t="array" ref="E15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153" s="80" t="str" cm="1">
        <f t="array" ref="F15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153" s="80" t="str" cm="1">
        <f t="array" ref="G15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153" s="80" t="str" cm="1">
        <f t="array" ref="H15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153" s="78" t="str" cm="1">
        <f t="array" ref="I15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154" spans="1:9" hidden="1" x14ac:dyDescent="0.3">
      <c r="A154" s="82" t="str" cm="1">
        <f t="array" ref="A15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154" s="79" t="e">
        <f>'BKG Bank'!#REF!</f>
        <v>#REF!</v>
      </c>
      <c r="C154" s="108" t="e">
        <f>'BKG Bank'!#REF!</f>
        <v>#REF!</v>
      </c>
      <c r="D154" s="79" t="str" cm="1">
        <f t="array" ref="D15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154" s="79" t="str" cm="1">
        <f t="array" ref="E15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154" s="80" t="str" cm="1">
        <f t="array" ref="F15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154" s="80" t="str" cm="1">
        <f t="array" ref="G15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154" s="80" t="str" cm="1">
        <f t="array" ref="H15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154" s="78" t="str" cm="1">
        <f t="array" ref="I15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155" spans="1:9" hidden="1" x14ac:dyDescent="0.3">
      <c r="A155" s="82" t="str" cm="1">
        <f t="array" ref="A15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155" s="79" t="e">
        <f>'BKG Bank'!#REF!</f>
        <v>#REF!</v>
      </c>
      <c r="C155" s="108" t="e">
        <f>'BKG Bank'!#REF!</f>
        <v>#REF!</v>
      </c>
      <c r="D155" s="79" t="str" cm="1">
        <f t="array" ref="D15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155" s="79" t="str" cm="1">
        <f t="array" ref="E15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155" s="80" t="str" cm="1">
        <f t="array" ref="F15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155" s="80" t="str" cm="1">
        <f t="array" ref="G15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155" s="80" t="str" cm="1">
        <f t="array" ref="H15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155" s="78" t="str" cm="1">
        <f t="array" ref="I15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156" spans="1:9" hidden="1" x14ac:dyDescent="0.3">
      <c r="A156" s="82" t="str" cm="1">
        <f t="array" ref="A15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156" s="79" t="e">
        <f>'BKG Bank'!#REF!</f>
        <v>#REF!</v>
      </c>
      <c r="C156" s="108" t="e">
        <f>'BKG Bank'!#REF!</f>
        <v>#REF!</v>
      </c>
      <c r="D156" s="79" t="str" cm="1">
        <f t="array" ref="D15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156" s="79" t="str" cm="1">
        <f t="array" ref="E15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156" s="80" t="str" cm="1">
        <f t="array" ref="F15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156" s="80" t="str" cm="1">
        <f t="array" ref="G15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156" s="80" t="str" cm="1">
        <f t="array" ref="H15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156" s="78" t="str" cm="1">
        <f t="array" ref="I15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157" spans="1:9" hidden="1" x14ac:dyDescent="0.3">
      <c r="A157" s="82" t="str" cm="1">
        <f t="array" ref="A15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157" s="79" t="e">
        <f>'BKG Bank'!#REF!</f>
        <v>#REF!</v>
      </c>
      <c r="C157" s="108" t="e">
        <f>'BKG Bank'!#REF!</f>
        <v>#REF!</v>
      </c>
      <c r="D157" s="79" t="str" cm="1">
        <f t="array" ref="D15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157" s="79" t="str" cm="1">
        <f t="array" ref="E15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157" s="80" t="str" cm="1">
        <f t="array" ref="F15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157" s="80" t="str" cm="1">
        <f t="array" ref="G15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157" s="80" t="str" cm="1">
        <f t="array" ref="H15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157" s="78" t="str" cm="1">
        <f t="array" ref="I15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158" spans="1:9" hidden="1" x14ac:dyDescent="0.3">
      <c r="A158" s="82" t="str" cm="1">
        <f t="array" ref="A15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158" s="79" t="e">
        <f>'BKG Bank'!#REF!</f>
        <v>#REF!</v>
      </c>
      <c r="C158" s="108" t="e">
        <f>'BKG Bank'!#REF!</f>
        <v>#REF!</v>
      </c>
      <c r="D158" s="79" t="str" cm="1">
        <f t="array" ref="D15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158" s="79" t="str" cm="1">
        <f t="array" ref="E15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158" s="80" t="str" cm="1">
        <f t="array" ref="F15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158" s="80" t="str" cm="1">
        <f t="array" ref="G15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158" s="80" t="str" cm="1">
        <f t="array" ref="H15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158" s="78" t="str" cm="1">
        <f t="array" ref="I15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159" spans="1:9" hidden="1" x14ac:dyDescent="0.3">
      <c r="A159" s="82" t="str" cm="1">
        <f t="array" ref="A15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159" s="79" t="e">
        <f>'BKG Bank'!#REF!</f>
        <v>#REF!</v>
      </c>
      <c r="C159" s="108" t="e">
        <f>'BKG Bank'!#REF!</f>
        <v>#REF!</v>
      </c>
      <c r="D159" s="79" t="str" cm="1">
        <f t="array" ref="D15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159" s="79" t="str" cm="1">
        <f t="array" ref="E15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159" s="80" t="str" cm="1">
        <f t="array" ref="F15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159" s="80" t="str" cm="1">
        <f t="array" ref="G15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159" s="80" t="str" cm="1">
        <f t="array" ref="H15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159" s="78" t="str" cm="1">
        <f t="array" ref="I15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160" spans="1:9" hidden="1" x14ac:dyDescent="0.3">
      <c r="A160" s="82" t="str" cm="1">
        <f t="array" ref="A16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160" s="79" t="e">
        <f>'BKG Bank'!#REF!</f>
        <v>#REF!</v>
      </c>
      <c r="C160" s="108" t="e">
        <f>'BKG Bank'!#REF!</f>
        <v>#REF!</v>
      </c>
      <c r="D160" s="79" t="str" cm="1">
        <f t="array" ref="D16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160" s="79" t="str" cm="1">
        <f t="array" ref="E16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160" s="80" t="str" cm="1">
        <f t="array" ref="F16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160" s="80" t="str" cm="1">
        <f t="array" ref="G16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160" s="80" t="str" cm="1">
        <f t="array" ref="H16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160" s="78" t="str" cm="1">
        <f t="array" ref="I16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161" spans="1:9" hidden="1" x14ac:dyDescent="0.3">
      <c r="A161" s="82" t="str" cm="1">
        <f t="array" ref="A16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161" s="79" t="e">
        <f>'BKG Bank'!#REF!</f>
        <v>#REF!</v>
      </c>
      <c r="C161" s="108" t="e">
        <f>'BKG Bank'!#REF!</f>
        <v>#REF!</v>
      </c>
      <c r="D161" s="79" t="str" cm="1">
        <f t="array" ref="D16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161" s="79" t="str" cm="1">
        <f t="array" ref="E16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161" s="80" t="str" cm="1">
        <f t="array" ref="F16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161" s="80" t="str" cm="1">
        <f t="array" ref="G16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161" s="80" t="str" cm="1">
        <f t="array" ref="H16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161" s="78" t="str" cm="1">
        <f t="array" ref="I16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162" spans="1:9" hidden="1" x14ac:dyDescent="0.3">
      <c r="A162" s="82" t="str" cm="1">
        <f t="array" ref="A16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162" s="79" t="e">
        <f>'BKG Bank'!#REF!</f>
        <v>#REF!</v>
      </c>
      <c r="C162" s="108" t="e">
        <f>'BKG Bank'!#REF!</f>
        <v>#REF!</v>
      </c>
      <c r="D162" s="79" t="str" cm="1">
        <f t="array" ref="D16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162" s="79" t="str" cm="1">
        <f t="array" ref="E16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162" s="80" t="str" cm="1">
        <f t="array" ref="F16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162" s="80" t="str" cm="1">
        <f t="array" ref="G16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162" s="80" t="str" cm="1">
        <f t="array" ref="H16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162" s="78" t="str" cm="1">
        <f t="array" ref="I16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163" spans="1:9" hidden="1" x14ac:dyDescent="0.3">
      <c r="A163" s="82" t="str" cm="1">
        <f t="array" ref="A16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163" s="79" t="e">
        <f>'BKG Bank'!#REF!</f>
        <v>#REF!</v>
      </c>
      <c r="C163" s="108" t="e">
        <f>'BKG Bank'!#REF!</f>
        <v>#REF!</v>
      </c>
      <c r="D163" s="79" t="str" cm="1">
        <f t="array" ref="D16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163" s="79" t="str" cm="1">
        <f t="array" ref="E16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163" s="80" t="str" cm="1">
        <f t="array" ref="F16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163" s="80" t="str" cm="1">
        <f t="array" ref="G16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163" s="80" t="str" cm="1">
        <f t="array" ref="H16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163" s="78" t="str" cm="1">
        <f t="array" ref="I16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164" spans="1:9" hidden="1" x14ac:dyDescent="0.3">
      <c r="A164" s="82" t="str" cm="1">
        <f t="array" ref="A16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164" s="79" t="e">
        <f>'BKG Bank'!#REF!</f>
        <v>#REF!</v>
      </c>
      <c r="C164" s="108" t="e">
        <f>'BKG Bank'!#REF!</f>
        <v>#REF!</v>
      </c>
      <c r="D164" s="79" t="str" cm="1">
        <f t="array" ref="D16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164" s="79" t="str" cm="1">
        <f t="array" ref="E16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164" s="80" t="str" cm="1">
        <f t="array" ref="F16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164" s="80" t="str" cm="1">
        <f t="array" ref="G16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164" s="80" t="str" cm="1">
        <f t="array" ref="H16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164" s="78" t="str" cm="1">
        <f t="array" ref="I16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165" spans="1:9" hidden="1" x14ac:dyDescent="0.3">
      <c r="A165" s="82" t="str" cm="1">
        <f t="array" ref="A16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165" s="79" t="e">
        <f>'BKG Bank'!#REF!</f>
        <v>#REF!</v>
      </c>
      <c r="C165" s="108" t="e">
        <f>'BKG Bank'!#REF!</f>
        <v>#REF!</v>
      </c>
      <c r="D165" s="79" t="str" cm="1">
        <f t="array" ref="D16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165" s="79" t="str" cm="1">
        <f t="array" ref="E16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165" s="80" t="str" cm="1">
        <f t="array" ref="F16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165" s="80" t="str" cm="1">
        <f t="array" ref="G16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165" s="80" t="str" cm="1">
        <f t="array" ref="H16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165" s="78" t="str" cm="1">
        <f t="array" ref="I16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166" spans="1:9" hidden="1" x14ac:dyDescent="0.3">
      <c r="A166" s="82" t="str" cm="1">
        <f t="array" ref="A16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166" s="79" t="e">
        <f>'BKG Bank'!#REF!</f>
        <v>#REF!</v>
      </c>
      <c r="C166" s="108" t="e">
        <f>'BKG Bank'!#REF!</f>
        <v>#REF!</v>
      </c>
      <c r="D166" s="79" t="str" cm="1">
        <f t="array" ref="D16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166" s="79" t="str" cm="1">
        <f t="array" ref="E16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166" s="80" t="str" cm="1">
        <f t="array" ref="F16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166" s="80" t="str" cm="1">
        <f t="array" ref="G16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166" s="80" t="str" cm="1">
        <f t="array" ref="H16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166" s="78" t="str" cm="1">
        <f t="array" ref="I16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167" spans="1:9" hidden="1" x14ac:dyDescent="0.3">
      <c r="A167" s="82" t="str" cm="1">
        <f t="array" ref="A16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167" s="79" t="e">
        <f>'BKG Bank'!#REF!</f>
        <v>#REF!</v>
      </c>
      <c r="C167" s="108" t="e">
        <f>'BKG Bank'!#REF!</f>
        <v>#REF!</v>
      </c>
      <c r="D167" s="79" t="str" cm="1">
        <f t="array" ref="D16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167" s="79" t="str" cm="1">
        <f t="array" ref="E16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167" s="80" t="str" cm="1">
        <f t="array" ref="F16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167" s="80" t="str" cm="1">
        <f t="array" ref="G16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167" s="80" t="str" cm="1">
        <f t="array" ref="H16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167" s="78" t="str" cm="1">
        <f t="array" ref="I16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168" spans="1:9" hidden="1" x14ac:dyDescent="0.3">
      <c r="A168" s="82" t="str" cm="1">
        <f t="array" ref="A16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168" s="79" t="e">
        <f>'BKG Bank'!#REF!</f>
        <v>#REF!</v>
      </c>
      <c r="C168" s="108" t="e">
        <f>'BKG Bank'!#REF!</f>
        <v>#REF!</v>
      </c>
      <c r="D168" s="79" t="str" cm="1">
        <f t="array" ref="D16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168" s="79" t="str" cm="1">
        <f t="array" ref="E16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168" s="80" t="str" cm="1">
        <f t="array" ref="F16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168" s="80" t="str" cm="1">
        <f t="array" ref="G16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168" s="80" t="str" cm="1">
        <f t="array" ref="H16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168" s="78" t="str" cm="1">
        <f t="array" ref="I16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169" spans="1:9" hidden="1" x14ac:dyDescent="0.3">
      <c r="A169" s="82" t="str" cm="1">
        <f t="array" ref="A16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169" s="79" t="e">
        <f>'BKG Bank'!#REF!</f>
        <v>#REF!</v>
      </c>
      <c r="C169" s="108" t="e">
        <f>'BKG Bank'!#REF!</f>
        <v>#REF!</v>
      </c>
      <c r="D169" s="79" t="str" cm="1">
        <f t="array" ref="D16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169" s="79" t="str" cm="1">
        <f t="array" ref="E16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169" s="80" t="str" cm="1">
        <f t="array" ref="F16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169" s="80" t="str" cm="1">
        <f t="array" ref="G16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169" s="80" t="str" cm="1">
        <f t="array" ref="H16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169" s="78" t="str" cm="1">
        <f t="array" ref="I16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170" spans="1:9" hidden="1" x14ac:dyDescent="0.3">
      <c r="A170" s="82" t="str" cm="1">
        <f t="array" ref="A17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170" s="79" t="e">
        <f>'BKG Bank'!#REF!</f>
        <v>#REF!</v>
      </c>
      <c r="C170" s="108" t="e">
        <f>'BKG Bank'!#REF!</f>
        <v>#REF!</v>
      </c>
      <c r="D170" s="79" t="str" cm="1">
        <f t="array" ref="D17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170" s="79" t="str" cm="1">
        <f t="array" ref="E17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170" s="80" t="str" cm="1">
        <f t="array" ref="F17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170" s="80" t="str" cm="1">
        <f t="array" ref="G17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170" s="80" t="str" cm="1">
        <f t="array" ref="H17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170" s="78" t="str" cm="1">
        <f t="array" ref="I17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171" spans="1:9" hidden="1" x14ac:dyDescent="0.3">
      <c r="A171" s="82" t="str" cm="1">
        <f t="array" ref="A17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171" s="79" t="e">
        <f>'BKG Bank'!#REF!</f>
        <v>#REF!</v>
      </c>
      <c r="C171" s="108" t="e">
        <f>'BKG Bank'!#REF!</f>
        <v>#REF!</v>
      </c>
      <c r="D171" s="79" t="str" cm="1">
        <f t="array" ref="D17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171" s="79" t="str" cm="1">
        <f t="array" ref="E17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171" s="80" t="str" cm="1">
        <f t="array" ref="F17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171" s="80" t="str" cm="1">
        <f t="array" ref="G17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171" s="80" t="str" cm="1">
        <f t="array" ref="H17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171" s="78" t="str" cm="1">
        <f t="array" ref="I17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172" spans="1:9" hidden="1" x14ac:dyDescent="0.3">
      <c r="A172" s="82" t="str" cm="1">
        <f t="array" ref="A17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172" s="79" t="e">
        <f>'BKG Bank'!#REF!</f>
        <v>#REF!</v>
      </c>
      <c r="C172" s="108" t="e">
        <f>'BKG Bank'!#REF!</f>
        <v>#REF!</v>
      </c>
      <c r="D172" s="79" t="str" cm="1">
        <f t="array" ref="D17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172" s="79" t="str" cm="1">
        <f t="array" ref="E17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172" s="80" t="str" cm="1">
        <f t="array" ref="F17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172" s="80" t="str" cm="1">
        <f t="array" ref="G17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172" s="80" t="str" cm="1">
        <f t="array" ref="H17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172" s="78" t="str" cm="1">
        <f t="array" ref="I17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173" spans="1:9" hidden="1" x14ac:dyDescent="0.3">
      <c r="A173" s="82" t="str" cm="1">
        <f t="array" ref="A17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173" s="79" t="e">
        <f>'BKG Bank'!#REF!</f>
        <v>#REF!</v>
      </c>
      <c r="C173" s="108" t="e">
        <f>'BKG Bank'!#REF!</f>
        <v>#REF!</v>
      </c>
      <c r="D173" s="79" t="str" cm="1">
        <f t="array" ref="D17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173" s="79" t="str" cm="1">
        <f t="array" ref="E17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173" s="80" t="str" cm="1">
        <f t="array" ref="F17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173" s="80" t="str" cm="1">
        <f t="array" ref="G17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173" s="80" t="str" cm="1">
        <f t="array" ref="H17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173" s="78" t="str" cm="1">
        <f t="array" ref="I17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174" spans="1:9" hidden="1" x14ac:dyDescent="0.3">
      <c r="A174" s="82" t="str" cm="1">
        <f t="array" ref="A17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174" s="79" t="e">
        <f>'BKG Bank'!#REF!</f>
        <v>#REF!</v>
      </c>
      <c r="C174" s="108" t="e">
        <f>'BKG Bank'!#REF!</f>
        <v>#REF!</v>
      </c>
      <c r="D174" s="79" t="str" cm="1">
        <f t="array" ref="D17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174" s="79" t="str" cm="1">
        <f t="array" ref="E17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174" s="80" t="str" cm="1">
        <f t="array" ref="F17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174" s="80" t="str" cm="1">
        <f t="array" ref="G17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174" s="80" t="str" cm="1">
        <f t="array" ref="H17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174" s="78" t="str" cm="1">
        <f t="array" ref="I17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175" spans="1:9" hidden="1" x14ac:dyDescent="0.3">
      <c r="A175" s="82" t="str" cm="1">
        <f t="array" ref="A17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175" s="79" t="e">
        <f>'BKG Bank'!#REF!</f>
        <v>#REF!</v>
      </c>
      <c r="C175" s="108" t="e">
        <f>'BKG Bank'!#REF!</f>
        <v>#REF!</v>
      </c>
      <c r="D175" s="79" t="str" cm="1">
        <f t="array" ref="D17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175" s="79" t="str" cm="1">
        <f t="array" ref="E17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175" s="80" t="str" cm="1">
        <f t="array" ref="F17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175" s="80" t="str" cm="1">
        <f t="array" ref="G17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175" s="80" t="str" cm="1">
        <f t="array" ref="H17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175" s="78" t="str" cm="1">
        <f t="array" ref="I17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176" spans="1:9" hidden="1" x14ac:dyDescent="0.3">
      <c r="A176" s="82" t="str" cm="1">
        <f t="array" ref="A17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176" s="79" t="e">
        <f>'BKG Bank'!#REF!</f>
        <v>#REF!</v>
      </c>
      <c r="C176" s="108" t="e">
        <f>'BKG Bank'!#REF!</f>
        <v>#REF!</v>
      </c>
      <c r="D176" s="79" t="str" cm="1">
        <f t="array" ref="D17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176" s="79" t="str" cm="1">
        <f t="array" ref="E17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176" s="80" t="str" cm="1">
        <f t="array" ref="F17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176" s="80" t="str" cm="1">
        <f t="array" ref="G17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176" s="80" t="str" cm="1">
        <f t="array" ref="H17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176" s="78" t="str" cm="1">
        <f t="array" ref="I17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177" spans="1:9" hidden="1" x14ac:dyDescent="0.3">
      <c r="A177" s="82" t="str" cm="1">
        <f t="array" ref="A17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177" s="79" t="e">
        <f>'BKG Bank'!#REF!</f>
        <v>#REF!</v>
      </c>
      <c r="C177" s="108" t="e">
        <f>'BKG Bank'!#REF!</f>
        <v>#REF!</v>
      </c>
      <c r="D177" s="79" t="str" cm="1">
        <f t="array" ref="D17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177" s="79" t="str" cm="1">
        <f t="array" ref="E17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177" s="80" t="str" cm="1">
        <f t="array" ref="F17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177" s="80" t="str" cm="1">
        <f t="array" ref="G17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177" s="80" t="str" cm="1">
        <f t="array" ref="H17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177" s="78" t="str" cm="1">
        <f t="array" ref="I17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178" spans="1:9" hidden="1" x14ac:dyDescent="0.3">
      <c r="A178" s="82" t="str" cm="1">
        <f t="array" ref="A17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178" s="79" t="e">
        <f>'BKG Bank'!#REF!</f>
        <v>#REF!</v>
      </c>
      <c r="C178" s="108" t="e">
        <f>'BKG Bank'!#REF!</f>
        <v>#REF!</v>
      </c>
      <c r="D178" s="79" t="str" cm="1">
        <f t="array" ref="D17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178" s="79" t="str" cm="1">
        <f t="array" ref="E17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178" s="80" t="str" cm="1">
        <f t="array" ref="F17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178" s="80" t="str" cm="1">
        <f t="array" ref="G17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178" s="80" t="str" cm="1">
        <f t="array" ref="H17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178" s="78" t="str" cm="1">
        <f t="array" ref="I17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179" spans="1:9" hidden="1" x14ac:dyDescent="0.3">
      <c r="A179" s="82" t="str" cm="1">
        <f t="array" ref="A17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179" s="79" t="e">
        <f>'BKG Bank'!#REF!</f>
        <v>#REF!</v>
      </c>
      <c r="C179" s="108" t="e">
        <f>'BKG Bank'!#REF!</f>
        <v>#REF!</v>
      </c>
      <c r="D179" s="79" t="str" cm="1">
        <f t="array" ref="D17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179" s="79" t="str" cm="1">
        <f t="array" ref="E17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179" s="80" t="str" cm="1">
        <f t="array" ref="F17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179" s="80" t="str" cm="1">
        <f t="array" ref="G17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179" s="80" t="str" cm="1">
        <f t="array" ref="H17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179" s="78" t="str" cm="1">
        <f t="array" ref="I17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180" spans="1:9" hidden="1" x14ac:dyDescent="0.3">
      <c r="A180" s="82" t="str" cm="1">
        <f t="array" ref="A18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180" s="79" t="e">
        <f>'BKG Bank'!#REF!</f>
        <v>#REF!</v>
      </c>
      <c r="C180" s="108" t="e">
        <f>'BKG Bank'!#REF!</f>
        <v>#REF!</v>
      </c>
      <c r="D180" s="79" t="str" cm="1">
        <f t="array" ref="D18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180" s="79" t="str" cm="1">
        <f t="array" ref="E18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180" s="80" t="str" cm="1">
        <f t="array" ref="F18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180" s="80" t="str" cm="1">
        <f t="array" ref="G18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180" s="80" t="str" cm="1">
        <f t="array" ref="H18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180" s="78" t="str" cm="1">
        <f t="array" ref="I18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181" spans="1:9" hidden="1" x14ac:dyDescent="0.3">
      <c r="A181" s="82" t="str" cm="1">
        <f t="array" ref="A18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181" s="79" t="e">
        <f>'BKG Bank'!#REF!</f>
        <v>#REF!</v>
      </c>
      <c r="C181" s="108" t="e">
        <f>'BKG Bank'!#REF!</f>
        <v>#REF!</v>
      </c>
      <c r="D181" s="79" t="str" cm="1">
        <f t="array" ref="D18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181" s="79" t="str" cm="1">
        <f t="array" ref="E18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181" s="80" t="str" cm="1">
        <f t="array" ref="F18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181" s="80" t="str" cm="1">
        <f t="array" ref="G18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181" s="80" t="str" cm="1">
        <f t="array" ref="H18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181" s="78" t="str" cm="1">
        <f t="array" ref="I18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182" spans="1:9" hidden="1" x14ac:dyDescent="0.3">
      <c r="A182" s="82" t="str" cm="1">
        <f t="array" ref="A18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182" s="79" t="e">
        <f>'BKG Bank'!#REF!</f>
        <v>#REF!</v>
      </c>
      <c r="C182" s="108" t="e">
        <f>'BKG Bank'!#REF!</f>
        <v>#REF!</v>
      </c>
      <c r="D182" s="79" t="str" cm="1">
        <f t="array" ref="D18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182" s="79" t="str" cm="1">
        <f t="array" ref="E18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182" s="80" t="str" cm="1">
        <f t="array" ref="F18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182" s="80" t="str" cm="1">
        <f t="array" ref="G18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182" s="80" t="str" cm="1">
        <f t="array" ref="H18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182" s="78" t="str" cm="1">
        <f t="array" ref="I18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183" spans="1:9" hidden="1" x14ac:dyDescent="0.3">
      <c r="A183" s="82" t="str" cm="1">
        <f t="array" ref="A18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183" s="79" t="e">
        <f>'BKG Bank'!#REF!</f>
        <v>#REF!</v>
      </c>
      <c r="C183" s="108" t="e">
        <f>'BKG Bank'!#REF!</f>
        <v>#REF!</v>
      </c>
      <c r="D183" s="79" t="str" cm="1">
        <f t="array" ref="D18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183" s="79" t="str" cm="1">
        <f t="array" ref="E18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183" s="80" t="str" cm="1">
        <f t="array" ref="F18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183" s="80" t="str" cm="1">
        <f t="array" ref="G18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183" s="80" t="str" cm="1">
        <f t="array" ref="H18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183" s="78" t="str" cm="1">
        <f t="array" ref="I18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184" spans="1:9" hidden="1" x14ac:dyDescent="0.3">
      <c r="A184" s="82" t="str" cm="1">
        <f t="array" ref="A18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184" s="79" t="e">
        <f>'BKG Bank'!#REF!</f>
        <v>#REF!</v>
      </c>
      <c r="C184" s="108" t="e">
        <f>'BKG Bank'!#REF!</f>
        <v>#REF!</v>
      </c>
      <c r="D184" s="79" t="str" cm="1">
        <f t="array" ref="D18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184" s="79" t="str" cm="1">
        <f t="array" ref="E18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184" s="80" t="str" cm="1">
        <f t="array" ref="F18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184" s="80" t="str" cm="1">
        <f t="array" ref="G18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184" s="80" t="str" cm="1">
        <f t="array" ref="H18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184" s="78" t="str" cm="1">
        <f t="array" ref="I18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185" spans="1:9" hidden="1" x14ac:dyDescent="0.3">
      <c r="A185" s="82" t="str" cm="1">
        <f t="array" ref="A18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185" s="79" t="e">
        <f>'BKG Bank'!#REF!</f>
        <v>#REF!</v>
      </c>
      <c r="C185" s="108" t="e">
        <f>'BKG Bank'!#REF!</f>
        <v>#REF!</v>
      </c>
      <c r="D185" s="79" t="str" cm="1">
        <f t="array" ref="D18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185" s="79" t="str" cm="1">
        <f t="array" ref="E18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185" s="80" t="str" cm="1">
        <f t="array" ref="F18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185" s="80" t="str" cm="1">
        <f t="array" ref="G18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185" s="80" t="str" cm="1">
        <f t="array" ref="H18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185" s="78" t="str" cm="1">
        <f t="array" ref="I18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186" spans="1:9" hidden="1" x14ac:dyDescent="0.3">
      <c r="A186" s="82" t="str" cm="1">
        <f t="array" ref="A18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186" s="79" t="e">
        <f>'BKG Bank'!#REF!</f>
        <v>#REF!</v>
      </c>
      <c r="C186" s="108" t="e">
        <f>'BKG Bank'!#REF!</f>
        <v>#REF!</v>
      </c>
      <c r="D186" s="79" t="str" cm="1">
        <f t="array" ref="D18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186" s="79" t="str" cm="1">
        <f t="array" ref="E18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186" s="80" t="str" cm="1">
        <f t="array" ref="F18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186" s="80" t="str" cm="1">
        <f t="array" ref="G18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186" s="80" t="str" cm="1">
        <f t="array" ref="H18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186" s="78" t="str" cm="1">
        <f t="array" ref="I18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187" spans="1:9" hidden="1" x14ac:dyDescent="0.3">
      <c r="A187" s="82" t="str" cm="1">
        <f t="array" ref="A18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187" s="79" t="e">
        <f>'BKG Bank'!#REF!</f>
        <v>#REF!</v>
      </c>
      <c r="C187" s="108" t="e">
        <f>'BKG Bank'!#REF!</f>
        <v>#REF!</v>
      </c>
      <c r="D187" s="79" t="str" cm="1">
        <f t="array" ref="D18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187" s="79" t="str" cm="1">
        <f t="array" ref="E18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187" s="80" t="str" cm="1">
        <f t="array" ref="F18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187" s="80" t="str" cm="1">
        <f t="array" ref="G18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187" s="80" t="str" cm="1">
        <f t="array" ref="H18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187" s="78" t="str" cm="1">
        <f t="array" ref="I18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188" spans="1:9" hidden="1" x14ac:dyDescent="0.3">
      <c r="A188" s="82" t="str" cm="1">
        <f t="array" ref="A18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188" s="79" t="e">
        <f>'BKG Bank'!#REF!</f>
        <v>#REF!</v>
      </c>
      <c r="C188" s="108" t="e">
        <f>'BKG Bank'!#REF!</f>
        <v>#REF!</v>
      </c>
      <c r="D188" s="79" t="str" cm="1">
        <f t="array" ref="D18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188" s="79" t="str" cm="1">
        <f t="array" ref="E18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188" s="80" t="str" cm="1">
        <f t="array" ref="F18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188" s="80" t="str" cm="1">
        <f t="array" ref="G18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188" s="80" t="str" cm="1">
        <f t="array" ref="H18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188" s="78" t="str" cm="1">
        <f t="array" ref="I18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189" spans="1:9" hidden="1" x14ac:dyDescent="0.3">
      <c r="A189" s="82" t="str" cm="1">
        <f t="array" ref="A18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189" s="79" t="e">
        <f>'BKG Bank'!#REF!</f>
        <v>#REF!</v>
      </c>
      <c r="C189" s="108" t="e">
        <f>'BKG Bank'!#REF!</f>
        <v>#REF!</v>
      </c>
      <c r="D189" s="79" t="str" cm="1">
        <f t="array" ref="D18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189" s="79" t="str" cm="1">
        <f t="array" ref="E18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189" s="80" t="str" cm="1">
        <f t="array" ref="F18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189" s="80" t="str" cm="1">
        <f t="array" ref="G18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189" s="80" t="str" cm="1">
        <f t="array" ref="H18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189" s="78" t="str" cm="1">
        <f t="array" ref="I18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190" spans="1:9" hidden="1" x14ac:dyDescent="0.3">
      <c r="A190" s="82" t="str" cm="1">
        <f t="array" ref="A19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190" s="79" t="e">
        <f>'BKG Bank'!#REF!</f>
        <v>#REF!</v>
      </c>
      <c r="C190" s="108" t="e">
        <f>'BKG Bank'!#REF!</f>
        <v>#REF!</v>
      </c>
      <c r="D190" s="79" t="str" cm="1">
        <f t="array" ref="D19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190" s="79" t="str" cm="1">
        <f t="array" ref="E19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190" s="80" t="str" cm="1">
        <f t="array" ref="F19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190" s="80" t="str" cm="1">
        <f t="array" ref="G19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190" s="80" t="str" cm="1">
        <f t="array" ref="H19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190" s="78" t="str" cm="1">
        <f t="array" ref="I19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191" spans="1:9" hidden="1" x14ac:dyDescent="0.3">
      <c r="A191" s="82" t="str" cm="1">
        <f t="array" ref="A19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191" s="79" t="e">
        <f>'BKG Bank'!#REF!</f>
        <v>#REF!</v>
      </c>
      <c r="C191" s="108" t="e">
        <f>'BKG Bank'!#REF!</f>
        <v>#REF!</v>
      </c>
      <c r="D191" s="79" t="str" cm="1">
        <f t="array" ref="D19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191" s="79" t="str" cm="1">
        <f t="array" ref="E19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191" s="80" t="str" cm="1">
        <f t="array" ref="F19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191" s="80" t="str" cm="1">
        <f t="array" ref="G19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191" s="80" t="str" cm="1">
        <f t="array" ref="H19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191" s="78" t="str" cm="1">
        <f t="array" ref="I19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192" spans="1:9" hidden="1" x14ac:dyDescent="0.3">
      <c r="A192" s="82" t="str" cm="1">
        <f t="array" ref="A19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192" s="79" t="e">
        <f>'BKG Bank'!#REF!</f>
        <v>#REF!</v>
      </c>
      <c r="C192" s="108" t="e">
        <f>'BKG Bank'!#REF!</f>
        <v>#REF!</v>
      </c>
      <c r="D192" s="79" t="str" cm="1">
        <f t="array" ref="D19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192" s="79" t="str" cm="1">
        <f t="array" ref="E19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192" s="80" t="str" cm="1">
        <f t="array" ref="F19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192" s="80" t="str" cm="1">
        <f t="array" ref="G19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192" s="80" t="str" cm="1">
        <f t="array" ref="H19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192" s="78" t="str" cm="1">
        <f t="array" ref="I19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193" spans="1:9" hidden="1" x14ac:dyDescent="0.3">
      <c r="A193" s="82" t="str" cm="1">
        <f t="array" ref="A19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193" s="79" t="e">
        <f>'BKG Bank'!#REF!</f>
        <v>#REF!</v>
      </c>
      <c r="C193" s="108" t="e">
        <f>'BKG Bank'!#REF!</f>
        <v>#REF!</v>
      </c>
      <c r="D193" s="79" t="str" cm="1">
        <f t="array" ref="D19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193" s="79" t="str" cm="1">
        <f t="array" ref="E19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193" s="80" t="str" cm="1">
        <f t="array" ref="F19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193" s="80" t="str" cm="1">
        <f t="array" ref="G19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193" s="80" t="str" cm="1">
        <f t="array" ref="H19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193" s="78" t="str" cm="1">
        <f t="array" ref="I19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194" spans="1:9" hidden="1" x14ac:dyDescent="0.3">
      <c r="A194" s="82" t="str" cm="1">
        <f t="array" ref="A19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194" s="79" t="e">
        <f>'BKG Bank'!#REF!</f>
        <v>#REF!</v>
      </c>
      <c r="C194" s="108" t="e">
        <f>'BKG Bank'!#REF!</f>
        <v>#REF!</v>
      </c>
      <c r="D194" s="79" t="str" cm="1">
        <f t="array" ref="D19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194" s="79" t="str" cm="1">
        <f t="array" ref="E19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194" s="80" t="str" cm="1">
        <f t="array" ref="F19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194" s="80" t="str" cm="1">
        <f t="array" ref="G19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194" s="80" t="str" cm="1">
        <f t="array" ref="H19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194" s="78" t="str" cm="1">
        <f t="array" ref="I19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195" spans="1:9" hidden="1" x14ac:dyDescent="0.3">
      <c r="A195" s="82" t="str" cm="1">
        <f t="array" ref="A19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195" s="79" t="e">
        <f>'BKG Bank'!#REF!</f>
        <v>#REF!</v>
      </c>
      <c r="C195" s="108" t="e">
        <f>'BKG Bank'!#REF!</f>
        <v>#REF!</v>
      </c>
      <c r="D195" s="79" t="str" cm="1">
        <f t="array" ref="D19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195" s="79" t="str" cm="1">
        <f t="array" ref="E19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195" s="80" t="str" cm="1">
        <f t="array" ref="F19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195" s="80" t="str" cm="1">
        <f t="array" ref="G19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195" s="80" t="str" cm="1">
        <f t="array" ref="H19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195" s="78" t="str" cm="1">
        <f t="array" ref="I19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196" spans="1:9" hidden="1" x14ac:dyDescent="0.3">
      <c r="A196" s="82" t="str" cm="1">
        <f t="array" ref="A19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196" s="79" t="e">
        <f>'BKG Bank'!#REF!</f>
        <v>#REF!</v>
      </c>
      <c r="C196" s="108" t="e">
        <f>'BKG Bank'!#REF!</f>
        <v>#REF!</v>
      </c>
      <c r="D196" s="79" t="str" cm="1">
        <f t="array" ref="D19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196" s="79" t="str" cm="1">
        <f t="array" ref="E19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196" s="80" t="str" cm="1">
        <f t="array" ref="F19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196" s="80" t="str" cm="1">
        <f t="array" ref="G19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196" s="80" t="str" cm="1">
        <f t="array" ref="H19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196" s="78" t="str" cm="1">
        <f t="array" ref="I19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197" spans="1:9" hidden="1" x14ac:dyDescent="0.3">
      <c r="A197" s="82" t="str" cm="1">
        <f t="array" ref="A19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197" s="79" t="e">
        <f>'BKG Bank'!#REF!</f>
        <v>#REF!</v>
      </c>
      <c r="C197" s="108" t="e">
        <f>'BKG Bank'!#REF!</f>
        <v>#REF!</v>
      </c>
      <c r="D197" s="79" t="str" cm="1">
        <f t="array" ref="D19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197" s="79" t="str" cm="1">
        <f t="array" ref="E19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197" s="80" t="str" cm="1">
        <f t="array" ref="F19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197" s="80" t="str" cm="1">
        <f t="array" ref="G19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197" s="80" t="str" cm="1">
        <f t="array" ref="H19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197" s="78" t="str" cm="1">
        <f t="array" ref="I19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198" spans="1:9" hidden="1" x14ac:dyDescent="0.3">
      <c r="A198" s="82" t="str" cm="1">
        <f t="array" ref="A19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198" s="79" t="e">
        <f>'BKG Bank'!#REF!</f>
        <v>#REF!</v>
      </c>
      <c r="C198" s="108" t="e">
        <f>'BKG Bank'!#REF!</f>
        <v>#REF!</v>
      </c>
      <c r="D198" s="79" t="str" cm="1">
        <f t="array" ref="D19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198" s="79" t="str" cm="1">
        <f t="array" ref="E19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198" s="80" t="str" cm="1">
        <f t="array" ref="F19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198" s="80" t="str" cm="1">
        <f t="array" ref="G19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198" s="80" t="str" cm="1">
        <f t="array" ref="H19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198" s="78" t="str" cm="1">
        <f t="array" ref="I19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199" spans="1:9" hidden="1" x14ac:dyDescent="0.3">
      <c r="A199" s="82" t="str" cm="1">
        <f t="array" ref="A19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199" s="79" t="e">
        <f>'BKG Bank'!#REF!</f>
        <v>#REF!</v>
      </c>
      <c r="C199" s="108" t="e">
        <f>'BKG Bank'!#REF!</f>
        <v>#REF!</v>
      </c>
      <c r="D199" s="79" t="str" cm="1">
        <f t="array" ref="D19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199" s="79" t="str" cm="1">
        <f t="array" ref="E19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199" s="80" t="str" cm="1">
        <f t="array" ref="F19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199" s="80" t="str" cm="1">
        <f t="array" ref="G19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199" s="80" t="str" cm="1">
        <f t="array" ref="H19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199" s="78" t="str" cm="1">
        <f t="array" ref="I19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200" spans="1:9" hidden="1" x14ac:dyDescent="0.3">
      <c r="A200" s="82" t="str" cm="1">
        <f t="array" ref="A20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200" s="79" t="e">
        <f>'BKG Bank'!#REF!</f>
        <v>#REF!</v>
      </c>
      <c r="C200" s="108" t="e">
        <f>'BKG Bank'!#REF!</f>
        <v>#REF!</v>
      </c>
      <c r="D200" s="79" t="str" cm="1">
        <f t="array" ref="D20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200" s="79" t="str" cm="1">
        <f t="array" ref="E20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200" s="80" t="str" cm="1">
        <f t="array" ref="F20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200" s="80" t="str" cm="1">
        <f t="array" ref="G20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200" s="80" t="str" cm="1">
        <f t="array" ref="H20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200" s="78" t="str" cm="1">
        <f t="array" ref="I20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201" spans="1:9" hidden="1" x14ac:dyDescent="0.3">
      <c r="A201" s="82" t="str" cm="1">
        <f t="array" ref="A20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201" s="79" t="e">
        <f>'BKG Bank'!#REF!</f>
        <v>#REF!</v>
      </c>
      <c r="C201" s="108" t="e">
        <f>'BKG Bank'!#REF!</f>
        <v>#REF!</v>
      </c>
      <c r="D201" s="79" t="str" cm="1">
        <f t="array" ref="D20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201" s="79" t="str" cm="1">
        <f t="array" ref="E20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201" s="80" t="str" cm="1">
        <f t="array" ref="F20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201" s="80" t="str" cm="1">
        <f t="array" ref="G20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201" s="80" t="str" cm="1">
        <f t="array" ref="H20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201" s="78" t="str" cm="1">
        <f t="array" ref="I20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202" spans="1:9" hidden="1" x14ac:dyDescent="0.3">
      <c r="A202" s="82" t="str" cm="1">
        <f t="array" ref="A20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202" s="79" t="e">
        <f>'BKG Bank'!#REF!</f>
        <v>#REF!</v>
      </c>
      <c r="C202" s="108" t="e">
        <f>'BKG Bank'!#REF!</f>
        <v>#REF!</v>
      </c>
      <c r="D202" s="79" t="str" cm="1">
        <f t="array" ref="D20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202" s="79" t="str" cm="1">
        <f t="array" ref="E20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202" s="80" t="str" cm="1">
        <f t="array" ref="F20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202" s="80" t="str" cm="1">
        <f t="array" ref="G20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202" s="80" t="str" cm="1">
        <f t="array" ref="H20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202" s="78" t="str" cm="1">
        <f t="array" ref="I20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203" spans="1:9" hidden="1" x14ac:dyDescent="0.3">
      <c r="A203" s="82" t="str" cm="1">
        <f t="array" ref="A20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203" s="79" t="e">
        <f>'BKG Bank'!#REF!</f>
        <v>#REF!</v>
      </c>
      <c r="C203" s="108" t="e">
        <f>'BKG Bank'!#REF!</f>
        <v>#REF!</v>
      </c>
      <c r="D203" s="79" t="str" cm="1">
        <f t="array" ref="D20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203" s="79" t="str" cm="1">
        <f t="array" ref="E20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203" s="80" t="str" cm="1">
        <f t="array" ref="F20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203" s="80" t="str" cm="1">
        <f t="array" ref="G20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203" s="80" t="str" cm="1">
        <f t="array" ref="H20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203" s="78" t="str" cm="1">
        <f t="array" ref="I20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204" spans="1:9" hidden="1" x14ac:dyDescent="0.3">
      <c r="A204" s="82" t="str" cm="1">
        <f t="array" ref="A20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204" s="79" t="e">
        <f>'BKG Bank'!#REF!</f>
        <v>#REF!</v>
      </c>
      <c r="C204" s="108" t="e">
        <f>'BKG Bank'!#REF!</f>
        <v>#REF!</v>
      </c>
      <c r="D204" s="79" t="str" cm="1">
        <f t="array" ref="D20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204" s="79" t="str" cm="1">
        <f t="array" ref="E20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204" s="80" t="str" cm="1">
        <f t="array" ref="F20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204" s="80" t="str" cm="1">
        <f t="array" ref="G20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204" s="80" t="str" cm="1">
        <f t="array" ref="H20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204" s="78" t="str" cm="1">
        <f t="array" ref="I20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205" spans="1:9" hidden="1" x14ac:dyDescent="0.3">
      <c r="A205" s="82" t="str" cm="1">
        <f t="array" ref="A20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205" s="79" t="e">
        <f>'BKG Bank'!#REF!</f>
        <v>#REF!</v>
      </c>
      <c r="C205" s="108" t="e">
        <f>'BKG Bank'!#REF!</f>
        <v>#REF!</v>
      </c>
      <c r="D205" s="79" t="str" cm="1">
        <f t="array" ref="D20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205" s="79" t="str" cm="1">
        <f t="array" ref="E20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205" s="80" t="str" cm="1">
        <f t="array" ref="F20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205" s="80" t="str" cm="1">
        <f t="array" ref="G20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205" s="80" t="str" cm="1">
        <f t="array" ref="H20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205" s="78" t="str" cm="1">
        <f t="array" ref="I20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206" spans="1:9" hidden="1" x14ac:dyDescent="0.3">
      <c r="A206" s="82" t="str" cm="1">
        <f t="array" ref="A20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206" s="79" t="e">
        <f>'BKG Bank'!#REF!</f>
        <v>#REF!</v>
      </c>
      <c r="C206" s="108" t="e">
        <f>'BKG Bank'!#REF!</f>
        <v>#REF!</v>
      </c>
      <c r="D206" s="79" t="str" cm="1">
        <f t="array" ref="D20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206" s="79" t="str" cm="1">
        <f t="array" ref="E20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206" s="80" t="str" cm="1">
        <f t="array" ref="F20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206" s="80" t="str" cm="1">
        <f t="array" ref="G20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206" s="80" t="str" cm="1">
        <f t="array" ref="H20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206" s="78" t="str" cm="1">
        <f t="array" ref="I20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207" spans="1:9" hidden="1" x14ac:dyDescent="0.3">
      <c r="A207" s="82" t="str" cm="1">
        <f t="array" ref="A20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207" s="79" t="e">
        <f>'BKG Bank'!#REF!</f>
        <v>#REF!</v>
      </c>
      <c r="C207" s="108" t="e">
        <f>'BKG Bank'!#REF!</f>
        <v>#REF!</v>
      </c>
      <c r="D207" s="79" t="str" cm="1">
        <f t="array" ref="D20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207" s="79" t="str" cm="1">
        <f t="array" ref="E20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207" s="80" t="str" cm="1">
        <f t="array" ref="F20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207" s="80" t="str" cm="1">
        <f t="array" ref="G20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207" s="80" t="str" cm="1">
        <f t="array" ref="H20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207" s="78" t="str" cm="1">
        <f t="array" ref="I20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208" spans="1:9" hidden="1" x14ac:dyDescent="0.3">
      <c r="A208" s="82" t="str" cm="1">
        <f t="array" ref="A20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208" s="79" t="e">
        <f>'BKG Bank'!#REF!</f>
        <v>#REF!</v>
      </c>
      <c r="C208" s="108" t="e">
        <f>'BKG Bank'!#REF!</f>
        <v>#REF!</v>
      </c>
      <c r="D208" s="79" t="str" cm="1">
        <f t="array" ref="D20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208" s="79" t="str" cm="1">
        <f t="array" ref="E20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208" s="80" t="str" cm="1">
        <f t="array" ref="F20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208" s="80" t="str" cm="1">
        <f t="array" ref="G20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208" s="80" t="str" cm="1">
        <f t="array" ref="H20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208" s="78" t="str" cm="1">
        <f t="array" ref="I20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209" spans="1:9" hidden="1" x14ac:dyDescent="0.3">
      <c r="A209" s="82" t="str" cm="1">
        <f t="array" ref="A20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209" s="79" t="e">
        <f>'BKG Bank'!#REF!</f>
        <v>#REF!</v>
      </c>
      <c r="C209" s="108" t="e">
        <f>'BKG Bank'!#REF!</f>
        <v>#REF!</v>
      </c>
      <c r="D209" s="79" t="str" cm="1">
        <f t="array" ref="D20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209" s="79" t="str" cm="1">
        <f t="array" ref="E20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209" s="80" t="str" cm="1">
        <f t="array" ref="F20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209" s="80" t="str" cm="1">
        <f t="array" ref="G20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209" s="80" t="str" cm="1">
        <f t="array" ref="H20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209" s="78" t="str" cm="1">
        <f t="array" ref="I20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210" spans="1:9" hidden="1" x14ac:dyDescent="0.3">
      <c r="A210" s="82" t="str" cm="1">
        <f t="array" ref="A21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210" s="79" t="e">
        <f>'BKG Bank'!#REF!</f>
        <v>#REF!</v>
      </c>
      <c r="C210" s="108" t="e">
        <f>'BKG Bank'!#REF!</f>
        <v>#REF!</v>
      </c>
      <c r="D210" s="79" t="str" cm="1">
        <f t="array" ref="D21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210" s="79" t="str" cm="1">
        <f t="array" ref="E21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210" s="80" t="str" cm="1">
        <f t="array" ref="F21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210" s="80" t="str" cm="1">
        <f t="array" ref="G21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210" s="80" t="str" cm="1">
        <f t="array" ref="H21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210" s="78" t="str" cm="1">
        <f t="array" ref="I21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211" spans="1:9" hidden="1" x14ac:dyDescent="0.3">
      <c r="A211" s="82" t="str" cm="1">
        <f t="array" ref="A21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211" s="79" t="e">
        <f>'BKG Bank'!#REF!</f>
        <v>#REF!</v>
      </c>
      <c r="C211" s="108" t="e">
        <f>'BKG Bank'!#REF!</f>
        <v>#REF!</v>
      </c>
      <c r="D211" s="79" t="str" cm="1">
        <f t="array" ref="D21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211" s="79" t="str" cm="1">
        <f t="array" ref="E21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211" s="80" t="str" cm="1">
        <f t="array" ref="F21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211" s="80" t="str" cm="1">
        <f t="array" ref="G21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211" s="80" t="str" cm="1">
        <f t="array" ref="H21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211" s="78" t="str" cm="1">
        <f t="array" ref="I21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212" spans="1:9" hidden="1" x14ac:dyDescent="0.3">
      <c r="A212" s="82" t="str" cm="1">
        <f t="array" ref="A21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212" s="79" t="e">
        <f>'BKG Bank'!#REF!</f>
        <v>#REF!</v>
      </c>
      <c r="C212" s="108" t="e">
        <f>'BKG Bank'!#REF!</f>
        <v>#REF!</v>
      </c>
      <c r="D212" s="79" t="str" cm="1">
        <f t="array" ref="D21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212" s="79" t="str" cm="1">
        <f t="array" ref="E21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212" s="80" t="str" cm="1">
        <f t="array" ref="F21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212" s="80" t="str" cm="1">
        <f t="array" ref="G21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212" s="80" t="str" cm="1">
        <f t="array" ref="H21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212" s="78" t="str" cm="1">
        <f t="array" ref="I21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213" spans="1:9" hidden="1" x14ac:dyDescent="0.3">
      <c r="A213" s="82" t="str" cm="1">
        <f t="array" ref="A21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213" s="79" t="e">
        <f>'BKG Bank'!#REF!</f>
        <v>#REF!</v>
      </c>
      <c r="C213" s="108" t="e">
        <f>'BKG Bank'!#REF!</f>
        <v>#REF!</v>
      </c>
      <c r="D213" s="79" t="str" cm="1">
        <f t="array" ref="D21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213" s="79" t="str" cm="1">
        <f t="array" ref="E21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213" s="80" t="str" cm="1">
        <f t="array" ref="F21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213" s="80" t="str" cm="1">
        <f t="array" ref="G21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213" s="80" t="str" cm="1">
        <f t="array" ref="H21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213" s="78" t="str" cm="1">
        <f t="array" ref="I21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214" spans="1:9" hidden="1" x14ac:dyDescent="0.3">
      <c r="A214" s="82" t="str" cm="1">
        <f t="array" ref="A21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214" s="79" t="e">
        <f>'BKG Bank'!#REF!</f>
        <v>#REF!</v>
      </c>
      <c r="C214" s="108" t="e">
        <f>'BKG Bank'!#REF!</f>
        <v>#REF!</v>
      </c>
      <c r="D214" s="79" t="str" cm="1">
        <f t="array" ref="D21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214" s="79" t="str" cm="1">
        <f t="array" ref="E21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214" s="80" t="str" cm="1">
        <f t="array" ref="F21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214" s="80" t="str" cm="1">
        <f t="array" ref="G21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214" s="80" t="str" cm="1">
        <f t="array" ref="H21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214" s="78" t="str" cm="1">
        <f t="array" ref="I21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215" spans="1:9" hidden="1" x14ac:dyDescent="0.3">
      <c r="A215" s="82" t="str" cm="1">
        <f t="array" ref="A21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215" s="79" t="e">
        <f>'BKG Bank'!#REF!</f>
        <v>#REF!</v>
      </c>
      <c r="C215" s="108" t="e">
        <f>'BKG Bank'!#REF!</f>
        <v>#REF!</v>
      </c>
      <c r="D215" s="79" t="str" cm="1">
        <f t="array" ref="D21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215" s="79" t="str" cm="1">
        <f t="array" ref="E21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215" s="80" t="str" cm="1">
        <f t="array" ref="F21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215" s="80" t="str" cm="1">
        <f t="array" ref="G21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215" s="80" t="str" cm="1">
        <f t="array" ref="H21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215" s="78" t="str" cm="1">
        <f t="array" ref="I21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216" spans="1:9" hidden="1" x14ac:dyDescent="0.3">
      <c r="A216" s="82" t="str" cm="1">
        <f t="array" ref="A21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216" s="79" t="e">
        <f>'BKG Bank'!#REF!</f>
        <v>#REF!</v>
      </c>
      <c r="C216" s="108" t="e">
        <f>'BKG Bank'!#REF!</f>
        <v>#REF!</v>
      </c>
      <c r="D216" s="79" t="str" cm="1">
        <f t="array" ref="D21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216" s="79" t="str" cm="1">
        <f t="array" ref="E21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216" s="80" t="str" cm="1">
        <f t="array" ref="F21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216" s="80" t="str" cm="1">
        <f t="array" ref="G21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216" s="80" t="str" cm="1">
        <f t="array" ref="H21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216" s="78" t="str" cm="1">
        <f t="array" ref="I21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217" spans="1:9" hidden="1" x14ac:dyDescent="0.3">
      <c r="A217" s="82" t="str" cm="1">
        <f t="array" ref="A21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217" s="79" t="e">
        <f>'BKG Bank'!#REF!</f>
        <v>#REF!</v>
      </c>
      <c r="C217" s="108" t="e">
        <f>'BKG Bank'!#REF!</f>
        <v>#REF!</v>
      </c>
      <c r="D217" s="79" t="str" cm="1">
        <f t="array" ref="D21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217" s="79" t="str" cm="1">
        <f t="array" ref="E21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217" s="80" t="str" cm="1">
        <f t="array" ref="F21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217" s="80" t="str" cm="1">
        <f t="array" ref="G21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217" s="80" t="str" cm="1">
        <f t="array" ref="H21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217" s="78" t="str" cm="1">
        <f t="array" ref="I21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218" spans="1:9" hidden="1" x14ac:dyDescent="0.3">
      <c r="A218" s="82" t="str" cm="1">
        <f t="array" ref="A21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218" s="79" t="e">
        <f>'BKG Bank'!#REF!</f>
        <v>#REF!</v>
      </c>
      <c r="C218" s="108" t="e">
        <f>'BKG Bank'!#REF!</f>
        <v>#REF!</v>
      </c>
      <c r="D218" s="79" t="str" cm="1">
        <f t="array" ref="D21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218" s="79" t="str" cm="1">
        <f t="array" ref="E21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218" s="80" t="str" cm="1">
        <f t="array" ref="F21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218" s="80" t="str" cm="1">
        <f t="array" ref="G21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218" s="80" t="str" cm="1">
        <f t="array" ref="H21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218" s="78" t="str" cm="1">
        <f t="array" ref="I21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219" spans="1:9" hidden="1" x14ac:dyDescent="0.3">
      <c r="A219" s="82" t="str" cm="1">
        <f t="array" ref="A21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219" s="79" t="e">
        <f>'BKG Bank'!#REF!</f>
        <v>#REF!</v>
      </c>
      <c r="C219" s="108" t="e">
        <f>'BKG Bank'!#REF!</f>
        <v>#REF!</v>
      </c>
      <c r="D219" s="79" t="str" cm="1">
        <f t="array" ref="D21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219" s="79" t="str" cm="1">
        <f t="array" ref="E21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219" s="80" t="str" cm="1">
        <f t="array" ref="F21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219" s="80" t="str" cm="1">
        <f t="array" ref="G21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219" s="80" t="str" cm="1">
        <f t="array" ref="H21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219" s="78" t="str" cm="1">
        <f t="array" ref="I21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220" spans="1:9" hidden="1" x14ac:dyDescent="0.3">
      <c r="A220" s="82" t="str" cm="1">
        <f t="array" ref="A22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220" s="79" t="e">
        <f>'BKG Bank'!#REF!</f>
        <v>#REF!</v>
      </c>
      <c r="C220" s="108" t="e">
        <f>'BKG Bank'!#REF!</f>
        <v>#REF!</v>
      </c>
      <c r="D220" s="79" t="str" cm="1">
        <f t="array" ref="D22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220" s="79" t="str" cm="1">
        <f t="array" ref="E22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220" s="80" t="str" cm="1">
        <f t="array" ref="F22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220" s="80" t="str" cm="1">
        <f t="array" ref="G22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220" s="80" t="str" cm="1">
        <f t="array" ref="H22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220" s="78" t="str" cm="1">
        <f t="array" ref="I22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221" spans="1:9" hidden="1" x14ac:dyDescent="0.3">
      <c r="A221" s="82" t="str" cm="1">
        <f t="array" ref="A22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221" s="79" t="e">
        <f>'BKG Bank'!#REF!</f>
        <v>#REF!</v>
      </c>
      <c r="C221" s="108" t="e">
        <f>'BKG Bank'!#REF!</f>
        <v>#REF!</v>
      </c>
      <c r="D221" s="79" t="str" cm="1">
        <f t="array" ref="D22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221" s="79" t="str" cm="1">
        <f t="array" ref="E22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221" s="80" t="str" cm="1">
        <f t="array" ref="F22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221" s="80" t="str" cm="1">
        <f t="array" ref="G22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221" s="80" t="str" cm="1">
        <f t="array" ref="H22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221" s="78" t="str" cm="1">
        <f t="array" ref="I22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222" spans="1:9" hidden="1" x14ac:dyDescent="0.3">
      <c r="A222" s="82" t="str" cm="1">
        <f t="array" ref="A22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222" s="79" t="e">
        <f>'BKG Bank'!#REF!</f>
        <v>#REF!</v>
      </c>
      <c r="C222" s="108" t="e">
        <f>'BKG Bank'!#REF!</f>
        <v>#REF!</v>
      </c>
      <c r="D222" s="79" t="str" cm="1">
        <f t="array" ref="D22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222" s="79" t="str" cm="1">
        <f t="array" ref="E22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222" s="80" t="str" cm="1">
        <f t="array" ref="F22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222" s="80" t="str" cm="1">
        <f t="array" ref="G22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222" s="80" t="str" cm="1">
        <f t="array" ref="H22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222" s="78" t="str" cm="1">
        <f t="array" ref="I22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223" spans="1:9" hidden="1" x14ac:dyDescent="0.3">
      <c r="A223" s="82" t="str" cm="1">
        <f t="array" ref="A22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223" s="79" t="e">
        <f>'BKG Bank'!#REF!</f>
        <v>#REF!</v>
      </c>
      <c r="C223" s="108" t="e">
        <f>'BKG Bank'!#REF!</f>
        <v>#REF!</v>
      </c>
      <c r="D223" s="79" t="str" cm="1">
        <f t="array" ref="D22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223" s="79" t="str" cm="1">
        <f t="array" ref="E22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223" s="80" t="str" cm="1">
        <f t="array" ref="F22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223" s="80" t="str" cm="1">
        <f t="array" ref="G22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223" s="80" t="str" cm="1">
        <f t="array" ref="H22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223" s="78" t="str" cm="1">
        <f t="array" ref="I22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224" spans="1:9" hidden="1" x14ac:dyDescent="0.3">
      <c r="A224" s="82" t="str" cm="1">
        <f t="array" ref="A22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224" s="79" t="e">
        <f>'BKG Bank'!#REF!</f>
        <v>#REF!</v>
      </c>
      <c r="C224" s="108" t="e">
        <f>'BKG Bank'!#REF!</f>
        <v>#REF!</v>
      </c>
      <c r="D224" s="79" t="str" cm="1">
        <f t="array" ref="D22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224" s="79" t="str" cm="1">
        <f t="array" ref="E22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224" s="80" t="str" cm="1">
        <f t="array" ref="F22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224" s="80" t="str" cm="1">
        <f t="array" ref="G22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224" s="80" t="str" cm="1">
        <f t="array" ref="H22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224" s="78" t="str" cm="1">
        <f t="array" ref="I22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225" spans="1:9" hidden="1" x14ac:dyDescent="0.3">
      <c r="A225" s="82" t="str" cm="1">
        <f t="array" ref="A22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225" s="79" t="e">
        <f>'BKG Bank'!#REF!</f>
        <v>#REF!</v>
      </c>
      <c r="C225" s="108" t="e">
        <f>'BKG Bank'!#REF!</f>
        <v>#REF!</v>
      </c>
      <c r="D225" s="79" t="str" cm="1">
        <f t="array" ref="D22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225" s="79" t="str" cm="1">
        <f t="array" ref="E22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225" s="80" t="str" cm="1">
        <f t="array" ref="F22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225" s="80" t="str" cm="1">
        <f t="array" ref="G22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225" s="80" t="str" cm="1">
        <f t="array" ref="H22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225" s="78" t="str" cm="1">
        <f t="array" ref="I22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226" spans="1:9" hidden="1" x14ac:dyDescent="0.3">
      <c r="A226" s="82" t="str" cm="1">
        <f t="array" ref="A22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226" s="79" t="e">
        <f>'BKG Bank'!#REF!</f>
        <v>#REF!</v>
      </c>
      <c r="C226" s="108" t="e">
        <f>'BKG Bank'!#REF!</f>
        <v>#REF!</v>
      </c>
      <c r="D226" s="79" t="str" cm="1">
        <f t="array" ref="D22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226" s="79" t="str" cm="1">
        <f t="array" ref="E22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226" s="80" t="str" cm="1">
        <f t="array" ref="F22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226" s="80" t="str" cm="1">
        <f t="array" ref="G22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226" s="80" t="str" cm="1">
        <f t="array" ref="H22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226" s="78" t="str" cm="1">
        <f t="array" ref="I22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227" spans="1:9" hidden="1" x14ac:dyDescent="0.3">
      <c r="A227" s="82" t="str" cm="1">
        <f t="array" ref="A22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227" s="79" t="e">
        <f>'BKG Bank'!#REF!</f>
        <v>#REF!</v>
      </c>
      <c r="C227" s="108" t="e">
        <f>'BKG Bank'!#REF!</f>
        <v>#REF!</v>
      </c>
      <c r="D227" s="79" t="str" cm="1">
        <f t="array" ref="D22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227" s="79" t="str" cm="1">
        <f t="array" ref="E22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227" s="80" t="str" cm="1">
        <f t="array" ref="F22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227" s="80" t="str" cm="1">
        <f t="array" ref="G22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227" s="80" t="str" cm="1">
        <f t="array" ref="H22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227" s="78" t="str" cm="1">
        <f t="array" ref="I22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228" spans="1:9" hidden="1" x14ac:dyDescent="0.3">
      <c r="A228" s="82" t="str" cm="1">
        <f t="array" ref="A22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228" s="79" t="e">
        <f>'BKG Bank'!#REF!</f>
        <v>#REF!</v>
      </c>
      <c r="C228" s="108" t="e">
        <f>'BKG Bank'!#REF!</f>
        <v>#REF!</v>
      </c>
      <c r="D228" s="79" t="str" cm="1">
        <f t="array" ref="D22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228" s="79" t="str" cm="1">
        <f t="array" ref="E22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228" s="80" t="str" cm="1">
        <f t="array" ref="F22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228" s="80" t="str" cm="1">
        <f t="array" ref="G22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228" s="80" t="str" cm="1">
        <f t="array" ref="H22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228" s="78" t="str" cm="1">
        <f t="array" ref="I22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229" spans="1:9" hidden="1" x14ac:dyDescent="0.3">
      <c r="A229" s="82" t="str" cm="1">
        <f t="array" ref="A22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229" s="79" t="e">
        <f>'BKG Bank'!#REF!</f>
        <v>#REF!</v>
      </c>
      <c r="C229" s="108" t="e">
        <f>'BKG Bank'!#REF!</f>
        <v>#REF!</v>
      </c>
      <c r="D229" s="79" t="str" cm="1">
        <f t="array" ref="D22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229" s="79" t="str" cm="1">
        <f t="array" ref="E22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229" s="80" t="str" cm="1">
        <f t="array" ref="F22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229" s="80" t="str" cm="1">
        <f t="array" ref="G22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229" s="80" t="str" cm="1">
        <f t="array" ref="H22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229" s="78" t="str" cm="1">
        <f t="array" ref="I22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230" spans="1:9" hidden="1" x14ac:dyDescent="0.3">
      <c r="A230" s="82" t="str" cm="1">
        <f t="array" ref="A23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230" s="79" t="e">
        <f>'BKG Bank'!#REF!</f>
        <v>#REF!</v>
      </c>
      <c r="C230" s="108" t="e">
        <f>'BKG Bank'!#REF!</f>
        <v>#REF!</v>
      </c>
      <c r="D230" s="79" t="str" cm="1">
        <f t="array" ref="D23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230" s="79" t="str" cm="1">
        <f t="array" ref="E23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230" s="80" t="str" cm="1">
        <f t="array" ref="F23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230" s="80" t="str" cm="1">
        <f t="array" ref="G23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230" s="80" t="str" cm="1">
        <f t="array" ref="H23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230" s="78" t="str" cm="1">
        <f t="array" ref="I23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231" spans="1:9" hidden="1" x14ac:dyDescent="0.3">
      <c r="A231" s="82" t="str" cm="1">
        <f t="array" ref="A23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231" s="79" t="e">
        <f>'BKG Bank'!#REF!</f>
        <v>#REF!</v>
      </c>
      <c r="C231" s="108" t="e">
        <f>'BKG Bank'!#REF!</f>
        <v>#REF!</v>
      </c>
      <c r="D231" s="79" t="str" cm="1">
        <f t="array" ref="D23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231" s="79" t="str" cm="1">
        <f t="array" ref="E23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231" s="80" t="str" cm="1">
        <f t="array" ref="F23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231" s="80" t="str" cm="1">
        <f t="array" ref="G23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231" s="80" t="str" cm="1">
        <f t="array" ref="H23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231" s="78" t="str" cm="1">
        <f t="array" ref="I23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232" spans="1:9" hidden="1" x14ac:dyDescent="0.3">
      <c r="A232" s="82" t="str" cm="1">
        <f t="array" ref="A23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232" s="79" t="e">
        <f>'BKG Bank'!#REF!</f>
        <v>#REF!</v>
      </c>
      <c r="C232" s="108" t="e">
        <f>'BKG Bank'!#REF!</f>
        <v>#REF!</v>
      </c>
      <c r="D232" s="79" t="str" cm="1">
        <f t="array" ref="D23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232" s="79" t="str" cm="1">
        <f t="array" ref="E23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232" s="80" t="str" cm="1">
        <f t="array" ref="F23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232" s="80" t="str" cm="1">
        <f t="array" ref="G23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232" s="80" t="str" cm="1">
        <f t="array" ref="H23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232" s="78" t="str" cm="1">
        <f t="array" ref="I23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233" spans="1:9" hidden="1" x14ac:dyDescent="0.3">
      <c r="A233" s="82" t="str" cm="1">
        <f t="array" ref="A23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233" s="79" t="e">
        <f>'BKG Bank'!#REF!</f>
        <v>#REF!</v>
      </c>
      <c r="C233" s="108" t="e">
        <f>'BKG Bank'!#REF!</f>
        <v>#REF!</v>
      </c>
      <c r="D233" s="79" t="str" cm="1">
        <f t="array" ref="D23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233" s="79" t="str" cm="1">
        <f t="array" ref="E23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233" s="80" t="str" cm="1">
        <f t="array" ref="F23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233" s="80" t="str" cm="1">
        <f t="array" ref="G23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233" s="80" t="str" cm="1">
        <f t="array" ref="H23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233" s="78" t="str" cm="1">
        <f t="array" ref="I23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234" spans="1:9" hidden="1" x14ac:dyDescent="0.3">
      <c r="A234" s="82" t="str" cm="1">
        <f t="array" ref="A23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234" s="79" t="e">
        <f>'BKG Bank'!#REF!</f>
        <v>#REF!</v>
      </c>
      <c r="C234" s="108" t="e">
        <f>'BKG Bank'!#REF!</f>
        <v>#REF!</v>
      </c>
      <c r="D234" s="79" t="str" cm="1">
        <f t="array" ref="D23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234" s="79" t="str" cm="1">
        <f t="array" ref="E23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234" s="80" t="str" cm="1">
        <f t="array" ref="F23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234" s="80" t="str" cm="1">
        <f t="array" ref="G23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234" s="80" t="str" cm="1">
        <f t="array" ref="H23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234" s="78" t="str" cm="1">
        <f t="array" ref="I23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235" spans="1:9" hidden="1" x14ac:dyDescent="0.3">
      <c r="A235" s="82" t="str" cm="1">
        <f t="array" ref="A23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235" s="79" t="e">
        <f>'BKG Bank'!#REF!</f>
        <v>#REF!</v>
      </c>
      <c r="C235" s="108" t="e">
        <f>'BKG Bank'!#REF!</f>
        <v>#REF!</v>
      </c>
      <c r="D235" s="79" t="str" cm="1">
        <f t="array" ref="D23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235" s="79" t="str" cm="1">
        <f t="array" ref="E23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235" s="80" t="str" cm="1">
        <f t="array" ref="F23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235" s="80" t="str" cm="1">
        <f t="array" ref="G23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235" s="80" t="str" cm="1">
        <f t="array" ref="H23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235" s="78" t="str" cm="1">
        <f t="array" ref="I23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236" spans="1:9" hidden="1" x14ac:dyDescent="0.3">
      <c r="A236" s="82" t="str" cm="1">
        <f t="array" ref="A23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236" s="79" t="e">
        <f>'BKG Bank'!#REF!</f>
        <v>#REF!</v>
      </c>
      <c r="C236" s="108" t="e">
        <f>'BKG Bank'!#REF!</f>
        <v>#REF!</v>
      </c>
      <c r="D236" s="79" t="str" cm="1">
        <f t="array" ref="D23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236" s="79" t="str" cm="1">
        <f t="array" ref="E23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236" s="80" t="str" cm="1">
        <f t="array" ref="F23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236" s="80" t="str" cm="1">
        <f t="array" ref="G23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236" s="80" t="str" cm="1">
        <f t="array" ref="H23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236" s="78" t="str" cm="1">
        <f t="array" ref="I23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237" spans="1:9" hidden="1" x14ac:dyDescent="0.3">
      <c r="A237" s="82" t="str" cm="1">
        <f t="array" ref="A23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237" s="79" t="e">
        <f>'BKG Bank'!#REF!</f>
        <v>#REF!</v>
      </c>
      <c r="C237" s="108" t="e">
        <f>'BKG Bank'!#REF!</f>
        <v>#REF!</v>
      </c>
      <c r="D237" s="79" t="str" cm="1">
        <f t="array" ref="D23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237" s="79" t="str" cm="1">
        <f t="array" ref="E23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237" s="80" t="str" cm="1">
        <f t="array" ref="F23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237" s="80" t="str" cm="1">
        <f t="array" ref="G23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237" s="80" t="str" cm="1">
        <f t="array" ref="H23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237" s="78" t="str" cm="1">
        <f t="array" ref="I23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238" spans="1:9" hidden="1" x14ac:dyDescent="0.3">
      <c r="A238" s="82" t="str" cm="1">
        <f t="array" ref="A23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238" s="79" t="e">
        <f>'BKG Bank'!#REF!</f>
        <v>#REF!</v>
      </c>
      <c r="C238" s="108" t="e">
        <f>'BKG Bank'!#REF!</f>
        <v>#REF!</v>
      </c>
      <c r="D238" s="79" t="str" cm="1">
        <f t="array" ref="D23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238" s="79" t="str" cm="1">
        <f t="array" ref="E23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238" s="80" t="str" cm="1">
        <f t="array" ref="F23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238" s="80" t="str" cm="1">
        <f t="array" ref="G23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238" s="80" t="str" cm="1">
        <f t="array" ref="H23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238" s="78" t="str" cm="1">
        <f t="array" ref="I23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239" spans="1:9" hidden="1" x14ac:dyDescent="0.3">
      <c r="A239" s="82" t="str" cm="1">
        <f t="array" ref="A23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239" s="79" t="e">
        <f>'BKG Bank'!#REF!</f>
        <v>#REF!</v>
      </c>
      <c r="C239" s="108" t="e">
        <f>'BKG Bank'!#REF!</f>
        <v>#REF!</v>
      </c>
      <c r="D239" s="79" t="str" cm="1">
        <f t="array" ref="D23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239" s="79" t="str" cm="1">
        <f t="array" ref="E23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239" s="80" t="str" cm="1">
        <f t="array" ref="F23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239" s="80" t="str" cm="1">
        <f t="array" ref="G23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239" s="80" t="str" cm="1">
        <f t="array" ref="H23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239" s="78" t="str" cm="1">
        <f t="array" ref="I23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240" spans="1:9" hidden="1" x14ac:dyDescent="0.3">
      <c r="A240" s="82" t="str" cm="1">
        <f t="array" ref="A24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240" s="79" t="e">
        <f>'BKG Bank'!#REF!</f>
        <v>#REF!</v>
      </c>
      <c r="C240" s="108" t="e">
        <f>'BKG Bank'!#REF!</f>
        <v>#REF!</v>
      </c>
      <c r="D240" s="79" t="str" cm="1">
        <f t="array" ref="D24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240" s="79" t="str" cm="1">
        <f t="array" ref="E24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240" s="80" t="str" cm="1">
        <f t="array" ref="F24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240" s="80" t="str" cm="1">
        <f t="array" ref="G24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240" s="80" t="str" cm="1">
        <f t="array" ref="H24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240" s="78" t="str" cm="1">
        <f t="array" ref="I24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241" spans="1:9" hidden="1" x14ac:dyDescent="0.3">
      <c r="A241" s="82" t="str" cm="1">
        <f t="array" ref="A24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241" s="79" t="e">
        <f>'BKG Bank'!#REF!</f>
        <v>#REF!</v>
      </c>
      <c r="C241" s="108" t="e">
        <f>'BKG Bank'!#REF!</f>
        <v>#REF!</v>
      </c>
      <c r="D241" s="79" t="str" cm="1">
        <f t="array" ref="D24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241" s="79" t="str" cm="1">
        <f t="array" ref="E24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241" s="80" t="str" cm="1">
        <f t="array" ref="F24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241" s="80" t="str" cm="1">
        <f t="array" ref="G24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241" s="80" t="str" cm="1">
        <f t="array" ref="H24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241" s="78" t="str" cm="1">
        <f t="array" ref="I24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242" spans="1:9" hidden="1" x14ac:dyDescent="0.3">
      <c r="A242" s="82" t="str" cm="1">
        <f t="array" ref="A24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242" s="79" t="e">
        <f>'BKG Bank'!#REF!</f>
        <v>#REF!</v>
      </c>
      <c r="C242" s="108" t="e">
        <f>'BKG Bank'!#REF!</f>
        <v>#REF!</v>
      </c>
      <c r="D242" s="79" t="str" cm="1">
        <f t="array" ref="D24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242" s="79" t="str" cm="1">
        <f t="array" ref="E24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242" s="80" t="str" cm="1">
        <f t="array" ref="F24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242" s="80" t="str" cm="1">
        <f t="array" ref="G24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242" s="80" t="str" cm="1">
        <f t="array" ref="H24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242" s="78" t="str" cm="1">
        <f t="array" ref="I24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243" spans="1:9" hidden="1" x14ac:dyDescent="0.3">
      <c r="A243" s="82" t="str" cm="1">
        <f t="array" ref="A24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243" s="79" t="e">
        <f>'BKG Bank'!#REF!</f>
        <v>#REF!</v>
      </c>
      <c r="C243" s="108" t="e">
        <f>'BKG Bank'!#REF!</f>
        <v>#REF!</v>
      </c>
      <c r="D243" s="79" t="str" cm="1">
        <f t="array" ref="D24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243" s="79" t="str" cm="1">
        <f t="array" ref="E24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243" s="80" t="str" cm="1">
        <f t="array" ref="F24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243" s="80" t="str" cm="1">
        <f t="array" ref="G24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243" s="80" t="str" cm="1">
        <f t="array" ref="H24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243" s="78" t="str" cm="1">
        <f t="array" ref="I24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244" spans="1:9" hidden="1" x14ac:dyDescent="0.3">
      <c r="A244" s="82" t="str" cm="1">
        <f t="array" ref="A24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244" s="79" t="e">
        <f>'BKG Bank'!#REF!</f>
        <v>#REF!</v>
      </c>
      <c r="C244" s="108" t="e">
        <f>'BKG Bank'!#REF!</f>
        <v>#REF!</v>
      </c>
      <c r="D244" s="79" t="str" cm="1">
        <f t="array" ref="D24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244" s="79" t="str" cm="1">
        <f t="array" ref="E24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244" s="80" t="str" cm="1">
        <f t="array" ref="F24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244" s="80" t="str" cm="1">
        <f t="array" ref="G24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244" s="80" t="str" cm="1">
        <f t="array" ref="H24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244" s="78" t="str" cm="1">
        <f t="array" ref="I24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245" spans="1:9" hidden="1" x14ac:dyDescent="0.3">
      <c r="A245" s="82" t="str" cm="1">
        <f t="array" ref="A24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245" s="79" t="e">
        <f>'BKG Bank'!#REF!</f>
        <v>#REF!</v>
      </c>
      <c r="C245" s="108" t="e">
        <f>'BKG Bank'!#REF!</f>
        <v>#REF!</v>
      </c>
      <c r="D245" s="79" t="str" cm="1">
        <f t="array" ref="D24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245" s="79" t="str" cm="1">
        <f t="array" ref="E24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245" s="80" t="str" cm="1">
        <f t="array" ref="F24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245" s="80" t="str" cm="1">
        <f t="array" ref="G24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245" s="80" t="str" cm="1">
        <f t="array" ref="H24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245" s="78" t="str" cm="1">
        <f t="array" ref="I24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246" spans="1:9" hidden="1" x14ac:dyDescent="0.3">
      <c r="A246" s="82" t="str" cm="1">
        <f t="array" ref="A24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246" s="79" t="e">
        <f>'BKG Bank'!#REF!</f>
        <v>#REF!</v>
      </c>
      <c r="C246" s="108" t="e">
        <f>'BKG Bank'!#REF!</f>
        <v>#REF!</v>
      </c>
      <c r="D246" s="79" t="str" cm="1">
        <f t="array" ref="D24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246" s="79" t="str" cm="1">
        <f t="array" ref="E24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246" s="80" t="str" cm="1">
        <f t="array" ref="F24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246" s="80" t="str" cm="1">
        <f t="array" ref="G24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246" s="80" t="str" cm="1">
        <f t="array" ref="H24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246" s="78" t="str" cm="1">
        <f t="array" ref="I24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247" spans="1:9" hidden="1" x14ac:dyDescent="0.3">
      <c r="A247" s="82" t="str" cm="1">
        <f t="array" ref="A24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247" s="79" t="e">
        <f>'BKG Bank'!#REF!</f>
        <v>#REF!</v>
      </c>
      <c r="C247" s="108" t="e">
        <f>'BKG Bank'!#REF!</f>
        <v>#REF!</v>
      </c>
      <c r="D247" s="79" t="str" cm="1">
        <f t="array" ref="D24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247" s="79" t="str" cm="1">
        <f t="array" ref="E24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247" s="80" t="str" cm="1">
        <f t="array" ref="F24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247" s="80" t="str" cm="1">
        <f t="array" ref="G24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247" s="80" t="str" cm="1">
        <f t="array" ref="H24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247" s="78" t="str" cm="1">
        <f t="array" ref="I24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248" spans="1:9" hidden="1" x14ac:dyDescent="0.3">
      <c r="A248" s="82" t="str" cm="1">
        <f t="array" ref="A24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248" s="79" t="e">
        <f>'BKG Bank'!#REF!</f>
        <v>#REF!</v>
      </c>
      <c r="C248" s="108" t="e">
        <f>'BKG Bank'!#REF!</f>
        <v>#REF!</v>
      </c>
      <c r="D248" s="79" t="str" cm="1">
        <f t="array" ref="D24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248" s="79" t="str" cm="1">
        <f t="array" ref="E24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248" s="80" t="str" cm="1">
        <f t="array" ref="F24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248" s="80" t="str" cm="1">
        <f t="array" ref="G24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248" s="80" t="str" cm="1">
        <f t="array" ref="H24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248" s="78" t="str" cm="1">
        <f t="array" ref="I24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249" spans="1:9" hidden="1" x14ac:dyDescent="0.3">
      <c r="A249" s="82" t="str" cm="1">
        <f t="array" ref="A24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249" s="79" t="e">
        <f>'BKG Bank'!#REF!</f>
        <v>#REF!</v>
      </c>
      <c r="C249" s="108" t="e">
        <f>'BKG Bank'!#REF!</f>
        <v>#REF!</v>
      </c>
      <c r="D249" s="79" t="str" cm="1">
        <f t="array" ref="D24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249" s="79" t="str" cm="1">
        <f t="array" ref="E24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249" s="80" t="str" cm="1">
        <f t="array" ref="F24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249" s="80" t="str" cm="1">
        <f t="array" ref="G24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249" s="80" t="str" cm="1">
        <f t="array" ref="H24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249" s="78" t="str" cm="1">
        <f t="array" ref="I24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250" spans="1:9" hidden="1" x14ac:dyDescent="0.3">
      <c r="A250" s="82" t="str" cm="1">
        <f t="array" ref="A25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250" s="79" t="e">
        <f>'BKG Bank'!#REF!</f>
        <v>#REF!</v>
      </c>
      <c r="C250" s="108" t="e">
        <f>'BKG Bank'!#REF!</f>
        <v>#REF!</v>
      </c>
      <c r="D250" s="79" t="str" cm="1">
        <f t="array" ref="D25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250" s="79" t="str" cm="1">
        <f t="array" ref="E25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250" s="80" t="str" cm="1">
        <f t="array" ref="F25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250" s="80" t="str" cm="1">
        <f t="array" ref="G25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250" s="80" t="str" cm="1">
        <f t="array" ref="H25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250" s="78" t="str" cm="1">
        <f t="array" ref="I25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251" spans="1:9" hidden="1" x14ac:dyDescent="0.3">
      <c r="A251" s="82" t="str" cm="1">
        <f t="array" ref="A25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251" s="79" t="e">
        <f>'BKG Bank'!#REF!</f>
        <v>#REF!</v>
      </c>
      <c r="C251" s="108" t="e">
        <f>'BKG Bank'!#REF!</f>
        <v>#REF!</v>
      </c>
      <c r="D251" s="79" t="str" cm="1">
        <f t="array" ref="D25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251" s="79" t="str" cm="1">
        <f t="array" ref="E25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251" s="80" t="str" cm="1">
        <f t="array" ref="F25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251" s="80" t="str" cm="1">
        <f t="array" ref="G25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251" s="80" t="str" cm="1">
        <f t="array" ref="H25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251" s="78" t="str" cm="1">
        <f t="array" ref="I25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252" spans="1:9" hidden="1" x14ac:dyDescent="0.3">
      <c r="A252" s="82" t="str" cm="1">
        <f t="array" ref="A25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252" s="79" t="e">
        <f>'BKG Bank'!#REF!</f>
        <v>#REF!</v>
      </c>
      <c r="C252" s="108" t="e">
        <f>'BKG Bank'!#REF!</f>
        <v>#REF!</v>
      </c>
      <c r="D252" s="79" t="str" cm="1">
        <f t="array" ref="D25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252" s="79" t="str" cm="1">
        <f t="array" ref="E25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252" s="80" t="str" cm="1">
        <f t="array" ref="F25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252" s="80" t="str" cm="1">
        <f t="array" ref="G25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252" s="80" t="str" cm="1">
        <f t="array" ref="H25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252" s="78" t="str" cm="1">
        <f t="array" ref="I25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253" spans="1:9" hidden="1" x14ac:dyDescent="0.3">
      <c r="A253" s="82" t="str" cm="1">
        <f t="array" ref="A25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253" s="79" t="e">
        <f>'BKG Bank'!#REF!</f>
        <v>#REF!</v>
      </c>
      <c r="C253" s="108" t="e">
        <f>'BKG Bank'!#REF!</f>
        <v>#REF!</v>
      </c>
      <c r="D253" s="79" t="str" cm="1">
        <f t="array" ref="D25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253" s="79" t="str" cm="1">
        <f t="array" ref="E25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253" s="80" t="str" cm="1">
        <f t="array" ref="F25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253" s="80" t="str" cm="1">
        <f t="array" ref="G25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253" s="80" t="str" cm="1">
        <f t="array" ref="H25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253" s="78" t="str" cm="1">
        <f t="array" ref="I25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254" spans="1:9" hidden="1" x14ac:dyDescent="0.3">
      <c r="A254" s="82" t="str" cm="1">
        <f t="array" ref="A25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254" s="79" t="e">
        <f>'BKG Bank'!#REF!</f>
        <v>#REF!</v>
      </c>
      <c r="C254" s="108" t="e">
        <f>'BKG Bank'!#REF!</f>
        <v>#REF!</v>
      </c>
      <c r="D254" s="79" t="str" cm="1">
        <f t="array" ref="D25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254" s="79" t="str" cm="1">
        <f t="array" ref="E25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254" s="80" t="str" cm="1">
        <f t="array" ref="F25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254" s="80" t="str" cm="1">
        <f t="array" ref="G25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254" s="80" t="str" cm="1">
        <f t="array" ref="H25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254" s="78" t="str" cm="1">
        <f t="array" ref="I25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255" spans="1:9" hidden="1" x14ac:dyDescent="0.3">
      <c r="A255" s="82" t="str" cm="1">
        <f t="array" ref="A25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255" s="79" t="e">
        <f>'BKG Bank'!#REF!</f>
        <v>#REF!</v>
      </c>
      <c r="C255" s="108" t="e">
        <f>'BKG Bank'!#REF!</f>
        <v>#REF!</v>
      </c>
      <c r="D255" s="79" t="str" cm="1">
        <f t="array" ref="D25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255" s="79" t="str" cm="1">
        <f t="array" ref="E25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255" s="80" t="str" cm="1">
        <f t="array" ref="F25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255" s="80" t="str" cm="1">
        <f t="array" ref="G25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255" s="80" t="str" cm="1">
        <f t="array" ref="H25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255" s="78" t="str" cm="1">
        <f t="array" ref="I25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256" spans="1:9" hidden="1" x14ac:dyDescent="0.3">
      <c r="A256" s="82" t="str" cm="1">
        <f t="array" ref="A25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256" s="79" t="e">
        <f>'BKG Bank'!#REF!</f>
        <v>#REF!</v>
      </c>
      <c r="C256" s="108" t="e">
        <f>'BKG Bank'!#REF!</f>
        <v>#REF!</v>
      </c>
      <c r="D256" s="79" t="str" cm="1">
        <f t="array" ref="D25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256" s="79" t="str" cm="1">
        <f t="array" ref="E25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256" s="80" t="str" cm="1">
        <f t="array" ref="F25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256" s="80" t="str" cm="1">
        <f t="array" ref="G25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256" s="80" t="str" cm="1">
        <f t="array" ref="H25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256" s="78" t="str" cm="1">
        <f t="array" ref="I25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257" spans="1:9" hidden="1" x14ac:dyDescent="0.3">
      <c r="A257" s="82" t="str" cm="1">
        <f t="array" ref="A25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257" s="79" t="e">
        <f>'BKG Bank'!#REF!</f>
        <v>#REF!</v>
      </c>
      <c r="C257" s="108" t="e">
        <f>'BKG Bank'!#REF!</f>
        <v>#REF!</v>
      </c>
      <c r="D257" s="79" t="str" cm="1">
        <f t="array" ref="D25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257" s="79" t="str" cm="1">
        <f t="array" ref="E25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257" s="80" t="str" cm="1">
        <f t="array" ref="F25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257" s="80" t="str" cm="1">
        <f t="array" ref="G25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257" s="80" t="str" cm="1">
        <f t="array" ref="H25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257" s="78" t="str" cm="1">
        <f t="array" ref="I25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258" spans="1:9" hidden="1" x14ac:dyDescent="0.3">
      <c r="A258" s="82" t="str" cm="1">
        <f t="array" ref="A25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258" s="79" t="e">
        <f>'BKG Bank'!#REF!</f>
        <v>#REF!</v>
      </c>
      <c r="C258" s="108" t="e">
        <f>'BKG Bank'!#REF!</f>
        <v>#REF!</v>
      </c>
      <c r="D258" s="79" t="str" cm="1">
        <f t="array" ref="D25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258" s="79" t="str" cm="1">
        <f t="array" ref="E25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258" s="80" t="str" cm="1">
        <f t="array" ref="F25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258" s="80" t="str" cm="1">
        <f t="array" ref="G25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258" s="80" t="str" cm="1">
        <f t="array" ref="H25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258" s="78" t="str" cm="1">
        <f t="array" ref="I25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259" spans="1:9" hidden="1" x14ac:dyDescent="0.3">
      <c r="A259" s="82" t="str" cm="1">
        <f t="array" ref="A25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259" s="79" t="e">
        <f>'BKG Bank'!#REF!</f>
        <v>#REF!</v>
      </c>
      <c r="C259" s="108" t="e">
        <f>'BKG Bank'!#REF!</f>
        <v>#REF!</v>
      </c>
      <c r="D259" s="79" t="str" cm="1">
        <f t="array" ref="D25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259" s="79" t="str" cm="1">
        <f t="array" ref="E25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259" s="80" t="str" cm="1">
        <f t="array" ref="F25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259" s="80" t="str" cm="1">
        <f t="array" ref="G25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259" s="80" t="str" cm="1">
        <f t="array" ref="H25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259" s="78" t="str" cm="1">
        <f t="array" ref="I25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260" spans="1:9" hidden="1" x14ac:dyDescent="0.3">
      <c r="A260" s="82" t="str" cm="1">
        <f t="array" ref="A26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260" s="79" t="e">
        <f>'BKG Bank'!#REF!</f>
        <v>#REF!</v>
      </c>
      <c r="C260" s="108" t="e">
        <f>'BKG Bank'!#REF!</f>
        <v>#REF!</v>
      </c>
      <c r="D260" s="79" t="str" cm="1">
        <f t="array" ref="D26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260" s="79" t="str" cm="1">
        <f t="array" ref="E26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260" s="80" t="str" cm="1">
        <f t="array" ref="F26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260" s="80" t="str" cm="1">
        <f t="array" ref="G26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260" s="80" t="str" cm="1">
        <f t="array" ref="H26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260" s="78" t="str" cm="1">
        <f t="array" ref="I26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261" spans="1:9" hidden="1" x14ac:dyDescent="0.3">
      <c r="A261" s="82" t="str" cm="1">
        <f t="array" ref="A26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261" s="79" t="e">
        <f>'BKG Bank'!#REF!</f>
        <v>#REF!</v>
      </c>
      <c r="C261" s="108" t="e">
        <f>'BKG Bank'!#REF!</f>
        <v>#REF!</v>
      </c>
      <c r="D261" s="79" t="str" cm="1">
        <f t="array" ref="D26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261" s="79" t="str" cm="1">
        <f t="array" ref="E26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261" s="80" t="str" cm="1">
        <f t="array" ref="F26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261" s="80" t="str" cm="1">
        <f t="array" ref="G26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261" s="80" t="str" cm="1">
        <f t="array" ref="H26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261" s="78" t="str" cm="1">
        <f t="array" ref="I26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262" spans="1:9" hidden="1" x14ac:dyDescent="0.3">
      <c r="A262" s="82" t="str" cm="1">
        <f t="array" ref="A26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262" s="79" t="e">
        <f>'BKG Bank'!#REF!</f>
        <v>#REF!</v>
      </c>
      <c r="C262" s="108" t="e">
        <f>'BKG Bank'!#REF!</f>
        <v>#REF!</v>
      </c>
      <c r="D262" s="79" t="str" cm="1">
        <f t="array" ref="D26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262" s="79" t="str" cm="1">
        <f t="array" ref="E26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262" s="80" t="str" cm="1">
        <f t="array" ref="F26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262" s="80" t="str" cm="1">
        <f t="array" ref="G26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262" s="80" t="str" cm="1">
        <f t="array" ref="H26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262" s="78" t="str" cm="1">
        <f t="array" ref="I26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263" spans="1:9" hidden="1" x14ac:dyDescent="0.3">
      <c r="A263" s="82" t="str" cm="1">
        <f t="array" ref="A26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263" s="79" t="e">
        <f>'BKG Bank'!#REF!</f>
        <v>#REF!</v>
      </c>
      <c r="C263" s="108" t="e">
        <f>'BKG Bank'!#REF!</f>
        <v>#REF!</v>
      </c>
      <c r="D263" s="79" t="str" cm="1">
        <f t="array" ref="D26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263" s="79" t="str" cm="1">
        <f t="array" ref="E26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263" s="80" t="str" cm="1">
        <f t="array" ref="F26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263" s="80" t="str" cm="1">
        <f t="array" ref="G26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263" s="80" t="str" cm="1">
        <f t="array" ref="H26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263" s="78" t="str" cm="1">
        <f t="array" ref="I26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264" spans="1:9" hidden="1" x14ac:dyDescent="0.3">
      <c r="A264" s="82" t="str" cm="1">
        <f t="array" ref="A26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264" s="79" t="e">
        <f>'BKG Bank'!#REF!</f>
        <v>#REF!</v>
      </c>
      <c r="C264" s="108" t="e">
        <f>'BKG Bank'!#REF!</f>
        <v>#REF!</v>
      </c>
      <c r="D264" s="79" t="str" cm="1">
        <f t="array" ref="D26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264" s="79" t="str" cm="1">
        <f t="array" ref="E26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264" s="80" t="str" cm="1">
        <f t="array" ref="F26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264" s="80" t="str" cm="1">
        <f t="array" ref="G26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264" s="80" t="str" cm="1">
        <f t="array" ref="H26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264" s="78" t="str" cm="1">
        <f t="array" ref="I26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265" spans="1:9" hidden="1" x14ac:dyDescent="0.3">
      <c r="A265" s="82" t="str" cm="1">
        <f t="array" ref="A26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265" s="79" t="e">
        <f>'BKG Bank'!#REF!</f>
        <v>#REF!</v>
      </c>
      <c r="C265" s="108" t="e">
        <f>'BKG Bank'!#REF!</f>
        <v>#REF!</v>
      </c>
      <c r="D265" s="79" t="str" cm="1">
        <f t="array" ref="D26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265" s="79" t="str" cm="1">
        <f t="array" ref="E26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265" s="80" t="str" cm="1">
        <f t="array" ref="F26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265" s="80" t="str" cm="1">
        <f t="array" ref="G26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265" s="80" t="str" cm="1">
        <f t="array" ref="H26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265" s="78" t="str" cm="1">
        <f t="array" ref="I26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266" spans="1:9" hidden="1" x14ac:dyDescent="0.3">
      <c r="A266" s="82" t="str" cm="1">
        <f t="array" ref="A26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266" s="79" t="e">
        <f>'BKG Bank'!#REF!</f>
        <v>#REF!</v>
      </c>
      <c r="C266" s="108" t="e">
        <f>'BKG Bank'!#REF!</f>
        <v>#REF!</v>
      </c>
      <c r="D266" s="79" t="str" cm="1">
        <f t="array" ref="D26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266" s="79" t="str" cm="1">
        <f t="array" ref="E26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266" s="80" t="str" cm="1">
        <f t="array" ref="F26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266" s="80" t="str" cm="1">
        <f t="array" ref="G26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266" s="80" t="str" cm="1">
        <f t="array" ref="H26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266" s="78" t="str" cm="1">
        <f t="array" ref="I26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267" spans="1:9" hidden="1" x14ac:dyDescent="0.3">
      <c r="A267" s="82" t="str" cm="1">
        <f t="array" ref="A26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267" s="79" t="e">
        <f>'BKG Bank'!#REF!</f>
        <v>#REF!</v>
      </c>
      <c r="C267" s="108" t="e">
        <f>'BKG Bank'!#REF!</f>
        <v>#REF!</v>
      </c>
      <c r="D267" s="79" t="str" cm="1">
        <f t="array" ref="D26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267" s="79" t="str" cm="1">
        <f t="array" ref="E26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267" s="80" t="str" cm="1">
        <f t="array" ref="F26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267" s="80" t="str" cm="1">
        <f t="array" ref="G26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267" s="80" t="str" cm="1">
        <f t="array" ref="H26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267" s="78" t="str" cm="1">
        <f t="array" ref="I26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268" spans="1:9" hidden="1" x14ac:dyDescent="0.3">
      <c r="A268" s="82" t="str" cm="1">
        <f t="array" ref="A26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268" s="79" t="e">
        <f>'BKG Bank'!#REF!</f>
        <v>#REF!</v>
      </c>
      <c r="C268" s="108" t="e">
        <f>'BKG Bank'!#REF!</f>
        <v>#REF!</v>
      </c>
      <c r="D268" s="79" t="str" cm="1">
        <f t="array" ref="D26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268" s="79" t="str" cm="1">
        <f t="array" ref="E26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268" s="80" t="str" cm="1">
        <f t="array" ref="F26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268" s="80" t="str" cm="1">
        <f t="array" ref="G26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268" s="80" t="str" cm="1">
        <f t="array" ref="H26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268" s="78" t="str" cm="1">
        <f t="array" ref="I26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269" spans="1:9" hidden="1" x14ac:dyDescent="0.3">
      <c r="A269" s="82" t="str" cm="1">
        <f t="array" ref="A26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269" s="79" t="e">
        <f>'BKG Bank'!#REF!</f>
        <v>#REF!</v>
      </c>
      <c r="C269" s="108" t="e">
        <f>'BKG Bank'!#REF!</f>
        <v>#REF!</v>
      </c>
      <c r="D269" s="79" t="str" cm="1">
        <f t="array" ref="D26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269" s="79" t="str" cm="1">
        <f t="array" ref="E26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269" s="80" t="str" cm="1">
        <f t="array" ref="F26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269" s="80" t="str" cm="1">
        <f t="array" ref="G26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269" s="80" t="str" cm="1">
        <f t="array" ref="H26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269" s="78" t="str" cm="1">
        <f t="array" ref="I26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270" spans="1:9" hidden="1" x14ac:dyDescent="0.3">
      <c r="A270" s="82" t="str" cm="1">
        <f t="array" ref="A27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270" s="79" t="e">
        <f>'BKG Bank'!#REF!</f>
        <v>#REF!</v>
      </c>
      <c r="C270" s="108" t="e">
        <f>'BKG Bank'!#REF!</f>
        <v>#REF!</v>
      </c>
      <c r="D270" s="79" t="str" cm="1">
        <f t="array" ref="D27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270" s="79" t="str" cm="1">
        <f t="array" ref="E27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270" s="80" t="str" cm="1">
        <f t="array" ref="F27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270" s="80" t="str" cm="1">
        <f t="array" ref="G27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270" s="80" t="str" cm="1">
        <f t="array" ref="H27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270" s="78" t="str" cm="1">
        <f t="array" ref="I27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271" spans="1:9" hidden="1" x14ac:dyDescent="0.3">
      <c r="A271" s="82" t="str" cm="1">
        <f t="array" ref="A27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271" s="79" t="e">
        <f>'BKG Bank'!#REF!</f>
        <v>#REF!</v>
      </c>
      <c r="C271" s="108" t="e">
        <f>'BKG Bank'!#REF!</f>
        <v>#REF!</v>
      </c>
      <c r="D271" s="79" t="str" cm="1">
        <f t="array" ref="D27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271" s="79" t="str" cm="1">
        <f t="array" ref="E27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271" s="80" t="str" cm="1">
        <f t="array" ref="F27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271" s="80" t="str" cm="1">
        <f t="array" ref="G27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271" s="80" t="str" cm="1">
        <f t="array" ref="H27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271" s="78" t="str" cm="1">
        <f t="array" ref="I27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272" spans="1:9" hidden="1" x14ac:dyDescent="0.3">
      <c r="A272" s="82" t="str" cm="1">
        <f t="array" ref="A27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272" s="79" t="e">
        <f>'BKG Bank'!#REF!</f>
        <v>#REF!</v>
      </c>
      <c r="C272" s="108" t="e">
        <f>'BKG Bank'!#REF!</f>
        <v>#REF!</v>
      </c>
      <c r="D272" s="79" t="str" cm="1">
        <f t="array" ref="D27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272" s="79" t="str" cm="1">
        <f t="array" ref="E27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272" s="80" t="str" cm="1">
        <f t="array" ref="F27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272" s="80" t="str" cm="1">
        <f t="array" ref="G27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272" s="80" t="str" cm="1">
        <f t="array" ref="H27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272" s="78" t="str" cm="1">
        <f t="array" ref="I27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273" spans="1:9" hidden="1" x14ac:dyDescent="0.3">
      <c r="A273" s="82" t="str" cm="1">
        <f t="array" ref="A27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273" s="79" t="e">
        <f>'BKG Bank'!#REF!</f>
        <v>#REF!</v>
      </c>
      <c r="C273" s="108" t="e">
        <f>'BKG Bank'!#REF!</f>
        <v>#REF!</v>
      </c>
      <c r="D273" s="79" t="str" cm="1">
        <f t="array" ref="D27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273" s="79" t="str" cm="1">
        <f t="array" ref="E27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273" s="80" t="str" cm="1">
        <f t="array" ref="F27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273" s="80" t="str" cm="1">
        <f t="array" ref="G27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273" s="80" t="str" cm="1">
        <f t="array" ref="H27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273" s="78" t="str" cm="1">
        <f t="array" ref="I27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274" spans="1:9" hidden="1" x14ac:dyDescent="0.3">
      <c r="A274" s="82" t="str" cm="1">
        <f t="array" ref="A27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274" s="79" t="e">
        <f>'BKG Bank'!#REF!</f>
        <v>#REF!</v>
      </c>
      <c r="C274" s="108" t="e">
        <f>'BKG Bank'!#REF!</f>
        <v>#REF!</v>
      </c>
      <c r="D274" s="79" t="str" cm="1">
        <f t="array" ref="D27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274" s="79" t="str" cm="1">
        <f t="array" ref="E27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274" s="80" t="str" cm="1">
        <f t="array" ref="F27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274" s="80" t="str" cm="1">
        <f t="array" ref="G27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274" s="80" t="str" cm="1">
        <f t="array" ref="H27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274" s="78" t="str" cm="1">
        <f t="array" ref="I27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275" spans="1:9" hidden="1" x14ac:dyDescent="0.3">
      <c r="A275" s="82" t="str" cm="1">
        <f t="array" ref="A27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275" s="79" t="e">
        <f>'BKG Bank'!#REF!</f>
        <v>#REF!</v>
      </c>
      <c r="C275" s="108" t="e">
        <f>'BKG Bank'!#REF!</f>
        <v>#REF!</v>
      </c>
      <c r="D275" s="79" t="str" cm="1">
        <f t="array" ref="D27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275" s="79" t="str" cm="1">
        <f t="array" ref="E27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275" s="80" t="str" cm="1">
        <f t="array" ref="F27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275" s="80" t="str" cm="1">
        <f t="array" ref="G27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275" s="80" t="str" cm="1">
        <f t="array" ref="H27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275" s="78" t="str" cm="1">
        <f t="array" ref="I27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276" spans="1:9" hidden="1" x14ac:dyDescent="0.3">
      <c r="A276" s="82" t="str" cm="1">
        <f t="array" ref="A27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276" s="79" t="e">
        <f>'BKG Bank'!#REF!</f>
        <v>#REF!</v>
      </c>
      <c r="C276" s="108" t="e">
        <f>'BKG Bank'!#REF!</f>
        <v>#REF!</v>
      </c>
      <c r="D276" s="79" t="str" cm="1">
        <f t="array" ref="D27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276" s="79" t="str" cm="1">
        <f t="array" ref="E27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276" s="80" t="str" cm="1">
        <f t="array" ref="F27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276" s="80" t="str" cm="1">
        <f t="array" ref="G27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276" s="80" t="str" cm="1">
        <f t="array" ref="H27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276" s="78" t="str" cm="1">
        <f t="array" ref="I27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277" spans="1:9" hidden="1" x14ac:dyDescent="0.3">
      <c r="A277" s="82" t="str" cm="1">
        <f t="array" ref="A27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277" s="79" t="e">
        <f>'BKG Bank'!#REF!</f>
        <v>#REF!</v>
      </c>
      <c r="C277" s="108" t="e">
        <f>'BKG Bank'!#REF!</f>
        <v>#REF!</v>
      </c>
      <c r="D277" s="79" t="str" cm="1">
        <f t="array" ref="D27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277" s="79" t="str" cm="1">
        <f t="array" ref="E27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277" s="80" t="str" cm="1">
        <f t="array" ref="F27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277" s="80" t="str" cm="1">
        <f t="array" ref="G27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277" s="80" t="str" cm="1">
        <f t="array" ref="H27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277" s="78" t="str" cm="1">
        <f t="array" ref="I27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278" spans="1:9" hidden="1" x14ac:dyDescent="0.3">
      <c r="A278" s="82" t="str" cm="1">
        <f t="array" ref="A27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278" s="79" t="e">
        <f>'BKG Bank'!#REF!</f>
        <v>#REF!</v>
      </c>
      <c r="C278" s="108" t="e">
        <f>'BKG Bank'!#REF!</f>
        <v>#REF!</v>
      </c>
      <c r="D278" s="79" t="str" cm="1">
        <f t="array" ref="D27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278" s="79" t="str" cm="1">
        <f t="array" ref="E27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278" s="80" t="str" cm="1">
        <f t="array" ref="F27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278" s="80" t="str" cm="1">
        <f t="array" ref="G27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278" s="80" t="str" cm="1">
        <f t="array" ref="H27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278" s="78" t="str" cm="1">
        <f t="array" ref="I27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279" spans="1:9" hidden="1" x14ac:dyDescent="0.3">
      <c r="A279" s="82" t="str" cm="1">
        <f t="array" ref="A27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279" s="79" t="e">
        <f>'BKG Bank'!#REF!</f>
        <v>#REF!</v>
      </c>
      <c r="C279" s="108" t="e">
        <f>'BKG Bank'!#REF!</f>
        <v>#REF!</v>
      </c>
      <c r="D279" s="79" t="str" cm="1">
        <f t="array" ref="D27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279" s="79" t="str" cm="1">
        <f t="array" ref="E27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279" s="80" t="str" cm="1">
        <f t="array" ref="F27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279" s="80" t="str" cm="1">
        <f t="array" ref="G27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279" s="80" t="str" cm="1">
        <f t="array" ref="H27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279" s="78" t="str" cm="1">
        <f t="array" ref="I27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280" spans="1:9" hidden="1" x14ac:dyDescent="0.3">
      <c r="A280" s="82" t="str" cm="1">
        <f t="array" ref="A28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280" s="79" t="e">
        <f>'BKG Bank'!#REF!</f>
        <v>#REF!</v>
      </c>
      <c r="C280" s="108" t="e">
        <f>'BKG Bank'!#REF!</f>
        <v>#REF!</v>
      </c>
      <c r="D280" s="79" t="str" cm="1">
        <f t="array" ref="D28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280" s="79" t="str" cm="1">
        <f t="array" ref="E28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280" s="80" t="str" cm="1">
        <f t="array" ref="F28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280" s="80" t="str" cm="1">
        <f t="array" ref="G28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280" s="80" t="str" cm="1">
        <f t="array" ref="H28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280" s="78" t="str" cm="1">
        <f t="array" ref="I28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281" spans="1:9" hidden="1" x14ac:dyDescent="0.3">
      <c r="A281" s="82" t="str" cm="1">
        <f t="array" ref="A28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281" s="79" t="e">
        <f>'BKG Bank'!#REF!</f>
        <v>#REF!</v>
      </c>
      <c r="C281" s="108" t="e">
        <f>'BKG Bank'!#REF!</f>
        <v>#REF!</v>
      </c>
      <c r="D281" s="79" t="str" cm="1">
        <f t="array" ref="D28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281" s="79" t="str" cm="1">
        <f t="array" ref="E28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281" s="80" t="str" cm="1">
        <f t="array" ref="F28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281" s="80" t="str" cm="1">
        <f t="array" ref="G28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281" s="80" t="str" cm="1">
        <f t="array" ref="H28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281" s="78" t="str" cm="1">
        <f t="array" ref="I28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282" spans="1:9" hidden="1" x14ac:dyDescent="0.3">
      <c r="A282" s="82" t="str" cm="1">
        <f t="array" ref="A28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282" s="79" t="e">
        <f>'BKG Bank'!#REF!</f>
        <v>#REF!</v>
      </c>
      <c r="C282" s="108" t="e">
        <f>'BKG Bank'!#REF!</f>
        <v>#REF!</v>
      </c>
      <c r="D282" s="79" t="str" cm="1">
        <f t="array" ref="D28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282" s="79" t="str" cm="1">
        <f t="array" ref="E28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282" s="80" t="str" cm="1">
        <f t="array" ref="F28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282" s="80" t="str" cm="1">
        <f t="array" ref="G28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282" s="80" t="str" cm="1">
        <f t="array" ref="H28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282" s="78" t="str" cm="1">
        <f t="array" ref="I28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283" spans="1:9" hidden="1" x14ac:dyDescent="0.3">
      <c r="A283" s="82" t="str" cm="1">
        <f t="array" ref="A28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283" s="79" t="e">
        <f>'BKG Bank'!#REF!</f>
        <v>#REF!</v>
      </c>
      <c r="C283" s="108" t="e">
        <f>'BKG Bank'!#REF!</f>
        <v>#REF!</v>
      </c>
      <c r="D283" s="79" t="str" cm="1">
        <f t="array" ref="D28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283" s="79" t="str" cm="1">
        <f t="array" ref="E28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283" s="80" t="str" cm="1">
        <f t="array" ref="F28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283" s="80" t="str" cm="1">
        <f t="array" ref="G28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283" s="80" t="str" cm="1">
        <f t="array" ref="H28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283" s="78" t="str" cm="1">
        <f t="array" ref="I28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284" spans="1:9" hidden="1" x14ac:dyDescent="0.3">
      <c r="A284" s="82" t="str" cm="1">
        <f t="array" ref="A28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284" s="79" t="e">
        <f>'BKG Bank'!#REF!</f>
        <v>#REF!</v>
      </c>
      <c r="C284" s="108" t="e">
        <f>'BKG Bank'!#REF!</f>
        <v>#REF!</v>
      </c>
      <c r="D284" s="79" t="str" cm="1">
        <f t="array" ref="D28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284" s="79" t="str" cm="1">
        <f t="array" ref="E28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284" s="80" t="str" cm="1">
        <f t="array" ref="F28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284" s="80" t="str" cm="1">
        <f t="array" ref="G28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284" s="80" t="str" cm="1">
        <f t="array" ref="H28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284" s="78" t="str" cm="1">
        <f t="array" ref="I28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285" spans="1:9" hidden="1" x14ac:dyDescent="0.3">
      <c r="A285" s="82" t="str" cm="1">
        <f t="array" ref="A28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285" s="79" t="e">
        <f>'BKG Bank'!#REF!</f>
        <v>#REF!</v>
      </c>
      <c r="C285" s="108" t="e">
        <f>'BKG Bank'!#REF!</f>
        <v>#REF!</v>
      </c>
      <c r="D285" s="79" t="str" cm="1">
        <f t="array" ref="D28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285" s="79" t="str" cm="1">
        <f t="array" ref="E28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285" s="80" t="str" cm="1">
        <f t="array" ref="F28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285" s="80" t="str" cm="1">
        <f t="array" ref="G28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285" s="80" t="str" cm="1">
        <f t="array" ref="H28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285" s="78" t="str" cm="1">
        <f t="array" ref="I28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286" spans="1:9" hidden="1" x14ac:dyDescent="0.3">
      <c r="A286" s="82" t="str" cm="1">
        <f t="array" ref="A28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286" s="79" t="e">
        <f>'BKG Bank'!#REF!</f>
        <v>#REF!</v>
      </c>
      <c r="C286" s="108" t="e">
        <f>'BKG Bank'!#REF!</f>
        <v>#REF!</v>
      </c>
      <c r="D286" s="79" t="str" cm="1">
        <f t="array" ref="D28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286" s="79" t="str" cm="1">
        <f t="array" ref="E28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286" s="80" t="str" cm="1">
        <f t="array" ref="F28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286" s="80" t="str" cm="1">
        <f t="array" ref="G28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286" s="80" t="str" cm="1">
        <f t="array" ref="H28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286" s="78" t="str" cm="1">
        <f t="array" ref="I28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287" spans="1:9" hidden="1" x14ac:dyDescent="0.3">
      <c r="A287" s="82" t="str" cm="1">
        <f t="array" ref="A28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287" s="79" t="e">
        <f>'BKG Bank'!#REF!</f>
        <v>#REF!</v>
      </c>
      <c r="C287" s="108" t="e">
        <f>'BKG Bank'!#REF!</f>
        <v>#REF!</v>
      </c>
      <c r="D287" s="79" t="str" cm="1">
        <f t="array" ref="D28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287" s="79" t="str" cm="1">
        <f t="array" ref="E28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287" s="80" t="str" cm="1">
        <f t="array" ref="F28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287" s="80" t="str" cm="1">
        <f t="array" ref="G28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287" s="80" t="str" cm="1">
        <f t="array" ref="H28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287" s="78" t="str" cm="1">
        <f t="array" ref="I28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288" spans="1:9" hidden="1" x14ac:dyDescent="0.3">
      <c r="A288" s="82" t="str" cm="1">
        <f t="array" ref="A28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288" s="79" t="e">
        <f>'BKG Bank'!#REF!</f>
        <v>#REF!</v>
      </c>
      <c r="C288" s="108" t="e">
        <f>'BKG Bank'!#REF!</f>
        <v>#REF!</v>
      </c>
      <c r="D288" s="79" t="str" cm="1">
        <f t="array" ref="D28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288" s="79" t="str" cm="1">
        <f t="array" ref="E28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288" s="80" t="str" cm="1">
        <f t="array" ref="F28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288" s="80" t="str" cm="1">
        <f t="array" ref="G28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288" s="80" t="str" cm="1">
        <f t="array" ref="H28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288" s="78" t="str" cm="1">
        <f t="array" ref="I28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289" spans="1:9" hidden="1" x14ac:dyDescent="0.3">
      <c r="A289" s="82" t="str" cm="1">
        <f t="array" ref="A28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289" s="79" t="e">
        <f>'BKG Bank'!#REF!</f>
        <v>#REF!</v>
      </c>
      <c r="C289" s="108" t="e">
        <f>'BKG Bank'!#REF!</f>
        <v>#REF!</v>
      </c>
      <c r="D289" s="79" t="str" cm="1">
        <f t="array" ref="D28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289" s="79" t="str" cm="1">
        <f t="array" ref="E28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289" s="80" t="str" cm="1">
        <f t="array" ref="F28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289" s="80" t="str" cm="1">
        <f t="array" ref="G28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289" s="80" t="str" cm="1">
        <f t="array" ref="H28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289" s="78" t="str" cm="1">
        <f t="array" ref="I28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290" spans="1:9" hidden="1" x14ac:dyDescent="0.3">
      <c r="A290" s="82" t="str" cm="1">
        <f t="array" ref="A29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290" s="79" t="e">
        <f>'BKG Bank'!#REF!</f>
        <v>#REF!</v>
      </c>
      <c r="C290" s="108" t="e">
        <f>'BKG Bank'!#REF!</f>
        <v>#REF!</v>
      </c>
      <c r="D290" s="79" t="str" cm="1">
        <f t="array" ref="D29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290" s="79" t="str" cm="1">
        <f t="array" ref="E29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290" s="80" t="str" cm="1">
        <f t="array" ref="F29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290" s="80" t="str" cm="1">
        <f t="array" ref="G29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290" s="80" t="str" cm="1">
        <f t="array" ref="H29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290" s="78" t="str" cm="1">
        <f t="array" ref="I29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291" spans="1:9" hidden="1" x14ac:dyDescent="0.3">
      <c r="A291" s="82" t="str" cm="1">
        <f t="array" ref="A29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291" s="79" t="e">
        <f>'BKG Bank'!#REF!</f>
        <v>#REF!</v>
      </c>
      <c r="C291" s="108" t="e">
        <f>'BKG Bank'!#REF!</f>
        <v>#REF!</v>
      </c>
      <c r="D291" s="79" t="str" cm="1">
        <f t="array" ref="D29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291" s="79" t="str" cm="1">
        <f t="array" ref="E29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291" s="80" t="str" cm="1">
        <f t="array" ref="F29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291" s="80" t="str" cm="1">
        <f t="array" ref="G29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291" s="80" t="str" cm="1">
        <f t="array" ref="H29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291" s="78" t="str" cm="1">
        <f t="array" ref="I29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292" spans="1:9" hidden="1" x14ac:dyDescent="0.3">
      <c r="A292" s="82" t="str" cm="1">
        <f t="array" ref="A29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292" s="79" t="e">
        <f>'BKG Bank'!#REF!</f>
        <v>#REF!</v>
      </c>
      <c r="C292" s="108" t="e">
        <f>'BKG Bank'!#REF!</f>
        <v>#REF!</v>
      </c>
      <c r="D292" s="79" t="str" cm="1">
        <f t="array" ref="D29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292" s="79" t="str" cm="1">
        <f t="array" ref="E29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292" s="80" t="str" cm="1">
        <f t="array" ref="F29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292" s="80" t="str" cm="1">
        <f t="array" ref="G29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292" s="80" t="str" cm="1">
        <f t="array" ref="H29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292" s="78" t="str" cm="1">
        <f t="array" ref="I29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293" spans="1:9" hidden="1" x14ac:dyDescent="0.3">
      <c r="A293" s="82" t="str" cm="1">
        <f t="array" ref="A29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293" s="79" t="e">
        <f>'BKG Bank'!#REF!</f>
        <v>#REF!</v>
      </c>
      <c r="C293" s="108" t="e">
        <f>'BKG Bank'!#REF!</f>
        <v>#REF!</v>
      </c>
      <c r="D293" s="79" t="str" cm="1">
        <f t="array" ref="D29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293" s="79" t="str" cm="1">
        <f t="array" ref="E29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293" s="80" t="str" cm="1">
        <f t="array" ref="F29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293" s="80" t="str" cm="1">
        <f t="array" ref="G29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293" s="80" t="str" cm="1">
        <f t="array" ref="H29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293" s="78" t="str" cm="1">
        <f t="array" ref="I29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294" spans="1:9" hidden="1" x14ac:dyDescent="0.3">
      <c r="A294" s="82" t="str" cm="1">
        <f t="array" ref="A29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294" s="79" t="e">
        <f>'BKG Bank'!#REF!</f>
        <v>#REF!</v>
      </c>
      <c r="C294" s="108" t="e">
        <f>'BKG Bank'!#REF!</f>
        <v>#REF!</v>
      </c>
      <c r="D294" s="79" t="str" cm="1">
        <f t="array" ref="D29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294" s="79" t="str" cm="1">
        <f t="array" ref="E29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294" s="80" t="str" cm="1">
        <f t="array" ref="F29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294" s="80" t="str" cm="1">
        <f t="array" ref="G29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294" s="80" t="str" cm="1">
        <f t="array" ref="H29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294" s="78" t="str" cm="1">
        <f t="array" ref="I29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295" spans="1:9" hidden="1" x14ac:dyDescent="0.3">
      <c r="A295" s="82" t="str" cm="1">
        <f t="array" ref="A29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295" s="79" t="e">
        <f>'BKG Bank'!#REF!</f>
        <v>#REF!</v>
      </c>
      <c r="C295" s="108" t="e">
        <f>'BKG Bank'!#REF!</f>
        <v>#REF!</v>
      </c>
      <c r="D295" s="79" t="str" cm="1">
        <f t="array" ref="D29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295" s="79" t="str" cm="1">
        <f t="array" ref="E29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295" s="80" t="str" cm="1">
        <f t="array" ref="F29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295" s="80" t="str" cm="1">
        <f t="array" ref="G29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295" s="80" t="str" cm="1">
        <f t="array" ref="H29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295" s="78" t="str" cm="1">
        <f t="array" ref="I29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296" spans="1:9" hidden="1" x14ac:dyDescent="0.3">
      <c r="A296" s="82" t="str" cm="1">
        <f t="array" ref="A29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296" s="79" t="e">
        <f>'BKG Bank'!#REF!</f>
        <v>#REF!</v>
      </c>
      <c r="C296" s="108" t="e">
        <f>'BKG Bank'!#REF!</f>
        <v>#REF!</v>
      </c>
      <c r="D296" s="79" t="str" cm="1">
        <f t="array" ref="D29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296" s="79" t="str" cm="1">
        <f t="array" ref="E29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296" s="80" t="str" cm="1">
        <f t="array" ref="F29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296" s="80" t="str" cm="1">
        <f t="array" ref="G29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296" s="80" t="str" cm="1">
        <f t="array" ref="H29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296" s="78" t="str" cm="1">
        <f t="array" ref="I29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297" spans="1:9" hidden="1" x14ac:dyDescent="0.3">
      <c r="A297" s="82" t="str" cm="1">
        <f t="array" ref="A29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297" s="79" t="e">
        <f>'BKG Bank'!#REF!</f>
        <v>#REF!</v>
      </c>
      <c r="C297" s="108" t="e">
        <f>'BKG Bank'!#REF!</f>
        <v>#REF!</v>
      </c>
      <c r="D297" s="79" t="str" cm="1">
        <f t="array" ref="D29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297" s="79" t="str" cm="1">
        <f t="array" ref="E29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297" s="80" t="str" cm="1">
        <f t="array" ref="F29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297" s="80" t="str" cm="1">
        <f t="array" ref="G29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297" s="80" t="str" cm="1">
        <f t="array" ref="H29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297" s="78" t="str" cm="1">
        <f t="array" ref="I29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298" spans="1:9" hidden="1" x14ac:dyDescent="0.3">
      <c r="A298" s="82" t="str" cm="1">
        <f t="array" ref="A29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298" s="79" t="e">
        <f>'BKG Bank'!#REF!</f>
        <v>#REF!</v>
      </c>
      <c r="C298" s="108" t="e">
        <f>'BKG Bank'!#REF!</f>
        <v>#REF!</v>
      </c>
      <c r="D298" s="79" t="str" cm="1">
        <f t="array" ref="D29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298" s="79" t="str" cm="1">
        <f t="array" ref="E29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298" s="80" t="str" cm="1">
        <f t="array" ref="F29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298" s="80" t="str" cm="1">
        <f t="array" ref="G29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298" s="80" t="str" cm="1">
        <f t="array" ref="H29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298" s="78" t="str" cm="1">
        <f t="array" ref="I29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299" spans="1:9" hidden="1" x14ac:dyDescent="0.3">
      <c r="A299" s="82" t="str" cm="1">
        <f t="array" ref="A29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299" s="79" t="e">
        <f>'BKG Bank'!#REF!</f>
        <v>#REF!</v>
      </c>
      <c r="C299" s="108" t="e">
        <f>'BKG Bank'!#REF!</f>
        <v>#REF!</v>
      </c>
      <c r="D299" s="79" t="str" cm="1">
        <f t="array" ref="D29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299" s="79" t="str" cm="1">
        <f t="array" ref="E29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299" s="80" t="str" cm="1">
        <f t="array" ref="F29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299" s="80" t="str" cm="1">
        <f t="array" ref="G29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299" s="80" t="str" cm="1">
        <f t="array" ref="H29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299" s="78" t="str" cm="1">
        <f t="array" ref="I29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300" spans="1:9" hidden="1" x14ac:dyDescent="0.3">
      <c r="A300" s="82" t="str" cm="1">
        <f t="array" ref="A30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300" s="79" t="e">
        <f>'BKG Bank'!#REF!</f>
        <v>#REF!</v>
      </c>
      <c r="C300" s="108" t="e">
        <f>'BKG Bank'!#REF!</f>
        <v>#REF!</v>
      </c>
      <c r="D300" s="79" t="str" cm="1">
        <f t="array" ref="D30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300" s="79" t="str" cm="1">
        <f t="array" ref="E30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300" s="80" t="str" cm="1">
        <f t="array" ref="F30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300" s="80" t="str" cm="1">
        <f t="array" ref="G30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300" s="80" t="str" cm="1">
        <f t="array" ref="H30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300" s="78" t="str" cm="1">
        <f t="array" ref="I30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301" spans="1:9" hidden="1" x14ac:dyDescent="0.3">
      <c r="A301" s="82" t="str" cm="1">
        <f t="array" ref="A30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301" s="79" t="e">
        <f>'BKG Bank'!#REF!</f>
        <v>#REF!</v>
      </c>
      <c r="C301" s="108" t="e">
        <f>'BKG Bank'!#REF!</f>
        <v>#REF!</v>
      </c>
      <c r="D301" s="79" t="str" cm="1">
        <f t="array" ref="D30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301" s="79" t="str" cm="1">
        <f t="array" ref="E30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301" s="80" t="str" cm="1">
        <f t="array" ref="F30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301" s="80" t="str" cm="1">
        <f t="array" ref="G30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301" s="80" t="str" cm="1">
        <f t="array" ref="H30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301" s="78" t="str" cm="1">
        <f t="array" ref="I30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302" spans="1:9" hidden="1" x14ac:dyDescent="0.3">
      <c r="A302" s="82" t="str" cm="1">
        <f t="array" ref="A30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302" s="79" t="e">
        <f>'BKG Bank'!#REF!</f>
        <v>#REF!</v>
      </c>
      <c r="C302" s="108" t="e">
        <f>'BKG Bank'!#REF!</f>
        <v>#REF!</v>
      </c>
      <c r="D302" s="79" t="str" cm="1">
        <f t="array" ref="D30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302" s="79" t="str" cm="1">
        <f t="array" ref="E30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302" s="80" t="str" cm="1">
        <f t="array" ref="F30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302" s="80" t="str" cm="1">
        <f t="array" ref="G30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302" s="80" t="str" cm="1">
        <f t="array" ref="H30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302" s="78" t="str" cm="1">
        <f t="array" ref="I30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303" spans="1:9" hidden="1" x14ac:dyDescent="0.3">
      <c r="A303" s="82" t="str" cm="1">
        <f t="array" ref="A30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303" s="79" t="e">
        <f>'BKG Bank'!#REF!</f>
        <v>#REF!</v>
      </c>
      <c r="C303" s="108" t="e">
        <f>'BKG Bank'!#REF!</f>
        <v>#REF!</v>
      </c>
      <c r="D303" s="79" t="str" cm="1">
        <f t="array" ref="D30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303" s="79" t="str" cm="1">
        <f t="array" ref="E30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303" s="80" t="str" cm="1">
        <f t="array" ref="F30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303" s="80" t="str" cm="1">
        <f t="array" ref="G30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303" s="80" t="str" cm="1">
        <f t="array" ref="H30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303" s="78" t="str" cm="1">
        <f t="array" ref="I30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304" spans="1:9" hidden="1" x14ac:dyDescent="0.3">
      <c r="A304" s="82" t="str" cm="1">
        <f t="array" ref="A30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304" s="79" t="e">
        <f>'BKG Bank'!#REF!</f>
        <v>#REF!</v>
      </c>
      <c r="C304" s="108" t="e">
        <f>'BKG Bank'!#REF!</f>
        <v>#REF!</v>
      </c>
      <c r="D304" s="79" t="str" cm="1">
        <f t="array" ref="D30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304" s="79" t="str" cm="1">
        <f t="array" ref="E30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304" s="80" t="str" cm="1">
        <f t="array" ref="F30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304" s="80" t="str" cm="1">
        <f t="array" ref="G30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304" s="80" t="str" cm="1">
        <f t="array" ref="H30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304" s="78" t="str" cm="1">
        <f t="array" ref="I30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305" spans="1:9" hidden="1" x14ac:dyDescent="0.3">
      <c r="A305" s="82" t="str" cm="1">
        <f t="array" ref="A30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305" s="79" t="e">
        <f>'BKG Bank'!#REF!</f>
        <v>#REF!</v>
      </c>
      <c r="C305" s="108" t="e">
        <f>'BKG Bank'!#REF!</f>
        <v>#REF!</v>
      </c>
      <c r="D305" s="79" t="str" cm="1">
        <f t="array" ref="D30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305" s="79" t="str" cm="1">
        <f t="array" ref="E30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305" s="80" t="str" cm="1">
        <f t="array" ref="F30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305" s="80" t="str" cm="1">
        <f t="array" ref="G30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305" s="80" t="str" cm="1">
        <f t="array" ref="H30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305" s="78" t="str" cm="1">
        <f t="array" ref="I30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306" spans="1:9" hidden="1" x14ac:dyDescent="0.3">
      <c r="A306" s="82" t="str" cm="1">
        <f t="array" ref="A30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306" s="79" t="e">
        <f>'BKG Bank'!#REF!</f>
        <v>#REF!</v>
      </c>
      <c r="C306" s="108" t="e">
        <f>'BKG Bank'!#REF!</f>
        <v>#REF!</v>
      </c>
      <c r="D306" s="79" t="str" cm="1">
        <f t="array" ref="D30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306" s="79" t="str" cm="1">
        <f t="array" ref="E30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306" s="80" t="str" cm="1">
        <f t="array" ref="F30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306" s="80" t="str" cm="1">
        <f t="array" ref="G30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306" s="80" t="str" cm="1">
        <f t="array" ref="H30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306" s="78" t="str" cm="1">
        <f t="array" ref="I30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307" spans="1:9" hidden="1" x14ac:dyDescent="0.3">
      <c r="A307" s="82" t="str" cm="1">
        <f t="array" ref="A30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307" s="79" t="e">
        <f>'BKG Bank'!#REF!</f>
        <v>#REF!</v>
      </c>
      <c r="C307" s="108" t="e">
        <f>'BKG Bank'!#REF!</f>
        <v>#REF!</v>
      </c>
      <c r="D307" s="79" t="str" cm="1">
        <f t="array" ref="D30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307" s="79" t="str" cm="1">
        <f t="array" ref="E30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307" s="80" t="str" cm="1">
        <f t="array" ref="F30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307" s="80" t="str" cm="1">
        <f t="array" ref="G30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307" s="80" t="str" cm="1">
        <f t="array" ref="H30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307" s="78" t="str" cm="1">
        <f t="array" ref="I30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308" spans="1:9" hidden="1" x14ac:dyDescent="0.3">
      <c r="A308" s="82" t="str" cm="1">
        <f t="array" ref="A30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308" s="79" t="e">
        <f>'BKG Bank'!#REF!</f>
        <v>#REF!</v>
      </c>
      <c r="C308" s="108" t="e">
        <f>'BKG Bank'!#REF!</f>
        <v>#REF!</v>
      </c>
      <c r="D308" s="79" t="str" cm="1">
        <f t="array" ref="D30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308" s="79" t="str" cm="1">
        <f t="array" ref="E30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308" s="80" t="str" cm="1">
        <f t="array" ref="F30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308" s="80" t="str" cm="1">
        <f t="array" ref="G30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308" s="80" t="str" cm="1">
        <f t="array" ref="H30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308" s="78" t="str" cm="1">
        <f t="array" ref="I30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309" spans="1:9" hidden="1" x14ac:dyDescent="0.3">
      <c r="A309" s="82" t="str" cm="1">
        <f t="array" ref="A30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309" s="79" t="e">
        <f>'BKG Bank'!#REF!</f>
        <v>#REF!</v>
      </c>
      <c r="C309" s="108" t="e">
        <f>'BKG Bank'!#REF!</f>
        <v>#REF!</v>
      </c>
      <c r="D309" s="79" t="str" cm="1">
        <f t="array" ref="D30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309" s="79" t="str" cm="1">
        <f t="array" ref="E30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309" s="80" t="str" cm="1">
        <f t="array" ref="F30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309" s="80" t="str" cm="1">
        <f t="array" ref="G30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309" s="80" t="str" cm="1">
        <f t="array" ref="H30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309" s="78" t="str" cm="1">
        <f t="array" ref="I30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310" spans="1:9" hidden="1" x14ac:dyDescent="0.3">
      <c r="A310" s="82" t="str" cm="1">
        <f t="array" ref="A31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310" s="79" t="e">
        <f>'BKG Bank'!#REF!</f>
        <v>#REF!</v>
      </c>
      <c r="C310" s="108" t="e">
        <f>'BKG Bank'!#REF!</f>
        <v>#REF!</v>
      </c>
      <c r="D310" s="79" t="str" cm="1">
        <f t="array" ref="D31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310" s="79" t="str" cm="1">
        <f t="array" ref="E31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310" s="80" t="str" cm="1">
        <f t="array" ref="F31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310" s="80" t="str" cm="1">
        <f t="array" ref="G31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310" s="80" t="str" cm="1">
        <f t="array" ref="H31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310" s="78" t="str" cm="1">
        <f t="array" ref="I31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311" spans="1:9" hidden="1" x14ac:dyDescent="0.3">
      <c r="A311" s="82" t="str" cm="1">
        <f t="array" ref="A31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311" s="79" t="e">
        <f>'BKG Bank'!#REF!</f>
        <v>#REF!</v>
      </c>
      <c r="C311" s="108" t="e">
        <f>'BKG Bank'!#REF!</f>
        <v>#REF!</v>
      </c>
      <c r="D311" s="79" t="str" cm="1">
        <f t="array" ref="D31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311" s="79" t="str" cm="1">
        <f t="array" ref="E31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311" s="80" t="str" cm="1">
        <f t="array" ref="F31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311" s="80" t="str" cm="1">
        <f t="array" ref="G31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311" s="80" t="str" cm="1">
        <f t="array" ref="H31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311" s="78" t="str" cm="1">
        <f t="array" ref="I31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312" spans="1:9" hidden="1" x14ac:dyDescent="0.3">
      <c r="A312" s="82" t="str" cm="1">
        <f t="array" ref="A31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312" s="79" t="e">
        <f>'BKG Bank'!#REF!</f>
        <v>#REF!</v>
      </c>
      <c r="C312" s="108" t="e">
        <f>'BKG Bank'!#REF!</f>
        <v>#REF!</v>
      </c>
      <c r="D312" s="79" t="str" cm="1">
        <f t="array" ref="D31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312" s="79" t="str" cm="1">
        <f t="array" ref="E31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312" s="80" t="str" cm="1">
        <f t="array" ref="F31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312" s="80" t="str" cm="1">
        <f t="array" ref="G31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312" s="80" t="str" cm="1">
        <f t="array" ref="H31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312" s="78" t="str" cm="1">
        <f t="array" ref="I31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313" spans="1:9" hidden="1" x14ac:dyDescent="0.3">
      <c r="A313" s="82" t="str" cm="1">
        <f t="array" ref="A31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313" s="79" t="e">
        <f>'BKG Bank'!#REF!</f>
        <v>#REF!</v>
      </c>
      <c r="C313" s="108" t="e">
        <f>'BKG Bank'!#REF!</f>
        <v>#REF!</v>
      </c>
      <c r="D313" s="79" t="str" cm="1">
        <f t="array" ref="D31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313" s="79" t="str" cm="1">
        <f t="array" ref="E31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313" s="80" t="str" cm="1">
        <f t="array" ref="F31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313" s="80" t="str" cm="1">
        <f t="array" ref="G31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313" s="80" t="str" cm="1">
        <f t="array" ref="H31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313" s="78" t="str" cm="1">
        <f t="array" ref="I31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314" spans="1:9" hidden="1" x14ac:dyDescent="0.3">
      <c r="A314" s="82" t="str" cm="1">
        <f t="array" ref="A31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314" s="79" t="e">
        <f>'BKG Bank'!#REF!</f>
        <v>#REF!</v>
      </c>
      <c r="C314" s="108" t="e">
        <f>'BKG Bank'!#REF!</f>
        <v>#REF!</v>
      </c>
      <c r="D314" s="79" t="str" cm="1">
        <f t="array" ref="D31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314" s="79" t="str" cm="1">
        <f t="array" ref="E31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314" s="80" t="str" cm="1">
        <f t="array" ref="F31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314" s="80" t="str" cm="1">
        <f t="array" ref="G31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314" s="80" t="str" cm="1">
        <f t="array" ref="H31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314" s="78" t="str" cm="1">
        <f t="array" ref="I31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315" spans="1:9" hidden="1" x14ac:dyDescent="0.3">
      <c r="A315" s="82" t="str" cm="1">
        <f t="array" ref="A31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315" s="79" t="e">
        <f>'BKG Bank'!#REF!</f>
        <v>#REF!</v>
      </c>
      <c r="C315" s="108" t="e">
        <f>'BKG Bank'!#REF!</f>
        <v>#REF!</v>
      </c>
      <c r="D315" s="79" t="str" cm="1">
        <f t="array" ref="D31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315" s="79" t="str" cm="1">
        <f t="array" ref="E31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315" s="80" t="str" cm="1">
        <f t="array" ref="F31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315" s="80" t="str" cm="1">
        <f t="array" ref="G31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315" s="80" t="str" cm="1">
        <f t="array" ref="H31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315" s="78" t="str" cm="1">
        <f t="array" ref="I31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316" spans="1:9" hidden="1" x14ac:dyDescent="0.3">
      <c r="A316" s="82" t="str" cm="1">
        <f t="array" ref="A31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316" s="79" t="e">
        <f>'BKG Bank'!#REF!</f>
        <v>#REF!</v>
      </c>
      <c r="C316" s="108" t="e">
        <f>'BKG Bank'!#REF!</f>
        <v>#REF!</v>
      </c>
      <c r="D316" s="79" t="str" cm="1">
        <f t="array" ref="D31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316" s="79" t="str" cm="1">
        <f t="array" ref="E31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316" s="80" t="str" cm="1">
        <f t="array" ref="F31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316" s="80" t="str" cm="1">
        <f t="array" ref="G31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316" s="80" t="str" cm="1">
        <f t="array" ref="H31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316" s="78" t="str" cm="1">
        <f t="array" ref="I31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317" spans="1:9" hidden="1" x14ac:dyDescent="0.3">
      <c r="A317" s="82" t="str" cm="1">
        <f t="array" ref="A31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317" s="79" t="e">
        <f>'BKG Bank'!#REF!</f>
        <v>#REF!</v>
      </c>
      <c r="C317" s="108" t="e">
        <f>'BKG Bank'!#REF!</f>
        <v>#REF!</v>
      </c>
      <c r="D317" s="79" t="str" cm="1">
        <f t="array" ref="D31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317" s="79" t="str" cm="1">
        <f t="array" ref="E31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317" s="80" t="str" cm="1">
        <f t="array" ref="F31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317" s="80" t="str" cm="1">
        <f t="array" ref="G31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317" s="80" t="str" cm="1">
        <f t="array" ref="H31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317" s="78" t="str" cm="1">
        <f t="array" ref="I31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318" spans="1:9" hidden="1" x14ac:dyDescent="0.3">
      <c r="A318" s="82" t="str" cm="1">
        <f t="array" ref="A31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318" s="79" t="e">
        <f>'BKG Bank'!#REF!</f>
        <v>#REF!</v>
      </c>
      <c r="C318" s="108" t="e">
        <f>'BKG Bank'!#REF!</f>
        <v>#REF!</v>
      </c>
      <c r="D318" s="79" t="str" cm="1">
        <f t="array" ref="D31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318" s="79" t="str" cm="1">
        <f t="array" ref="E31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318" s="80" t="str" cm="1">
        <f t="array" ref="F31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318" s="80" t="str" cm="1">
        <f t="array" ref="G31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318" s="80" t="str" cm="1">
        <f t="array" ref="H31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318" s="78" t="str" cm="1">
        <f t="array" ref="I31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319" spans="1:9" hidden="1" x14ac:dyDescent="0.3">
      <c r="A319" s="82" t="str" cm="1">
        <f t="array" ref="A31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319" s="79" t="e">
        <f>'BKG Bank'!#REF!</f>
        <v>#REF!</v>
      </c>
      <c r="C319" s="108" t="e">
        <f>'BKG Bank'!#REF!</f>
        <v>#REF!</v>
      </c>
      <c r="D319" s="79" t="str" cm="1">
        <f t="array" ref="D31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319" s="79" t="str" cm="1">
        <f t="array" ref="E31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319" s="80" t="str" cm="1">
        <f t="array" ref="F31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319" s="80" t="str" cm="1">
        <f t="array" ref="G31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319" s="80" t="str" cm="1">
        <f t="array" ref="H31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319" s="78" t="str" cm="1">
        <f t="array" ref="I31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320" spans="1:9" hidden="1" x14ac:dyDescent="0.3">
      <c r="A320" s="82" t="str" cm="1">
        <f t="array" ref="A32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320" s="79" t="e">
        <f>'BKG Bank'!#REF!</f>
        <v>#REF!</v>
      </c>
      <c r="C320" s="108" t="e">
        <f>'BKG Bank'!#REF!</f>
        <v>#REF!</v>
      </c>
      <c r="D320" s="79" t="str" cm="1">
        <f t="array" ref="D32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320" s="79" t="str" cm="1">
        <f t="array" ref="E32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320" s="80" t="str" cm="1">
        <f t="array" ref="F32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320" s="80" t="str" cm="1">
        <f t="array" ref="G32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320" s="80" t="str" cm="1">
        <f t="array" ref="H32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320" s="78" t="str" cm="1">
        <f t="array" ref="I32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321" spans="1:9" hidden="1" x14ac:dyDescent="0.3">
      <c r="A321" s="82" t="str" cm="1">
        <f t="array" ref="A32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321" s="79" t="e">
        <f>'BKG Bank'!#REF!</f>
        <v>#REF!</v>
      </c>
      <c r="C321" s="108" t="e">
        <f>'BKG Bank'!#REF!</f>
        <v>#REF!</v>
      </c>
      <c r="D321" s="79" t="str" cm="1">
        <f t="array" ref="D32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321" s="79" t="str" cm="1">
        <f t="array" ref="E32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321" s="80" t="str" cm="1">
        <f t="array" ref="F32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321" s="80" t="str" cm="1">
        <f t="array" ref="G32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321" s="80" t="str" cm="1">
        <f t="array" ref="H32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321" s="78" t="str" cm="1">
        <f t="array" ref="I32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322" spans="1:9" hidden="1" x14ac:dyDescent="0.3">
      <c r="A322" s="82" t="str" cm="1">
        <f t="array" ref="A32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322" s="79" t="e">
        <f>'BKG Bank'!#REF!</f>
        <v>#REF!</v>
      </c>
      <c r="C322" s="108" t="e">
        <f>'BKG Bank'!#REF!</f>
        <v>#REF!</v>
      </c>
      <c r="D322" s="79" t="str" cm="1">
        <f t="array" ref="D32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322" s="79" t="str" cm="1">
        <f t="array" ref="E32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322" s="80" t="str" cm="1">
        <f t="array" ref="F32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322" s="80" t="str" cm="1">
        <f t="array" ref="G32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322" s="80" t="str" cm="1">
        <f t="array" ref="H32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322" s="78" t="str" cm="1">
        <f t="array" ref="I32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323" spans="1:9" hidden="1" x14ac:dyDescent="0.3">
      <c r="A323" s="82" t="str" cm="1">
        <f t="array" ref="A32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323" s="79" t="e">
        <f>'BKG Bank'!#REF!</f>
        <v>#REF!</v>
      </c>
      <c r="C323" s="108" t="e">
        <f>'BKG Bank'!#REF!</f>
        <v>#REF!</v>
      </c>
      <c r="D323" s="79" t="str" cm="1">
        <f t="array" ref="D32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323" s="79" t="str" cm="1">
        <f t="array" ref="E32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323" s="80" t="str" cm="1">
        <f t="array" ref="F32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323" s="80" t="str" cm="1">
        <f t="array" ref="G32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323" s="80" t="str" cm="1">
        <f t="array" ref="H32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323" s="78" t="str" cm="1">
        <f t="array" ref="I32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324" spans="1:9" hidden="1" x14ac:dyDescent="0.3">
      <c r="A324" s="82" t="str" cm="1">
        <f t="array" ref="A32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324" s="79" t="e">
        <f>'BKG Bank'!#REF!</f>
        <v>#REF!</v>
      </c>
      <c r="C324" s="108" t="e">
        <f>'BKG Bank'!#REF!</f>
        <v>#REF!</v>
      </c>
      <c r="D324" s="79" t="str" cm="1">
        <f t="array" ref="D32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324" s="79" t="str" cm="1">
        <f t="array" ref="E32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324" s="80" t="str" cm="1">
        <f t="array" ref="F32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324" s="80" t="str" cm="1">
        <f t="array" ref="G32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324" s="80" t="str" cm="1">
        <f t="array" ref="H32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324" s="78" t="str" cm="1">
        <f t="array" ref="I32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325" spans="1:9" hidden="1" x14ac:dyDescent="0.3">
      <c r="A325" s="82" t="str" cm="1">
        <f t="array" ref="A32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325" s="79" t="e">
        <f>'BKG Bank'!#REF!</f>
        <v>#REF!</v>
      </c>
      <c r="C325" s="108" t="e">
        <f>'BKG Bank'!#REF!</f>
        <v>#REF!</v>
      </c>
      <c r="D325" s="79" t="str" cm="1">
        <f t="array" ref="D32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325" s="79" t="str" cm="1">
        <f t="array" ref="E32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325" s="80" t="str" cm="1">
        <f t="array" ref="F32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325" s="80" t="str" cm="1">
        <f t="array" ref="G32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325" s="80" t="str" cm="1">
        <f t="array" ref="H32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325" s="78" t="str" cm="1">
        <f t="array" ref="I32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326" spans="1:9" hidden="1" x14ac:dyDescent="0.3">
      <c r="A326" s="82" t="str" cm="1">
        <f t="array" ref="A32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326" s="79" t="e">
        <f>'BKG Bank'!#REF!</f>
        <v>#REF!</v>
      </c>
      <c r="C326" s="108" t="e">
        <f>'BKG Bank'!#REF!</f>
        <v>#REF!</v>
      </c>
      <c r="D326" s="79" t="str" cm="1">
        <f t="array" ref="D32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326" s="79" t="str" cm="1">
        <f t="array" ref="E32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326" s="80" t="str" cm="1">
        <f t="array" ref="F32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326" s="80" t="str" cm="1">
        <f t="array" ref="G32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326" s="80" t="str" cm="1">
        <f t="array" ref="H32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326" s="78" t="str" cm="1">
        <f t="array" ref="I32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327" spans="1:9" hidden="1" x14ac:dyDescent="0.3">
      <c r="A327" s="82" t="str" cm="1">
        <f t="array" ref="A32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327" s="79" t="e">
        <f>'BKG Bank'!#REF!</f>
        <v>#REF!</v>
      </c>
      <c r="C327" s="108" t="e">
        <f>'BKG Bank'!#REF!</f>
        <v>#REF!</v>
      </c>
      <c r="D327" s="79" t="str" cm="1">
        <f t="array" ref="D32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327" s="79" t="str" cm="1">
        <f t="array" ref="E32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327" s="80" t="str" cm="1">
        <f t="array" ref="F32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327" s="80" t="str" cm="1">
        <f t="array" ref="G32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327" s="80" t="str" cm="1">
        <f t="array" ref="H32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327" s="78" t="str" cm="1">
        <f t="array" ref="I32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328" spans="1:9" hidden="1" x14ac:dyDescent="0.3">
      <c r="A328" s="82" t="str" cm="1">
        <f t="array" ref="A32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328" s="79" t="e">
        <f>'BKG Bank'!#REF!</f>
        <v>#REF!</v>
      </c>
      <c r="C328" s="108" t="e">
        <f>'BKG Bank'!#REF!</f>
        <v>#REF!</v>
      </c>
      <c r="D328" s="79" t="str" cm="1">
        <f t="array" ref="D32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328" s="79" t="str" cm="1">
        <f t="array" ref="E32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328" s="80" t="str" cm="1">
        <f t="array" ref="F32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328" s="80" t="str" cm="1">
        <f t="array" ref="G32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328" s="80" t="str" cm="1">
        <f t="array" ref="H32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328" s="78" t="str" cm="1">
        <f t="array" ref="I32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329" spans="1:9" hidden="1" x14ac:dyDescent="0.3">
      <c r="A329" s="82" t="str" cm="1">
        <f t="array" ref="A32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329" s="79" t="e">
        <f>'BKG Bank'!#REF!</f>
        <v>#REF!</v>
      </c>
      <c r="C329" s="108" t="e">
        <f>'BKG Bank'!#REF!</f>
        <v>#REF!</v>
      </c>
      <c r="D329" s="79" t="str" cm="1">
        <f t="array" ref="D32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329" s="79" t="str" cm="1">
        <f t="array" ref="E32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329" s="80" t="str" cm="1">
        <f t="array" ref="F32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329" s="80" t="str" cm="1">
        <f t="array" ref="G32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329" s="80" t="str" cm="1">
        <f t="array" ref="H32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329" s="78" t="str" cm="1">
        <f t="array" ref="I32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330" spans="1:9" hidden="1" x14ac:dyDescent="0.3">
      <c r="A330" s="82" t="str" cm="1">
        <f t="array" ref="A33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330" s="79" t="e">
        <f>'BKG Bank'!#REF!</f>
        <v>#REF!</v>
      </c>
      <c r="C330" s="108" t="e">
        <f>'BKG Bank'!#REF!</f>
        <v>#REF!</v>
      </c>
      <c r="D330" s="79" t="str" cm="1">
        <f t="array" ref="D33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330" s="79" t="str" cm="1">
        <f t="array" ref="E33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330" s="80" t="str" cm="1">
        <f t="array" ref="F33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330" s="80" t="str" cm="1">
        <f t="array" ref="G33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330" s="80" t="str" cm="1">
        <f t="array" ref="H33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330" s="78" t="str" cm="1">
        <f t="array" ref="I33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331" spans="1:9" hidden="1" x14ac:dyDescent="0.3">
      <c r="A331" s="82" t="str" cm="1">
        <f t="array" ref="A33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331" s="79" t="e">
        <f>'BKG Bank'!#REF!</f>
        <v>#REF!</v>
      </c>
      <c r="C331" s="108" t="e">
        <f>'BKG Bank'!#REF!</f>
        <v>#REF!</v>
      </c>
      <c r="D331" s="79" t="str" cm="1">
        <f t="array" ref="D33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331" s="79" t="str" cm="1">
        <f t="array" ref="E33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331" s="80" t="str" cm="1">
        <f t="array" ref="F33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331" s="80" t="str" cm="1">
        <f t="array" ref="G33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331" s="80" t="str" cm="1">
        <f t="array" ref="H33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331" s="78" t="str" cm="1">
        <f t="array" ref="I33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332" spans="1:9" hidden="1" x14ac:dyDescent="0.3">
      <c r="A332" s="82" t="str" cm="1">
        <f t="array" ref="A33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332" s="79" t="e">
        <f>'BKG Bank'!#REF!</f>
        <v>#REF!</v>
      </c>
      <c r="C332" s="108" t="e">
        <f>'BKG Bank'!#REF!</f>
        <v>#REF!</v>
      </c>
      <c r="D332" s="79" t="str" cm="1">
        <f t="array" ref="D33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332" s="79" t="str" cm="1">
        <f t="array" ref="E33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332" s="80" t="str" cm="1">
        <f t="array" ref="F33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332" s="80" t="str" cm="1">
        <f t="array" ref="G33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332" s="80" t="str" cm="1">
        <f t="array" ref="H33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332" s="78" t="str" cm="1">
        <f t="array" ref="I33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333" spans="1:9" hidden="1" x14ac:dyDescent="0.3">
      <c r="A333" s="82" t="str" cm="1">
        <f t="array" ref="A33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333" s="79" t="e">
        <f>'BKG Bank'!#REF!</f>
        <v>#REF!</v>
      </c>
      <c r="C333" s="108" t="e">
        <f>'BKG Bank'!#REF!</f>
        <v>#REF!</v>
      </c>
      <c r="D333" s="79" t="str" cm="1">
        <f t="array" ref="D33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333" s="79" t="str" cm="1">
        <f t="array" ref="E33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333" s="80" t="str" cm="1">
        <f t="array" ref="F33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333" s="80" t="str" cm="1">
        <f t="array" ref="G33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333" s="80" t="str" cm="1">
        <f t="array" ref="H33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333" s="78" t="str" cm="1">
        <f t="array" ref="I33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334" spans="1:9" hidden="1" x14ac:dyDescent="0.3">
      <c r="A334" s="82" t="str" cm="1">
        <f t="array" ref="A33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334" s="79" t="e">
        <f>'BKG Bank'!#REF!</f>
        <v>#REF!</v>
      </c>
      <c r="C334" s="108" t="e">
        <f>'BKG Bank'!#REF!</f>
        <v>#REF!</v>
      </c>
      <c r="D334" s="79" t="str" cm="1">
        <f t="array" ref="D33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334" s="79" t="str" cm="1">
        <f t="array" ref="E33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334" s="80" t="str" cm="1">
        <f t="array" ref="F33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334" s="80" t="str" cm="1">
        <f t="array" ref="G33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334" s="80" t="str" cm="1">
        <f t="array" ref="H33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334" s="78" t="str" cm="1">
        <f t="array" ref="I33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335" spans="1:9" hidden="1" x14ac:dyDescent="0.3">
      <c r="A335" s="82" t="str" cm="1">
        <f t="array" ref="A33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335" s="79" t="e">
        <f>'BKG Bank'!#REF!</f>
        <v>#REF!</v>
      </c>
      <c r="C335" s="108" t="e">
        <f>'BKG Bank'!#REF!</f>
        <v>#REF!</v>
      </c>
      <c r="D335" s="79" t="str" cm="1">
        <f t="array" ref="D33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335" s="79" t="str" cm="1">
        <f t="array" ref="E33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335" s="80" t="str" cm="1">
        <f t="array" ref="F33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335" s="80" t="str" cm="1">
        <f t="array" ref="G33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335" s="80" t="str" cm="1">
        <f t="array" ref="H33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335" s="78" t="str" cm="1">
        <f t="array" ref="I33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336" spans="1:9" hidden="1" x14ac:dyDescent="0.3">
      <c r="A336" s="82" t="str" cm="1">
        <f t="array" ref="A33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336" s="79" t="e">
        <f>'BKG Bank'!#REF!</f>
        <v>#REF!</v>
      </c>
      <c r="C336" s="108" t="e">
        <f>'BKG Bank'!#REF!</f>
        <v>#REF!</v>
      </c>
      <c r="D336" s="79" t="str" cm="1">
        <f t="array" ref="D33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336" s="79" t="str" cm="1">
        <f t="array" ref="E33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336" s="80" t="str" cm="1">
        <f t="array" ref="F33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336" s="80" t="str" cm="1">
        <f t="array" ref="G33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336" s="80" t="str" cm="1">
        <f t="array" ref="H33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336" s="78" t="str" cm="1">
        <f t="array" ref="I33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337" spans="1:9" hidden="1" x14ac:dyDescent="0.3">
      <c r="A337" s="82" t="str" cm="1">
        <f t="array" ref="A33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337" s="79" t="e">
        <f>'BKG Bank'!#REF!</f>
        <v>#REF!</v>
      </c>
      <c r="C337" s="108" t="e">
        <f>'BKG Bank'!#REF!</f>
        <v>#REF!</v>
      </c>
      <c r="D337" s="79" t="str" cm="1">
        <f t="array" ref="D33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337" s="79" t="str" cm="1">
        <f t="array" ref="E33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337" s="80" t="str" cm="1">
        <f t="array" ref="F33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337" s="80" t="str" cm="1">
        <f t="array" ref="G33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337" s="80" t="str" cm="1">
        <f t="array" ref="H33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337" s="78" t="str" cm="1">
        <f t="array" ref="I33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338" spans="1:9" hidden="1" x14ac:dyDescent="0.3">
      <c r="A338" s="82" t="str" cm="1">
        <f t="array" ref="A33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338" s="79" t="e">
        <f>'BKG Bank'!#REF!</f>
        <v>#REF!</v>
      </c>
      <c r="C338" s="108" t="e">
        <f>'BKG Bank'!#REF!</f>
        <v>#REF!</v>
      </c>
      <c r="D338" s="79" t="str" cm="1">
        <f t="array" ref="D33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338" s="79" t="str" cm="1">
        <f t="array" ref="E33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338" s="80" t="str" cm="1">
        <f t="array" ref="F33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338" s="80" t="str" cm="1">
        <f t="array" ref="G33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338" s="80" t="str" cm="1">
        <f t="array" ref="H33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338" s="78" t="str" cm="1">
        <f t="array" ref="I33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339" spans="1:9" hidden="1" x14ac:dyDescent="0.3">
      <c r="A339" s="82" t="str" cm="1">
        <f t="array" ref="A33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339" s="79" t="e">
        <f>'BKG Bank'!#REF!</f>
        <v>#REF!</v>
      </c>
      <c r="C339" s="108" t="e">
        <f>'BKG Bank'!#REF!</f>
        <v>#REF!</v>
      </c>
      <c r="D339" s="79" t="str" cm="1">
        <f t="array" ref="D33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339" s="79" t="str" cm="1">
        <f t="array" ref="E33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339" s="80" t="str" cm="1">
        <f t="array" ref="F33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339" s="80" t="str" cm="1">
        <f t="array" ref="G33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339" s="80" t="str" cm="1">
        <f t="array" ref="H33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339" s="78" t="str" cm="1">
        <f t="array" ref="I33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340" spans="1:9" hidden="1" x14ac:dyDescent="0.3">
      <c r="A340" s="82" t="str" cm="1">
        <f t="array" ref="A34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340" s="79" t="e">
        <f>'BKG Bank'!#REF!</f>
        <v>#REF!</v>
      </c>
      <c r="C340" s="108" t="e">
        <f>'BKG Bank'!#REF!</f>
        <v>#REF!</v>
      </c>
      <c r="D340" s="79" t="str" cm="1">
        <f t="array" ref="D34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340" s="79" t="str" cm="1">
        <f t="array" ref="E34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340" s="80" t="str" cm="1">
        <f t="array" ref="F34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340" s="80" t="str" cm="1">
        <f t="array" ref="G34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340" s="80" t="str" cm="1">
        <f t="array" ref="H34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340" s="78" t="str" cm="1">
        <f t="array" ref="I34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341" spans="1:9" hidden="1" x14ac:dyDescent="0.3">
      <c r="A341" s="82" t="str" cm="1">
        <f t="array" ref="A34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341" s="79" t="e">
        <f>'BKG Bank'!#REF!</f>
        <v>#REF!</v>
      </c>
      <c r="C341" s="108" t="e">
        <f>'BKG Bank'!#REF!</f>
        <v>#REF!</v>
      </c>
      <c r="D341" s="79" t="str" cm="1">
        <f t="array" ref="D34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341" s="79" t="str" cm="1">
        <f t="array" ref="E34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341" s="80" t="str" cm="1">
        <f t="array" ref="F34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341" s="80" t="str" cm="1">
        <f t="array" ref="G34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341" s="80" t="str" cm="1">
        <f t="array" ref="H34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341" s="78" t="str" cm="1">
        <f t="array" ref="I34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342" spans="1:9" hidden="1" x14ac:dyDescent="0.3">
      <c r="A342" s="82" t="str" cm="1">
        <f t="array" ref="A34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342" s="79" t="e">
        <f>'BKG Bank'!#REF!</f>
        <v>#REF!</v>
      </c>
      <c r="C342" s="108" t="e">
        <f>'BKG Bank'!#REF!</f>
        <v>#REF!</v>
      </c>
      <c r="D342" s="79" t="str" cm="1">
        <f t="array" ref="D34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342" s="79" t="str" cm="1">
        <f t="array" ref="E34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342" s="80" t="str" cm="1">
        <f t="array" ref="F34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342" s="80" t="str" cm="1">
        <f t="array" ref="G34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342" s="80" t="str" cm="1">
        <f t="array" ref="H34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342" s="78" t="str" cm="1">
        <f t="array" ref="I34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343" spans="1:9" hidden="1" x14ac:dyDescent="0.3">
      <c r="A343" s="82" t="str" cm="1">
        <f t="array" ref="A34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343" s="79" t="e">
        <f>'BKG Bank'!#REF!</f>
        <v>#REF!</v>
      </c>
      <c r="C343" s="108" t="e">
        <f>'BKG Bank'!#REF!</f>
        <v>#REF!</v>
      </c>
      <c r="D343" s="79" t="str" cm="1">
        <f t="array" ref="D34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343" s="79" t="str" cm="1">
        <f t="array" ref="E34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343" s="80" t="str" cm="1">
        <f t="array" ref="F34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343" s="80" t="str" cm="1">
        <f t="array" ref="G34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343" s="80" t="str" cm="1">
        <f t="array" ref="H34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343" s="78" t="str" cm="1">
        <f t="array" ref="I34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344" spans="1:9" hidden="1" x14ac:dyDescent="0.3">
      <c r="A344" s="82" t="str" cm="1">
        <f t="array" ref="A34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344" s="79" t="e">
        <f>'BKG Bank'!#REF!</f>
        <v>#REF!</v>
      </c>
      <c r="C344" s="108" t="e">
        <f>'BKG Bank'!#REF!</f>
        <v>#REF!</v>
      </c>
      <c r="D344" s="79" t="str" cm="1">
        <f t="array" ref="D34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344" s="79" t="str" cm="1">
        <f t="array" ref="E34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344" s="80" t="str" cm="1">
        <f t="array" ref="F34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344" s="80" t="str" cm="1">
        <f t="array" ref="G34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344" s="80" t="str" cm="1">
        <f t="array" ref="H34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344" s="78" t="str" cm="1">
        <f t="array" ref="I34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345" spans="1:9" hidden="1" x14ac:dyDescent="0.3">
      <c r="A345" s="82" t="str" cm="1">
        <f t="array" ref="A34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345" s="79" t="e">
        <f>'BKG Bank'!#REF!</f>
        <v>#REF!</v>
      </c>
      <c r="C345" s="108" t="e">
        <f>'BKG Bank'!#REF!</f>
        <v>#REF!</v>
      </c>
      <c r="D345" s="79" t="str" cm="1">
        <f t="array" ref="D34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345" s="79" t="str" cm="1">
        <f t="array" ref="E34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345" s="80" t="str" cm="1">
        <f t="array" ref="F34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345" s="80" t="str" cm="1">
        <f t="array" ref="G34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345" s="80" t="str" cm="1">
        <f t="array" ref="H34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345" s="78" t="str" cm="1">
        <f t="array" ref="I34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346" spans="1:9" hidden="1" x14ac:dyDescent="0.3">
      <c r="A346" s="82" t="str" cm="1">
        <f t="array" ref="A34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346" s="79" t="e">
        <f>'BKG Bank'!#REF!</f>
        <v>#REF!</v>
      </c>
      <c r="C346" s="108" t="e">
        <f>'BKG Bank'!#REF!</f>
        <v>#REF!</v>
      </c>
      <c r="D346" s="79" t="str" cm="1">
        <f t="array" ref="D34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346" s="79" t="str" cm="1">
        <f t="array" ref="E34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346" s="80" t="str" cm="1">
        <f t="array" ref="F34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346" s="80" t="str" cm="1">
        <f t="array" ref="G34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346" s="80" t="str" cm="1">
        <f t="array" ref="H34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346" s="78" t="str" cm="1">
        <f t="array" ref="I34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347" spans="1:9" hidden="1" x14ac:dyDescent="0.3">
      <c r="A347" s="82" t="str" cm="1">
        <f t="array" ref="A34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347" s="79" t="e">
        <f>'BKG Bank'!#REF!</f>
        <v>#REF!</v>
      </c>
      <c r="C347" s="108" t="e">
        <f>'BKG Bank'!#REF!</f>
        <v>#REF!</v>
      </c>
      <c r="D347" s="79" t="str" cm="1">
        <f t="array" ref="D34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347" s="79" t="str" cm="1">
        <f t="array" ref="E34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347" s="80" t="str" cm="1">
        <f t="array" ref="F34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347" s="80" t="str" cm="1">
        <f t="array" ref="G34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347" s="80" t="str" cm="1">
        <f t="array" ref="H34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347" s="78" t="str" cm="1">
        <f t="array" ref="I34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348" spans="1:9" hidden="1" x14ac:dyDescent="0.3">
      <c r="A348" s="82" t="str" cm="1">
        <f t="array" ref="A34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348" s="79" t="e">
        <f>'BKG Bank'!#REF!</f>
        <v>#REF!</v>
      </c>
      <c r="C348" s="108" t="e">
        <f>'BKG Bank'!#REF!</f>
        <v>#REF!</v>
      </c>
      <c r="D348" s="79" t="str" cm="1">
        <f t="array" ref="D34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348" s="79" t="str" cm="1">
        <f t="array" ref="E34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348" s="80" t="str" cm="1">
        <f t="array" ref="F34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348" s="80" t="str" cm="1">
        <f t="array" ref="G34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348" s="80" t="str" cm="1">
        <f t="array" ref="H34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348" s="78" t="str" cm="1">
        <f t="array" ref="I34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349" spans="1:9" hidden="1" x14ac:dyDescent="0.3">
      <c r="A349" s="82" t="str" cm="1">
        <f t="array" ref="A34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349" s="79" t="e">
        <f>'BKG Bank'!#REF!</f>
        <v>#REF!</v>
      </c>
      <c r="C349" s="108" t="e">
        <f>'BKG Bank'!#REF!</f>
        <v>#REF!</v>
      </c>
      <c r="D349" s="79" t="str" cm="1">
        <f t="array" ref="D34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349" s="79" t="str" cm="1">
        <f t="array" ref="E34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349" s="80" t="str" cm="1">
        <f t="array" ref="F34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349" s="80" t="str" cm="1">
        <f t="array" ref="G34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349" s="80" t="str" cm="1">
        <f t="array" ref="H34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349" s="78" t="str" cm="1">
        <f t="array" ref="I34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350" spans="1:9" hidden="1" x14ac:dyDescent="0.3">
      <c r="A350" s="82" t="str" cm="1">
        <f t="array" ref="A35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350" s="79" t="e">
        <f>'BKG Bank'!#REF!</f>
        <v>#REF!</v>
      </c>
      <c r="C350" s="108" t="e">
        <f>'BKG Bank'!#REF!</f>
        <v>#REF!</v>
      </c>
      <c r="D350" s="79" t="str" cm="1">
        <f t="array" ref="D35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350" s="79" t="str" cm="1">
        <f t="array" ref="E35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350" s="80" t="str" cm="1">
        <f t="array" ref="F35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350" s="80" t="str" cm="1">
        <f t="array" ref="G35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350" s="80" t="str" cm="1">
        <f t="array" ref="H35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350" s="78" t="str" cm="1">
        <f t="array" ref="I35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351" spans="1:9" hidden="1" x14ac:dyDescent="0.3">
      <c r="A351" s="82" t="str" cm="1">
        <f t="array" ref="A35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351" s="79" t="e">
        <f>'BKG Bank'!#REF!</f>
        <v>#REF!</v>
      </c>
      <c r="C351" s="108" t="e">
        <f>'BKG Bank'!#REF!</f>
        <v>#REF!</v>
      </c>
      <c r="D351" s="79" t="str" cm="1">
        <f t="array" ref="D35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351" s="79" t="str" cm="1">
        <f t="array" ref="E35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351" s="80" t="str" cm="1">
        <f t="array" ref="F35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351" s="80" t="str" cm="1">
        <f t="array" ref="G35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351" s="80" t="str" cm="1">
        <f t="array" ref="H35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351" s="78" t="str" cm="1">
        <f t="array" ref="I35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352" spans="1:9" hidden="1" x14ac:dyDescent="0.3">
      <c r="A352" s="82" t="str" cm="1">
        <f t="array" ref="A35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352" s="79" t="e">
        <f>'BKG Bank'!#REF!</f>
        <v>#REF!</v>
      </c>
      <c r="C352" s="108" t="e">
        <f>'BKG Bank'!#REF!</f>
        <v>#REF!</v>
      </c>
      <c r="D352" s="79" t="str" cm="1">
        <f t="array" ref="D35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352" s="79" t="str" cm="1">
        <f t="array" ref="E35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352" s="80" t="str" cm="1">
        <f t="array" ref="F35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352" s="80" t="str" cm="1">
        <f t="array" ref="G35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352" s="80" t="str" cm="1">
        <f t="array" ref="H35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352" s="78" t="str" cm="1">
        <f t="array" ref="I35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353" spans="1:9" hidden="1" x14ac:dyDescent="0.3">
      <c r="A353" s="82" t="str" cm="1">
        <f t="array" ref="A35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353" s="79" t="e">
        <f>'BKG Bank'!#REF!</f>
        <v>#REF!</v>
      </c>
      <c r="C353" s="108" t="e">
        <f>'BKG Bank'!#REF!</f>
        <v>#REF!</v>
      </c>
      <c r="D353" s="79" t="str" cm="1">
        <f t="array" ref="D35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353" s="79" t="str" cm="1">
        <f t="array" ref="E35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353" s="80" t="str" cm="1">
        <f t="array" ref="F35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353" s="80" t="str" cm="1">
        <f t="array" ref="G35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353" s="80" t="str" cm="1">
        <f t="array" ref="H35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353" s="78" t="str" cm="1">
        <f t="array" ref="I35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354" spans="1:9" hidden="1" x14ac:dyDescent="0.3">
      <c r="A354" s="82" t="str" cm="1">
        <f t="array" ref="A35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354" s="79" t="e">
        <f>'BKG Bank'!#REF!</f>
        <v>#REF!</v>
      </c>
      <c r="C354" s="108" t="e">
        <f>'BKG Bank'!#REF!</f>
        <v>#REF!</v>
      </c>
      <c r="D354" s="79" t="str" cm="1">
        <f t="array" ref="D35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354" s="79" t="str" cm="1">
        <f t="array" ref="E35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354" s="80" t="str" cm="1">
        <f t="array" ref="F35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354" s="80" t="str" cm="1">
        <f t="array" ref="G35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354" s="80" t="str" cm="1">
        <f t="array" ref="H35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354" s="78" t="str" cm="1">
        <f t="array" ref="I35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355" spans="1:9" hidden="1" x14ac:dyDescent="0.3">
      <c r="A355" s="82" t="str" cm="1">
        <f t="array" ref="A35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355" s="79" t="e">
        <f>'BKG Bank'!#REF!</f>
        <v>#REF!</v>
      </c>
      <c r="C355" s="108" t="e">
        <f>'BKG Bank'!#REF!</f>
        <v>#REF!</v>
      </c>
      <c r="D355" s="79" t="str" cm="1">
        <f t="array" ref="D35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355" s="79" t="str" cm="1">
        <f t="array" ref="E35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355" s="80" t="str" cm="1">
        <f t="array" ref="F35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355" s="80" t="str" cm="1">
        <f t="array" ref="G35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355" s="80" t="str" cm="1">
        <f t="array" ref="H35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355" s="78" t="str" cm="1">
        <f t="array" ref="I35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356" spans="1:9" hidden="1" x14ac:dyDescent="0.3">
      <c r="A356" s="82" t="str" cm="1">
        <f t="array" ref="A35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356" s="79" t="e">
        <f>'BKG Bank'!#REF!</f>
        <v>#REF!</v>
      </c>
      <c r="C356" s="108" t="e">
        <f>'BKG Bank'!#REF!</f>
        <v>#REF!</v>
      </c>
      <c r="D356" s="79" t="str" cm="1">
        <f t="array" ref="D35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356" s="79" t="str" cm="1">
        <f t="array" ref="E35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356" s="80" t="str" cm="1">
        <f t="array" ref="F35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356" s="80" t="str" cm="1">
        <f t="array" ref="G35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356" s="80" t="str" cm="1">
        <f t="array" ref="H35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356" s="78" t="str" cm="1">
        <f t="array" ref="I35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357" spans="1:9" hidden="1" x14ac:dyDescent="0.3">
      <c r="A357" s="82" t="str" cm="1">
        <f t="array" ref="A35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357" s="79" t="e">
        <f>'BKG Bank'!#REF!</f>
        <v>#REF!</v>
      </c>
      <c r="C357" s="108" t="e">
        <f>'BKG Bank'!#REF!</f>
        <v>#REF!</v>
      </c>
      <c r="D357" s="79" t="str" cm="1">
        <f t="array" ref="D35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357" s="79" t="str" cm="1">
        <f t="array" ref="E35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357" s="80" t="str" cm="1">
        <f t="array" ref="F35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357" s="80" t="str" cm="1">
        <f t="array" ref="G35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357" s="80" t="str" cm="1">
        <f t="array" ref="H35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357" s="78" t="str" cm="1">
        <f t="array" ref="I35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358" spans="1:9" hidden="1" x14ac:dyDescent="0.3">
      <c r="A358" s="82" t="str" cm="1">
        <f t="array" ref="A35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358" s="79" t="e">
        <f>'BKG Bank'!#REF!</f>
        <v>#REF!</v>
      </c>
      <c r="C358" s="108" t="e">
        <f>'BKG Bank'!#REF!</f>
        <v>#REF!</v>
      </c>
      <c r="D358" s="79" t="str" cm="1">
        <f t="array" ref="D35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358" s="79" t="str" cm="1">
        <f t="array" ref="E35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358" s="80" t="str" cm="1">
        <f t="array" ref="F35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358" s="80" t="str" cm="1">
        <f t="array" ref="G35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358" s="80" t="str" cm="1">
        <f t="array" ref="H35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358" s="78" t="str" cm="1">
        <f t="array" ref="I35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359" spans="1:9" hidden="1" x14ac:dyDescent="0.3">
      <c r="A359" s="82" t="str" cm="1">
        <f t="array" ref="A35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359" s="79" t="e">
        <f>'BKG Bank'!#REF!</f>
        <v>#REF!</v>
      </c>
      <c r="C359" s="108" t="e">
        <f>'BKG Bank'!#REF!</f>
        <v>#REF!</v>
      </c>
      <c r="D359" s="79" t="str" cm="1">
        <f t="array" ref="D35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359" s="79" t="str" cm="1">
        <f t="array" ref="E35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359" s="80" t="str" cm="1">
        <f t="array" ref="F35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359" s="80" t="str" cm="1">
        <f t="array" ref="G35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359" s="80" t="str" cm="1">
        <f t="array" ref="H35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359" s="78" t="str" cm="1">
        <f t="array" ref="I35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360" spans="1:9" hidden="1" x14ac:dyDescent="0.3">
      <c r="A360" s="82" t="str" cm="1">
        <f t="array" ref="A36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360" s="79" t="e">
        <f>'BKG Bank'!#REF!</f>
        <v>#REF!</v>
      </c>
      <c r="C360" s="108" t="e">
        <f>'BKG Bank'!#REF!</f>
        <v>#REF!</v>
      </c>
      <c r="D360" s="79" t="str" cm="1">
        <f t="array" ref="D36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360" s="79" t="str" cm="1">
        <f t="array" ref="E36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360" s="80" t="str" cm="1">
        <f t="array" ref="F36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360" s="80" t="str" cm="1">
        <f t="array" ref="G36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360" s="80" t="str" cm="1">
        <f t="array" ref="H36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360" s="78" t="str" cm="1">
        <f t="array" ref="I36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361" spans="1:9" hidden="1" x14ac:dyDescent="0.3">
      <c r="A361" s="82" t="str" cm="1">
        <f t="array" ref="A36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361" s="79" t="e">
        <f>'BKG Bank'!#REF!</f>
        <v>#REF!</v>
      </c>
      <c r="C361" s="108" t="e">
        <f>'BKG Bank'!#REF!</f>
        <v>#REF!</v>
      </c>
      <c r="D361" s="79" t="str" cm="1">
        <f t="array" ref="D36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361" s="79" t="str" cm="1">
        <f t="array" ref="E36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361" s="80" t="str" cm="1">
        <f t="array" ref="F36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361" s="80" t="str" cm="1">
        <f t="array" ref="G36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361" s="80" t="str" cm="1">
        <f t="array" ref="H36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361" s="78" t="str" cm="1">
        <f t="array" ref="I36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362" spans="1:9" hidden="1" x14ac:dyDescent="0.3">
      <c r="A362" s="82" t="str" cm="1">
        <f t="array" ref="A36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362" s="79" t="e">
        <f>'BKG Bank'!#REF!</f>
        <v>#REF!</v>
      </c>
      <c r="C362" s="108" t="e">
        <f>'BKG Bank'!#REF!</f>
        <v>#REF!</v>
      </c>
      <c r="D362" s="79" t="str" cm="1">
        <f t="array" ref="D36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362" s="79" t="str" cm="1">
        <f t="array" ref="E36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362" s="80" t="str" cm="1">
        <f t="array" ref="F36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362" s="80" t="str" cm="1">
        <f t="array" ref="G36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362" s="80" t="str" cm="1">
        <f t="array" ref="H36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362" s="78" t="str" cm="1">
        <f t="array" ref="I36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363" spans="1:9" hidden="1" x14ac:dyDescent="0.3">
      <c r="A363" s="82" t="str" cm="1">
        <f t="array" ref="A36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363" s="79" t="e">
        <f>'BKG Bank'!#REF!</f>
        <v>#REF!</v>
      </c>
      <c r="C363" s="108" t="e">
        <f>'BKG Bank'!#REF!</f>
        <v>#REF!</v>
      </c>
      <c r="D363" s="79" t="str" cm="1">
        <f t="array" ref="D36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363" s="79" t="str" cm="1">
        <f t="array" ref="E36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363" s="80" t="str" cm="1">
        <f t="array" ref="F36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363" s="80" t="str" cm="1">
        <f t="array" ref="G36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363" s="80" t="str" cm="1">
        <f t="array" ref="H36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363" s="78" t="str" cm="1">
        <f t="array" ref="I36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364" spans="1:9" hidden="1" x14ac:dyDescent="0.3">
      <c r="A364" s="82" t="str" cm="1">
        <f t="array" ref="A36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364" s="79" t="e">
        <f>'BKG Bank'!#REF!</f>
        <v>#REF!</v>
      </c>
      <c r="C364" s="108" t="e">
        <f>'BKG Bank'!#REF!</f>
        <v>#REF!</v>
      </c>
      <c r="D364" s="79" t="str" cm="1">
        <f t="array" ref="D36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364" s="79" t="str" cm="1">
        <f t="array" ref="E36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364" s="80" t="str" cm="1">
        <f t="array" ref="F36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364" s="80" t="str" cm="1">
        <f t="array" ref="G36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364" s="80" t="str" cm="1">
        <f t="array" ref="H36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364" s="78" t="str" cm="1">
        <f t="array" ref="I36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365" spans="1:9" hidden="1" x14ac:dyDescent="0.3">
      <c r="A365" s="82" t="str" cm="1">
        <f t="array" ref="A36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365" s="79" t="e">
        <f>'BKG Bank'!#REF!</f>
        <v>#REF!</v>
      </c>
      <c r="C365" s="108" t="e">
        <f>'BKG Bank'!#REF!</f>
        <v>#REF!</v>
      </c>
      <c r="D365" s="79" t="str" cm="1">
        <f t="array" ref="D36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365" s="79" t="str" cm="1">
        <f t="array" ref="E36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365" s="80" t="str" cm="1">
        <f t="array" ref="F36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365" s="80" t="str" cm="1">
        <f t="array" ref="G36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365" s="80" t="str" cm="1">
        <f t="array" ref="H36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365" s="78" t="str" cm="1">
        <f t="array" ref="I36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366" spans="1:9" hidden="1" x14ac:dyDescent="0.3">
      <c r="A366" s="82" t="str" cm="1">
        <f t="array" ref="A36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366" s="79" t="e">
        <f>'BKG Bank'!#REF!</f>
        <v>#REF!</v>
      </c>
      <c r="C366" s="108" t="e">
        <f>'BKG Bank'!#REF!</f>
        <v>#REF!</v>
      </c>
      <c r="D366" s="79" t="str" cm="1">
        <f t="array" ref="D36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366" s="79" t="str" cm="1">
        <f t="array" ref="E36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366" s="80" t="str" cm="1">
        <f t="array" ref="F36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366" s="80" t="str" cm="1">
        <f t="array" ref="G36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366" s="80" t="str" cm="1">
        <f t="array" ref="H36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366" s="78" t="str" cm="1">
        <f t="array" ref="I36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367" spans="1:9" hidden="1" x14ac:dyDescent="0.3">
      <c r="A367" s="82" t="str" cm="1">
        <f t="array" ref="A36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367" s="79" t="e">
        <f>'BKG Bank'!#REF!</f>
        <v>#REF!</v>
      </c>
      <c r="C367" s="108" t="e">
        <f>'BKG Bank'!#REF!</f>
        <v>#REF!</v>
      </c>
      <c r="D367" s="79" t="str" cm="1">
        <f t="array" ref="D36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367" s="79" t="str" cm="1">
        <f t="array" ref="E36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367" s="80" t="str" cm="1">
        <f t="array" ref="F36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367" s="80" t="str" cm="1">
        <f t="array" ref="G36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367" s="80" t="str" cm="1">
        <f t="array" ref="H36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367" s="78" t="str" cm="1">
        <f t="array" ref="I36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368" spans="1:9" hidden="1" x14ac:dyDescent="0.3">
      <c r="A368" s="82" t="str" cm="1">
        <f t="array" ref="A36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368" s="79" t="e">
        <f>'BKG Bank'!#REF!</f>
        <v>#REF!</v>
      </c>
      <c r="C368" s="108" t="e">
        <f>'BKG Bank'!#REF!</f>
        <v>#REF!</v>
      </c>
      <c r="D368" s="79" t="str" cm="1">
        <f t="array" ref="D36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368" s="79" t="str" cm="1">
        <f t="array" ref="E36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368" s="80" t="str" cm="1">
        <f t="array" ref="F36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368" s="80" t="str" cm="1">
        <f t="array" ref="G36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368" s="80" t="str" cm="1">
        <f t="array" ref="H36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368" s="78" t="str" cm="1">
        <f t="array" ref="I36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369" spans="1:9" hidden="1" x14ac:dyDescent="0.3">
      <c r="A369" s="82" t="str" cm="1">
        <f t="array" ref="A36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369" s="79" t="e">
        <f>'BKG Bank'!#REF!</f>
        <v>#REF!</v>
      </c>
      <c r="C369" s="108" t="e">
        <f>'BKG Bank'!#REF!</f>
        <v>#REF!</v>
      </c>
      <c r="D369" s="79" t="str" cm="1">
        <f t="array" ref="D36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369" s="79" t="str" cm="1">
        <f t="array" ref="E36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369" s="80" t="str" cm="1">
        <f t="array" ref="F36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369" s="80" t="str" cm="1">
        <f t="array" ref="G36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369" s="80" t="str" cm="1">
        <f t="array" ref="H36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369" s="78" t="str" cm="1">
        <f t="array" ref="I36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370" spans="1:9" hidden="1" x14ac:dyDescent="0.3">
      <c r="A370" s="82" t="str" cm="1">
        <f t="array" ref="A37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370" s="79" t="e">
        <f>'BKG Bank'!#REF!</f>
        <v>#REF!</v>
      </c>
      <c r="C370" s="108" t="e">
        <f>'BKG Bank'!#REF!</f>
        <v>#REF!</v>
      </c>
      <c r="D370" s="79" t="str" cm="1">
        <f t="array" ref="D37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370" s="79" t="str" cm="1">
        <f t="array" ref="E37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370" s="80" t="str" cm="1">
        <f t="array" ref="F37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370" s="80" t="str" cm="1">
        <f t="array" ref="G37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370" s="80" t="str" cm="1">
        <f t="array" ref="H37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370" s="78" t="str" cm="1">
        <f t="array" ref="I37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371" spans="1:9" hidden="1" x14ac:dyDescent="0.3">
      <c r="A371" s="82" t="str" cm="1">
        <f t="array" ref="A37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371" s="79" t="e">
        <f>'BKG Bank'!#REF!</f>
        <v>#REF!</v>
      </c>
      <c r="C371" s="108" t="e">
        <f>'BKG Bank'!#REF!</f>
        <v>#REF!</v>
      </c>
      <c r="D371" s="79" t="str" cm="1">
        <f t="array" ref="D37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371" s="79" t="str" cm="1">
        <f t="array" ref="E37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371" s="80" t="str" cm="1">
        <f t="array" ref="F37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371" s="80" t="str" cm="1">
        <f t="array" ref="G37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371" s="80" t="str" cm="1">
        <f t="array" ref="H37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371" s="78" t="str" cm="1">
        <f t="array" ref="I37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372" spans="1:9" hidden="1" x14ac:dyDescent="0.3">
      <c r="A372" s="82" t="str" cm="1">
        <f t="array" ref="A37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372" s="79" t="e">
        <f>'BKG Bank'!#REF!</f>
        <v>#REF!</v>
      </c>
      <c r="C372" s="108" t="e">
        <f>'BKG Bank'!#REF!</f>
        <v>#REF!</v>
      </c>
      <c r="D372" s="79" t="str" cm="1">
        <f t="array" ref="D37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372" s="79" t="str" cm="1">
        <f t="array" ref="E37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372" s="80" t="str" cm="1">
        <f t="array" ref="F37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372" s="80" t="str" cm="1">
        <f t="array" ref="G37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372" s="80" t="str" cm="1">
        <f t="array" ref="H37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372" s="78" t="str" cm="1">
        <f t="array" ref="I37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373" spans="1:9" hidden="1" x14ac:dyDescent="0.3">
      <c r="A373" s="82" t="str" cm="1">
        <f t="array" ref="A37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373" s="79" t="e">
        <f>'BKG Bank'!#REF!</f>
        <v>#REF!</v>
      </c>
      <c r="C373" s="108" t="e">
        <f>'BKG Bank'!#REF!</f>
        <v>#REF!</v>
      </c>
      <c r="D373" s="79" t="str" cm="1">
        <f t="array" ref="D37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373" s="79" t="str" cm="1">
        <f t="array" ref="E37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373" s="80" t="str" cm="1">
        <f t="array" ref="F37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373" s="80" t="str" cm="1">
        <f t="array" ref="G37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373" s="80" t="str" cm="1">
        <f t="array" ref="H37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373" s="78" t="str" cm="1">
        <f t="array" ref="I37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374" spans="1:9" hidden="1" x14ac:dyDescent="0.3">
      <c r="A374" s="82" t="str" cm="1">
        <f t="array" ref="A37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374" s="79" t="e">
        <f>'BKG Bank'!#REF!</f>
        <v>#REF!</v>
      </c>
      <c r="C374" s="108" t="e">
        <f>'BKG Bank'!#REF!</f>
        <v>#REF!</v>
      </c>
      <c r="D374" s="79" t="str" cm="1">
        <f t="array" ref="D37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374" s="79" t="str" cm="1">
        <f t="array" ref="E37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374" s="80" t="str" cm="1">
        <f t="array" ref="F37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374" s="80" t="str" cm="1">
        <f t="array" ref="G37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374" s="80" t="str" cm="1">
        <f t="array" ref="H37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374" s="78" t="str" cm="1">
        <f t="array" ref="I37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375" spans="1:9" hidden="1" x14ac:dyDescent="0.3">
      <c r="A375" s="82" t="str" cm="1">
        <f t="array" ref="A37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375" s="79" t="e">
        <f>'BKG Bank'!#REF!</f>
        <v>#REF!</v>
      </c>
      <c r="C375" s="108" t="e">
        <f>'BKG Bank'!#REF!</f>
        <v>#REF!</v>
      </c>
      <c r="D375" s="79" t="str" cm="1">
        <f t="array" ref="D37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375" s="79" t="str" cm="1">
        <f t="array" ref="E37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375" s="80" t="str" cm="1">
        <f t="array" ref="F37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375" s="80" t="str" cm="1">
        <f t="array" ref="G37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375" s="80" t="str" cm="1">
        <f t="array" ref="H37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375" s="78" t="str" cm="1">
        <f t="array" ref="I37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376" spans="1:9" hidden="1" x14ac:dyDescent="0.3">
      <c r="A376" s="82" t="str" cm="1">
        <f t="array" ref="A37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376" s="79" t="e">
        <f>'BKG Bank'!#REF!</f>
        <v>#REF!</v>
      </c>
      <c r="C376" s="108" t="e">
        <f>'BKG Bank'!#REF!</f>
        <v>#REF!</v>
      </c>
      <c r="D376" s="79" t="str" cm="1">
        <f t="array" ref="D37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376" s="79" t="str" cm="1">
        <f t="array" ref="E37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376" s="80" t="str" cm="1">
        <f t="array" ref="F37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376" s="80" t="str" cm="1">
        <f t="array" ref="G37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376" s="80" t="str" cm="1">
        <f t="array" ref="H37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376" s="78" t="str" cm="1">
        <f t="array" ref="I37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377" spans="1:9" hidden="1" x14ac:dyDescent="0.3">
      <c r="A377" s="82" t="str" cm="1">
        <f t="array" ref="A37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377" s="79" t="e">
        <f>'BKG Bank'!#REF!</f>
        <v>#REF!</v>
      </c>
      <c r="C377" s="108" t="e">
        <f>'BKG Bank'!#REF!</f>
        <v>#REF!</v>
      </c>
      <c r="D377" s="79" t="str" cm="1">
        <f t="array" ref="D37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377" s="79" t="str" cm="1">
        <f t="array" ref="E37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377" s="80" t="str" cm="1">
        <f t="array" ref="F37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377" s="80" t="str" cm="1">
        <f t="array" ref="G37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377" s="80" t="str" cm="1">
        <f t="array" ref="H37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377" s="78" t="str" cm="1">
        <f t="array" ref="I37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378" spans="1:9" hidden="1" x14ac:dyDescent="0.3">
      <c r="A378" s="82" t="str" cm="1">
        <f t="array" ref="A37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378" s="79" t="e">
        <f>'BKG Bank'!#REF!</f>
        <v>#REF!</v>
      </c>
      <c r="C378" s="108" t="e">
        <f>'BKG Bank'!#REF!</f>
        <v>#REF!</v>
      </c>
      <c r="D378" s="79" t="str" cm="1">
        <f t="array" ref="D37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378" s="79" t="str" cm="1">
        <f t="array" ref="E37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378" s="80" t="str" cm="1">
        <f t="array" ref="F37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378" s="80" t="str" cm="1">
        <f t="array" ref="G37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378" s="80" t="str" cm="1">
        <f t="array" ref="H37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378" s="78" t="str" cm="1">
        <f t="array" ref="I37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379" spans="1:9" hidden="1" x14ac:dyDescent="0.3">
      <c r="A379" s="82" t="str" cm="1">
        <f t="array" ref="A37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379" s="79" t="e">
        <f>'BKG Bank'!#REF!</f>
        <v>#REF!</v>
      </c>
      <c r="C379" s="108" t="e">
        <f>'BKG Bank'!#REF!</f>
        <v>#REF!</v>
      </c>
      <c r="D379" s="79" t="str" cm="1">
        <f t="array" ref="D37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379" s="79" t="str" cm="1">
        <f t="array" ref="E37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379" s="80" t="str" cm="1">
        <f t="array" ref="F37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379" s="80" t="str" cm="1">
        <f t="array" ref="G37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379" s="80" t="str" cm="1">
        <f t="array" ref="H37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379" s="78" t="str" cm="1">
        <f t="array" ref="I37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380" spans="1:9" hidden="1" x14ac:dyDescent="0.3">
      <c r="A380" s="82" t="str" cm="1">
        <f t="array" ref="A38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380" s="79" t="e">
        <f>'BKG Bank'!#REF!</f>
        <v>#REF!</v>
      </c>
      <c r="C380" s="108" t="e">
        <f>'BKG Bank'!#REF!</f>
        <v>#REF!</v>
      </c>
      <c r="D380" s="79" t="str" cm="1">
        <f t="array" ref="D38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380" s="79" t="str" cm="1">
        <f t="array" ref="E38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380" s="80" t="str" cm="1">
        <f t="array" ref="F38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380" s="80" t="str" cm="1">
        <f t="array" ref="G38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380" s="80" t="str" cm="1">
        <f t="array" ref="H38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380" s="78" t="str" cm="1">
        <f t="array" ref="I38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381" spans="1:9" hidden="1" x14ac:dyDescent="0.3">
      <c r="A381" s="82" t="str" cm="1">
        <f t="array" ref="A38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381" s="79" t="e">
        <f>'BKG Bank'!#REF!</f>
        <v>#REF!</v>
      </c>
      <c r="C381" s="108" t="e">
        <f>'BKG Bank'!#REF!</f>
        <v>#REF!</v>
      </c>
      <c r="D381" s="79" t="str" cm="1">
        <f t="array" ref="D38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381" s="79" t="str" cm="1">
        <f t="array" ref="E38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381" s="80" t="str" cm="1">
        <f t="array" ref="F38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381" s="80" t="str" cm="1">
        <f t="array" ref="G38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381" s="80" t="str" cm="1">
        <f t="array" ref="H38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381" s="78" t="str" cm="1">
        <f t="array" ref="I38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382" spans="1:9" hidden="1" x14ac:dyDescent="0.3">
      <c r="A382" s="82" t="str" cm="1">
        <f t="array" ref="A38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382" s="79" t="e">
        <f>'BKG Bank'!#REF!</f>
        <v>#REF!</v>
      </c>
      <c r="C382" s="108" t="e">
        <f>'BKG Bank'!#REF!</f>
        <v>#REF!</v>
      </c>
      <c r="D382" s="79" t="str" cm="1">
        <f t="array" ref="D38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382" s="79" t="str" cm="1">
        <f t="array" ref="E38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382" s="80" t="str" cm="1">
        <f t="array" ref="F38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382" s="80" t="str" cm="1">
        <f t="array" ref="G38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382" s="80" t="str" cm="1">
        <f t="array" ref="H38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382" s="78" t="str" cm="1">
        <f t="array" ref="I38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383" spans="1:9" hidden="1" x14ac:dyDescent="0.3">
      <c r="A383" s="82" t="str" cm="1">
        <f t="array" ref="A38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383" s="79" t="e">
        <f>'BKG Bank'!#REF!</f>
        <v>#REF!</v>
      </c>
      <c r="C383" s="108" t="e">
        <f>'BKG Bank'!#REF!</f>
        <v>#REF!</v>
      </c>
      <c r="D383" s="79" t="str" cm="1">
        <f t="array" ref="D38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383" s="79" t="str" cm="1">
        <f t="array" ref="E38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383" s="80" t="str" cm="1">
        <f t="array" ref="F38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383" s="80" t="str" cm="1">
        <f t="array" ref="G38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383" s="80" t="str" cm="1">
        <f t="array" ref="H38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383" s="78" t="str" cm="1">
        <f t="array" ref="I38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384" spans="1:9" hidden="1" x14ac:dyDescent="0.3">
      <c r="A384" s="82" t="str" cm="1">
        <f t="array" ref="A38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384" s="79" t="e">
        <f>'BKG Bank'!#REF!</f>
        <v>#REF!</v>
      </c>
      <c r="C384" s="108" t="e">
        <f>'BKG Bank'!#REF!</f>
        <v>#REF!</v>
      </c>
      <c r="D384" s="79" t="str" cm="1">
        <f t="array" ref="D38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384" s="79" t="str" cm="1">
        <f t="array" ref="E38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384" s="80" t="str" cm="1">
        <f t="array" ref="F38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384" s="80" t="str" cm="1">
        <f t="array" ref="G38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384" s="80" t="str" cm="1">
        <f t="array" ref="H38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384" s="78" t="str" cm="1">
        <f t="array" ref="I38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385" spans="1:9" hidden="1" x14ac:dyDescent="0.3">
      <c r="A385" s="82" t="str" cm="1">
        <f t="array" ref="A38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385" s="79" t="e">
        <f>'BKG Bank'!#REF!</f>
        <v>#REF!</v>
      </c>
      <c r="C385" s="108" t="e">
        <f>'BKG Bank'!#REF!</f>
        <v>#REF!</v>
      </c>
      <c r="D385" s="79" t="str" cm="1">
        <f t="array" ref="D38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385" s="79" t="str" cm="1">
        <f t="array" ref="E38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385" s="80" t="str" cm="1">
        <f t="array" ref="F38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385" s="80" t="str" cm="1">
        <f t="array" ref="G38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385" s="80" t="str" cm="1">
        <f t="array" ref="H38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385" s="78" t="str" cm="1">
        <f t="array" ref="I38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386" spans="1:9" hidden="1" x14ac:dyDescent="0.3">
      <c r="A386" s="82" t="str" cm="1">
        <f t="array" ref="A38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386" s="79" t="e">
        <f>'BKG Bank'!#REF!</f>
        <v>#REF!</v>
      </c>
      <c r="C386" s="108" t="e">
        <f>'BKG Bank'!#REF!</f>
        <v>#REF!</v>
      </c>
      <c r="D386" s="79" t="str" cm="1">
        <f t="array" ref="D38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386" s="79" t="str" cm="1">
        <f t="array" ref="E38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386" s="80" t="str" cm="1">
        <f t="array" ref="F38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386" s="80" t="str" cm="1">
        <f t="array" ref="G38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386" s="80" t="str" cm="1">
        <f t="array" ref="H38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386" s="78" t="str" cm="1">
        <f t="array" ref="I38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387" spans="1:9" hidden="1" x14ac:dyDescent="0.3">
      <c r="A387" s="82" t="str" cm="1">
        <f t="array" ref="A38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387" s="79" t="e">
        <f>'BKG Bank'!#REF!</f>
        <v>#REF!</v>
      </c>
      <c r="C387" s="108" t="e">
        <f>'BKG Bank'!#REF!</f>
        <v>#REF!</v>
      </c>
      <c r="D387" s="79" t="str" cm="1">
        <f t="array" ref="D38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387" s="79" t="str" cm="1">
        <f t="array" ref="E38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387" s="80" t="str" cm="1">
        <f t="array" ref="F38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387" s="80" t="str" cm="1">
        <f t="array" ref="G38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387" s="80" t="str" cm="1">
        <f t="array" ref="H38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387" s="78" t="str" cm="1">
        <f t="array" ref="I38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388" spans="1:9" hidden="1" x14ac:dyDescent="0.3">
      <c r="A388" s="82" t="str" cm="1">
        <f t="array" ref="A38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388" s="79" t="e">
        <f>'BKG Bank'!#REF!</f>
        <v>#REF!</v>
      </c>
      <c r="C388" s="108" t="e">
        <f>'BKG Bank'!#REF!</f>
        <v>#REF!</v>
      </c>
      <c r="D388" s="79" t="str" cm="1">
        <f t="array" ref="D38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388" s="79" t="str" cm="1">
        <f t="array" ref="E38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388" s="80" t="str" cm="1">
        <f t="array" ref="F38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388" s="80" t="str" cm="1">
        <f t="array" ref="G38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388" s="80" t="str" cm="1">
        <f t="array" ref="H38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388" s="78" t="str" cm="1">
        <f t="array" ref="I38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389" spans="1:9" hidden="1" x14ac:dyDescent="0.3">
      <c r="A389" s="82" t="str" cm="1">
        <f t="array" ref="A38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389" s="79" t="e">
        <f>'BKG Bank'!#REF!</f>
        <v>#REF!</v>
      </c>
      <c r="C389" s="108" t="e">
        <f>'BKG Bank'!#REF!</f>
        <v>#REF!</v>
      </c>
      <c r="D389" s="79" t="str" cm="1">
        <f t="array" ref="D38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389" s="79" t="str" cm="1">
        <f t="array" ref="E38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389" s="80" t="str" cm="1">
        <f t="array" ref="F38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389" s="80" t="str" cm="1">
        <f t="array" ref="G38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389" s="80" t="str" cm="1">
        <f t="array" ref="H38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389" s="78" t="str" cm="1">
        <f t="array" ref="I38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390" spans="1:9" hidden="1" x14ac:dyDescent="0.3">
      <c r="A390" s="82" t="str" cm="1">
        <f t="array" ref="A39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390" s="79" t="e">
        <f>'BKG Bank'!#REF!</f>
        <v>#REF!</v>
      </c>
      <c r="C390" s="108" t="e">
        <f>'BKG Bank'!#REF!</f>
        <v>#REF!</v>
      </c>
      <c r="D390" s="79" t="str" cm="1">
        <f t="array" ref="D39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390" s="79" t="str" cm="1">
        <f t="array" ref="E39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390" s="80" t="str" cm="1">
        <f t="array" ref="F39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390" s="80" t="str" cm="1">
        <f t="array" ref="G39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390" s="80" t="str" cm="1">
        <f t="array" ref="H39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390" s="78" t="str" cm="1">
        <f t="array" ref="I39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391" spans="1:9" hidden="1" x14ac:dyDescent="0.3">
      <c r="A391" s="82" t="str" cm="1">
        <f t="array" ref="A39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391" s="79" t="e">
        <f>'BKG Bank'!#REF!</f>
        <v>#REF!</v>
      </c>
      <c r="C391" s="108" t="e">
        <f>'BKG Bank'!#REF!</f>
        <v>#REF!</v>
      </c>
      <c r="D391" s="79" t="str" cm="1">
        <f t="array" ref="D39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391" s="79" t="str" cm="1">
        <f t="array" ref="E39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391" s="80" t="str" cm="1">
        <f t="array" ref="F39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391" s="80" t="str" cm="1">
        <f t="array" ref="G39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391" s="80" t="str" cm="1">
        <f t="array" ref="H39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391" s="78" t="str" cm="1">
        <f t="array" ref="I39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392" spans="1:9" hidden="1" x14ac:dyDescent="0.3">
      <c r="A392" s="82" t="str" cm="1">
        <f t="array" ref="A39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392" s="79" t="e">
        <f>'BKG Bank'!#REF!</f>
        <v>#REF!</v>
      </c>
      <c r="C392" s="108" t="e">
        <f>'BKG Bank'!#REF!</f>
        <v>#REF!</v>
      </c>
      <c r="D392" s="79" t="str" cm="1">
        <f t="array" ref="D39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392" s="79" t="str" cm="1">
        <f t="array" ref="E39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392" s="80" t="str" cm="1">
        <f t="array" ref="F39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392" s="80" t="str" cm="1">
        <f t="array" ref="G39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392" s="80" t="str" cm="1">
        <f t="array" ref="H39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392" s="78" t="str" cm="1">
        <f t="array" ref="I39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393" spans="1:9" hidden="1" x14ac:dyDescent="0.3">
      <c r="A393" s="82" t="str" cm="1">
        <f t="array" ref="A39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393" s="79" t="e">
        <f>'BKG Bank'!#REF!</f>
        <v>#REF!</v>
      </c>
      <c r="C393" s="108" t="e">
        <f>'BKG Bank'!#REF!</f>
        <v>#REF!</v>
      </c>
      <c r="D393" s="79" t="str" cm="1">
        <f t="array" ref="D39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393" s="79" t="str" cm="1">
        <f t="array" ref="E39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393" s="80" t="str" cm="1">
        <f t="array" ref="F39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393" s="80" t="str" cm="1">
        <f t="array" ref="G39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393" s="80" t="str" cm="1">
        <f t="array" ref="H39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393" s="78" t="str" cm="1">
        <f t="array" ref="I39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394" spans="1:9" hidden="1" x14ac:dyDescent="0.3">
      <c r="A394" s="82" t="str" cm="1">
        <f t="array" ref="A39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394" s="79" t="e">
        <f>'BKG Bank'!#REF!</f>
        <v>#REF!</v>
      </c>
      <c r="C394" s="108" t="e">
        <f>'BKG Bank'!#REF!</f>
        <v>#REF!</v>
      </c>
      <c r="D394" s="79" t="str" cm="1">
        <f t="array" ref="D39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394" s="79" t="str" cm="1">
        <f t="array" ref="E39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394" s="80" t="str" cm="1">
        <f t="array" ref="F39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394" s="80" t="str" cm="1">
        <f t="array" ref="G39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394" s="80" t="str" cm="1">
        <f t="array" ref="H39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394" s="78" t="str" cm="1">
        <f t="array" ref="I39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395" spans="1:9" hidden="1" x14ac:dyDescent="0.3">
      <c r="A395" s="82" t="str" cm="1">
        <f t="array" ref="A39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395" s="79" t="e">
        <f>'BKG Bank'!#REF!</f>
        <v>#REF!</v>
      </c>
      <c r="C395" s="108" t="e">
        <f>'BKG Bank'!#REF!</f>
        <v>#REF!</v>
      </c>
      <c r="D395" s="79" t="str" cm="1">
        <f t="array" ref="D39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395" s="79" t="str" cm="1">
        <f t="array" ref="E39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395" s="80" t="str" cm="1">
        <f t="array" ref="F39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395" s="80" t="str" cm="1">
        <f t="array" ref="G39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395" s="80" t="str" cm="1">
        <f t="array" ref="H39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395" s="78" t="str" cm="1">
        <f t="array" ref="I39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396" spans="1:9" hidden="1" x14ac:dyDescent="0.3">
      <c r="A396" s="82" t="str" cm="1">
        <f t="array" ref="A39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396" s="79" t="e">
        <f>'BKG Bank'!#REF!</f>
        <v>#REF!</v>
      </c>
      <c r="C396" s="108" t="e">
        <f>'BKG Bank'!#REF!</f>
        <v>#REF!</v>
      </c>
      <c r="D396" s="79" t="str" cm="1">
        <f t="array" ref="D39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396" s="79" t="str" cm="1">
        <f t="array" ref="E39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396" s="80" t="str" cm="1">
        <f t="array" ref="F39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396" s="80" t="str" cm="1">
        <f t="array" ref="G39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396" s="80" t="str" cm="1">
        <f t="array" ref="H39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396" s="78" t="str" cm="1">
        <f t="array" ref="I39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397" spans="1:9" hidden="1" x14ac:dyDescent="0.3">
      <c r="A397" s="82" t="str" cm="1">
        <f t="array" ref="A39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397" s="79" t="e">
        <f>'BKG Bank'!#REF!</f>
        <v>#REF!</v>
      </c>
      <c r="C397" s="108" t="e">
        <f>'BKG Bank'!#REF!</f>
        <v>#REF!</v>
      </c>
      <c r="D397" s="79" t="str" cm="1">
        <f t="array" ref="D39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397" s="79" t="str" cm="1">
        <f t="array" ref="E39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397" s="80" t="str" cm="1">
        <f t="array" ref="F39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397" s="80" t="str" cm="1">
        <f t="array" ref="G39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397" s="80" t="str" cm="1">
        <f t="array" ref="H39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397" s="78" t="str" cm="1">
        <f t="array" ref="I39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398" spans="1:9" hidden="1" x14ac:dyDescent="0.3">
      <c r="A398" s="82" t="str" cm="1">
        <f t="array" ref="A39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398" s="79" t="e">
        <f>'BKG Bank'!#REF!</f>
        <v>#REF!</v>
      </c>
      <c r="C398" s="108" t="e">
        <f>'BKG Bank'!#REF!</f>
        <v>#REF!</v>
      </c>
      <c r="D398" s="79" t="str" cm="1">
        <f t="array" ref="D39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398" s="79" t="str" cm="1">
        <f t="array" ref="E39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398" s="80" t="str" cm="1">
        <f t="array" ref="F39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398" s="80" t="str" cm="1">
        <f t="array" ref="G39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398" s="80" t="str" cm="1">
        <f t="array" ref="H39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398" s="78" t="str" cm="1">
        <f t="array" ref="I39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399" spans="1:9" hidden="1" x14ac:dyDescent="0.3">
      <c r="A399" s="82" t="str" cm="1">
        <f t="array" ref="A39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399" s="79" t="e">
        <f>'BKG Bank'!#REF!</f>
        <v>#REF!</v>
      </c>
      <c r="C399" s="108" t="e">
        <f>'BKG Bank'!#REF!</f>
        <v>#REF!</v>
      </c>
      <c r="D399" s="79" t="str" cm="1">
        <f t="array" ref="D39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399" s="79" t="str" cm="1">
        <f t="array" ref="E39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399" s="80" t="str" cm="1">
        <f t="array" ref="F39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399" s="80" t="str" cm="1">
        <f t="array" ref="G39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399" s="80" t="str" cm="1">
        <f t="array" ref="H39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399" s="78" t="str" cm="1">
        <f t="array" ref="I39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400" spans="1:9" hidden="1" x14ac:dyDescent="0.3">
      <c r="A400" s="82" t="str" cm="1">
        <f t="array" ref="A40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400" s="79" t="e">
        <f>'BKG Bank'!#REF!</f>
        <v>#REF!</v>
      </c>
      <c r="C400" s="108" t="e">
        <f>'BKG Bank'!#REF!</f>
        <v>#REF!</v>
      </c>
      <c r="D400" s="79" t="str" cm="1">
        <f t="array" ref="D40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400" s="79" t="str" cm="1">
        <f t="array" ref="E40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400" s="80" t="str" cm="1">
        <f t="array" ref="F40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400" s="80" t="str" cm="1">
        <f t="array" ref="G40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400" s="80" t="str" cm="1">
        <f t="array" ref="H40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400" s="78" t="str" cm="1">
        <f t="array" ref="I40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401" spans="1:9" hidden="1" x14ac:dyDescent="0.3">
      <c r="A401" s="82" t="str" cm="1">
        <f t="array" ref="A40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401" s="79" t="e">
        <f>'BKG Bank'!#REF!</f>
        <v>#REF!</v>
      </c>
      <c r="C401" s="108" t="e">
        <f>'BKG Bank'!#REF!</f>
        <v>#REF!</v>
      </c>
      <c r="D401" s="79" t="str" cm="1">
        <f t="array" ref="D40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401" s="79" t="str" cm="1">
        <f t="array" ref="E40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401" s="80" t="str" cm="1">
        <f t="array" ref="F40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401" s="80" t="str" cm="1">
        <f t="array" ref="G40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401" s="80" t="str" cm="1">
        <f t="array" ref="H40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401" s="78" t="str" cm="1">
        <f t="array" ref="I40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402" spans="1:9" hidden="1" x14ac:dyDescent="0.3">
      <c r="A402" s="82" t="str" cm="1">
        <f t="array" ref="A40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402" s="79" t="e">
        <f>'BKG Bank'!#REF!</f>
        <v>#REF!</v>
      </c>
      <c r="C402" s="108" t="e">
        <f>'BKG Bank'!#REF!</f>
        <v>#REF!</v>
      </c>
      <c r="D402" s="79" t="str" cm="1">
        <f t="array" ref="D40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402" s="79" t="str" cm="1">
        <f t="array" ref="E40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402" s="80" t="str" cm="1">
        <f t="array" ref="F40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402" s="80" t="str" cm="1">
        <f t="array" ref="G40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402" s="80" t="str" cm="1">
        <f t="array" ref="H40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402" s="78" t="str" cm="1">
        <f t="array" ref="I40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403" spans="1:9" hidden="1" x14ac:dyDescent="0.3">
      <c r="A403" s="82" t="str" cm="1">
        <f t="array" ref="A40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403" s="79" t="e">
        <f>'BKG Bank'!#REF!</f>
        <v>#REF!</v>
      </c>
      <c r="C403" s="108" t="e">
        <f>'BKG Bank'!#REF!</f>
        <v>#REF!</v>
      </c>
      <c r="D403" s="79" t="str" cm="1">
        <f t="array" ref="D40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403" s="79" t="str" cm="1">
        <f t="array" ref="E40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403" s="80" t="str" cm="1">
        <f t="array" ref="F40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403" s="80" t="str" cm="1">
        <f t="array" ref="G40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403" s="80" t="str" cm="1">
        <f t="array" ref="H40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403" s="78" t="str" cm="1">
        <f t="array" ref="I40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404" spans="1:9" hidden="1" x14ac:dyDescent="0.3">
      <c r="A404" s="82" t="str" cm="1">
        <f t="array" ref="A40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404" s="79" t="e">
        <f>'BKG Bank'!#REF!</f>
        <v>#REF!</v>
      </c>
      <c r="C404" s="108" t="e">
        <f>'BKG Bank'!#REF!</f>
        <v>#REF!</v>
      </c>
      <c r="D404" s="79" t="str" cm="1">
        <f t="array" ref="D40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404" s="79" t="str" cm="1">
        <f t="array" ref="E40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404" s="80" t="str" cm="1">
        <f t="array" ref="F40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404" s="80" t="str" cm="1">
        <f t="array" ref="G40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404" s="80" t="str" cm="1">
        <f t="array" ref="H40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404" s="78" t="str" cm="1">
        <f t="array" ref="I40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405" spans="1:9" hidden="1" x14ac:dyDescent="0.3">
      <c r="A405" s="82" t="str" cm="1">
        <f t="array" ref="A40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405" s="79" t="e">
        <f>'BKG Bank'!#REF!</f>
        <v>#REF!</v>
      </c>
      <c r="C405" s="108" t="e">
        <f>'BKG Bank'!#REF!</f>
        <v>#REF!</v>
      </c>
      <c r="D405" s="79" t="str" cm="1">
        <f t="array" ref="D40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405" s="79" t="str" cm="1">
        <f t="array" ref="E40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405" s="80" t="str" cm="1">
        <f t="array" ref="F40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405" s="80" t="str" cm="1">
        <f t="array" ref="G40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405" s="80" t="str" cm="1">
        <f t="array" ref="H40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405" s="78" t="str" cm="1">
        <f t="array" ref="I40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406" spans="1:9" hidden="1" x14ac:dyDescent="0.3">
      <c r="A406" s="82" t="str" cm="1">
        <f t="array" ref="A40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406" s="79" t="e">
        <f>'BKG Bank'!#REF!</f>
        <v>#REF!</v>
      </c>
      <c r="C406" s="108" t="e">
        <f>'BKG Bank'!#REF!</f>
        <v>#REF!</v>
      </c>
      <c r="D406" s="79" t="str" cm="1">
        <f t="array" ref="D40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406" s="79" t="str" cm="1">
        <f t="array" ref="E40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406" s="80" t="str" cm="1">
        <f t="array" ref="F40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406" s="80" t="str" cm="1">
        <f t="array" ref="G40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406" s="80" t="str" cm="1">
        <f t="array" ref="H40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406" s="78" t="str" cm="1">
        <f t="array" ref="I40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407" spans="1:9" hidden="1" x14ac:dyDescent="0.3">
      <c r="A407" s="82" t="str" cm="1">
        <f t="array" ref="A40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407" s="79" t="e">
        <f>'BKG Bank'!#REF!</f>
        <v>#REF!</v>
      </c>
      <c r="C407" s="108" t="e">
        <f>'BKG Bank'!#REF!</f>
        <v>#REF!</v>
      </c>
      <c r="D407" s="79" t="str" cm="1">
        <f t="array" ref="D40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407" s="79" t="str" cm="1">
        <f t="array" ref="E40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407" s="80" t="str" cm="1">
        <f t="array" ref="F40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407" s="80" t="str" cm="1">
        <f t="array" ref="G40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407" s="80" t="str" cm="1">
        <f t="array" ref="H40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407" s="78" t="str" cm="1">
        <f t="array" ref="I40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408" spans="1:9" hidden="1" x14ac:dyDescent="0.3">
      <c r="A408" s="82" t="str" cm="1">
        <f t="array" ref="A40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408" s="79" t="e">
        <f>'BKG Bank'!#REF!</f>
        <v>#REF!</v>
      </c>
      <c r="C408" s="108" t="e">
        <f>'BKG Bank'!#REF!</f>
        <v>#REF!</v>
      </c>
      <c r="D408" s="79" t="str" cm="1">
        <f t="array" ref="D40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408" s="79" t="str" cm="1">
        <f t="array" ref="E40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408" s="80" t="str" cm="1">
        <f t="array" ref="F40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408" s="80" t="str" cm="1">
        <f t="array" ref="G40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408" s="80" t="str" cm="1">
        <f t="array" ref="H40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408" s="78" t="str" cm="1">
        <f t="array" ref="I40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409" spans="1:9" hidden="1" x14ac:dyDescent="0.3">
      <c r="A409" s="82" t="str" cm="1">
        <f t="array" ref="A40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409" s="79" t="e">
        <f>'BKG Bank'!#REF!</f>
        <v>#REF!</v>
      </c>
      <c r="C409" s="108" t="e">
        <f>'BKG Bank'!#REF!</f>
        <v>#REF!</v>
      </c>
      <c r="D409" s="79" t="str" cm="1">
        <f t="array" ref="D40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409" s="79" t="str" cm="1">
        <f t="array" ref="E40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409" s="80" t="str" cm="1">
        <f t="array" ref="F40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409" s="80" t="str" cm="1">
        <f t="array" ref="G40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409" s="80" t="str" cm="1">
        <f t="array" ref="H40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409" s="78" t="str" cm="1">
        <f t="array" ref="I40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410" spans="1:9" hidden="1" x14ac:dyDescent="0.3">
      <c r="A410" s="82" t="str" cm="1">
        <f t="array" ref="A41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410" s="79" t="e">
        <f>'BKG Bank'!#REF!</f>
        <v>#REF!</v>
      </c>
      <c r="C410" s="108" t="e">
        <f>'BKG Bank'!#REF!</f>
        <v>#REF!</v>
      </c>
      <c r="D410" s="79" t="str" cm="1">
        <f t="array" ref="D41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410" s="79" t="str" cm="1">
        <f t="array" ref="E41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410" s="80" t="str" cm="1">
        <f t="array" ref="F41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410" s="80" t="str" cm="1">
        <f t="array" ref="G41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410" s="80" t="str" cm="1">
        <f t="array" ref="H41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410" s="78" t="str" cm="1">
        <f t="array" ref="I41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411" spans="1:9" hidden="1" x14ac:dyDescent="0.3">
      <c r="A411" s="82" t="str" cm="1">
        <f t="array" ref="A41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411" s="79" t="e">
        <f>'BKG Bank'!#REF!</f>
        <v>#REF!</v>
      </c>
      <c r="C411" s="108" t="e">
        <f>'BKG Bank'!#REF!</f>
        <v>#REF!</v>
      </c>
      <c r="D411" s="79" t="str" cm="1">
        <f t="array" ref="D41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411" s="79" t="str" cm="1">
        <f t="array" ref="E41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411" s="80" t="str" cm="1">
        <f t="array" ref="F41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411" s="80" t="str" cm="1">
        <f t="array" ref="G41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411" s="80" t="str" cm="1">
        <f t="array" ref="H41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411" s="78" t="str" cm="1">
        <f t="array" ref="I41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412" spans="1:9" hidden="1" x14ac:dyDescent="0.3">
      <c r="A412" s="82" t="str" cm="1">
        <f t="array" ref="A41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412" s="79" t="e">
        <f>'BKG Bank'!#REF!</f>
        <v>#REF!</v>
      </c>
      <c r="C412" s="108" t="e">
        <f>'BKG Bank'!#REF!</f>
        <v>#REF!</v>
      </c>
      <c r="D412" s="79" t="str" cm="1">
        <f t="array" ref="D41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412" s="79" t="str" cm="1">
        <f t="array" ref="E41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412" s="80" t="str" cm="1">
        <f t="array" ref="F41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412" s="80" t="str" cm="1">
        <f t="array" ref="G41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412" s="80" t="str" cm="1">
        <f t="array" ref="H41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412" s="78" t="str" cm="1">
        <f t="array" ref="I41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413" spans="1:9" hidden="1" x14ac:dyDescent="0.3">
      <c r="A413" s="82" t="str" cm="1">
        <f t="array" ref="A41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413" s="79" t="e">
        <f>'BKG Bank'!#REF!</f>
        <v>#REF!</v>
      </c>
      <c r="C413" s="108" t="e">
        <f>'BKG Bank'!#REF!</f>
        <v>#REF!</v>
      </c>
      <c r="D413" s="79" t="str" cm="1">
        <f t="array" ref="D41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413" s="79" t="str" cm="1">
        <f t="array" ref="E41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413" s="80" t="str" cm="1">
        <f t="array" ref="F41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413" s="80" t="str" cm="1">
        <f t="array" ref="G41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413" s="80" t="str" cm="1">
        <f t="array" ref="H41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413" s="78" t="str" cm="1">
        <f t="array" ref="I41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414" spans="1:9" hidden="1" x14ac:dyDescent="0.3">
      <c r="A414" s="82" t="str" cm="1">
        <f t="array" ref="A41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414" s="79" t="e">
        <f>'BKG Bank'!#REF!</f>
        <v>#REF!</v>
      </c>
      <c r="C414" s="108" t="e">
        <f>'BKG Bank'!#REF!</f>
        <v>#REF!</v>
      </c>
      <c r="D414" s="79" t="str" cm="1">
        <f t="array" ref="D41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414" s="79" t="str" cm="1">
        <f t="array" ref="E41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414" s="80" t="str" cm="1">
        <f t="array" ref="F41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414" s="80" t="str" cm="1">
        <f t="array" ref="G41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414" s="80" t="str" cm="1">
        <f t="array" ref="H41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414" s="78" t="str" cm="1">
        <f t="array" ref="I41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415" spans="1:9" hidden="1" x14ac:dyDescent="0.3">
      <c r="A415" s="82" t="str" cm="1">
        <f t="array" ref="A41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415" s="79" t="e">
        <f>'BKG Bank'!#REF!</f>
        <v>#REF!</v>
      </c>
      <c r="C415" s="108" t="e">
        <f>'BKG Bank'!#REF!</f>
        <v>#REF!</v>
      </c>
      <c r="D415" s="79" t="str" cm="1">
        <f t="array" ref="D41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415" s="79" t="str" cm="1">
        <f t="array" ref="E41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415" s="80" t="str" cm="1">
        <f t="array" ref="F41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415" s="80" t="str" cm="1">
        <f t="array" ref="G41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415" s="80" t="str" cm="1">
        <f t="array" ref="H41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415" s="78" t="str" cm="1">
        <f t="array" ref="I41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416" spans="1:9" hidden="1" x14ac:dyDescent="0.3">
      <c r="A416" s="82" t="str" cm="1">
        <f t="array" ref="A41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416" s="79" t="e">
        <f>'BKG Bank'!#REF!</f>
        <v>#REF!</v>
      </c>
      <c r="C416" s="108" t="e">
        <f>'BKG Bank'!#REF!</f>
        <v>#REF!</v>
      </c>
      <c r="D416" s="79" t="str" cm="1">
        <f t="array" ref="D41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416" s="79" t="str" cm="1">
        <f t="array" ref="E41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416" s="80" t="str" cm="1">
        <f t="array" ref="F41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416" s="80" t="str" cm="1">
        <f t="array" ref="G41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416" s="80" t="str" cm="1">
        <f t="array" ref="H41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416" s="78" t="str" cm="1">
        <f t="array" ref="I41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417" spans="1:9" hidden="1" x14ac:dyDescent="0.3">
      <c r="A417" s="82" t="str" cm="1">
        <f t="array" ref="A41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417" s="79" t="e">
        <f>'BKG Bank'!#REF!</f>
        <v>#REF!</v>
      </c>
      <c r="C417" s="108" t="e">
        <f>'BKG Bank'!#REF!</f>
        <v>#REF!</v>
      </c>
      <c r="D417" s="79" t="str" cm="1">
        <f t="array" ref="D41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417" s="79" t="str" cm="1">
        <f t="array" ref="E41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417" s="80" t="str" cm="1">
        <f t="array" ref="F41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417" s="80" t="str" cm="1">
        <f t="array" ref="G41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417" s="80" t="str" cm="1">
        <f t="array" ref="H41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417" s="78" t="str" cm="1">
        <f t="array" ref="I41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418" spans="1:9" hidden="1" x14ac:dyDescent="0.3">
      <c r="A418" s="82" t="str" cm="1">
        <f t="array" ref="A41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418" s="79" t="e">
        <f>'BKG Bank'!#REF!</f>
        <v>#REF!</v>
      </c>
      <c r="C418" s="108" t="e">
        <f>'BKG Bank'!#REF!</f>
        <v>#REF!</v>
      </c>
      <c r="D418" s="79" t="str" cm="1">
        <f t="array" ref="D41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418" s="79" t="str" cm="1">
        <f t="array" ref="E41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418" s="80" t="str" cm="1">
        <f t="array" ref="F41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418" s="80" t="str" cm="1">
        <f t="array" ref="G41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418" s="80" t="str" cm="1">
        <f t="array" ref="H41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418" s="78" t="str" cm="1">
        <f t="array" ref="I41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419" spans="1:9" hidden="1" x14ac:dyDescent="0.3">
      <c r="A419" s="82" t="str" cm="1">
        <f t="array" ref="A41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419" s="79" t="e">
        <f>'BKG Bank'!#REF!</f>
        <v>#REF!</v>
      </c>
      <c r="C419" s="108" t="e">
        <f>'BKG Bank'!#REF!</f>
        <v>#REF!</v>
      </c>
      <c r="D419" s="79" t="str" cm="1">
        <f t="array" ref="D41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419" s="79" t="str" cm="1">
        <f t="array" ref="E41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419" s="80" t="str" cm="1">
        <f t="array" ref="F41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419" s="80" t="str" cm="1">
        <f t="array" ref="G41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419" s="80" t="str" cm="1">
        <f t="array" ref="H41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419" s="78" t="str" cm="1">
        <f t="array" ref="I41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420" spans="1:9" hidden="1" x14ac:dyDescent="0.3">
      <c r="A420" s="82" t="str" cm="1">
        <f t="array" ref="A42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420" s="79" t="e">
        <f>'BKG Bank'!#REF!</f>
        <v>#REF!</v>
      </c>
      <c r="C420" s="108" t="e">
        <f>'BKG Bank'!#REF!</f>
        <v>#REF!</v>
      </c>
      <c r="D420" s="79" t="str" cm="1">
        <f t="array" ref="D42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420" s="79" t="str" cm="1">
        <f t="array" ref="E42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420" s="80" t="str" cm="1">
        <f t="array" ref="F42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420" s="80" t="str" cm="1">
        <f t="array" ref="G42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420" s="80" t="str" cm="1">
        <f t="array" ref="H42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420" s="78" t="str" cm="1">
        <f t="array" ref="I42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421" spans="1:9" hidden="1" x14ac:dyDescent="0.3">
      <c r="A421" s="82" t="str" cm="1">
        <f t="array" ref="A42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421" s="79" t="e">
        <f>'BKG Bank'!#REF!</f>
        <v>#REF!</v>
      </c>
      <c r="C421" s="108" t="e">
        <f>'BKG Bank'!#REF!</f>
        <v>#REF!</v>
      </c>
      <c r="D421" s="79" t="str" cm="1">
        <f t="array" ref="D42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421" s="79" t="str" cm="1">
        <f t="array" ref="E42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421" s="80" t="str" cm="1">
        <f t="array" ref="F42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421" s="80" t="str" cm="1">
        <f t="array" ref="G42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421" s="80" t="str" cm="1">
        <f t="array" ref="H42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421" s="78" t="str" cm="1">
        <f t="array" ref="I42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422" spans="1:9" hidden="1" x14ac:dyDescent="0.3">
      <c r="A422" s="82" t="str" cm="1">
        <f t="array" ref="A42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422" s="79" t="e">
        <f>'BKG Bank'!#REF!</f>
        <v>#REF!</v>
      </c>
      <c r="C422" s="108" t="e">
        <f>'BKG Bank'!#REF!</f>
        <v>#REF!</v>
      </c>
      <c r="D422" s="79" t="str" cm="1">
        <f t="array" ref="D42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422" s="79" t="str" cm="1">
        <f t="array" ref="E42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422" s="80" t="str" cm="1">
        <f t="array" ref="F42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422" s="80" t="str" cm="1">
        <f t="array" ref="G42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422" s="80" t="str" cm="1">
        <f t="array" ref="H42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422" s="78" t="str" cm="1">
        <f t="array" ref="I42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423" spans="1:9" hidden="1" x14ac:dyDescent="0.3">
      <c r="A423" s="82" t="str" cm="1">
        <f t="array" ref="A42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423" s="79" t="e">
        <f>'BKG Bank'!#REF!</f>
        <v>#REF!</v>
      </c>
      <c r="C423" s="108" t="e">
        <f>'BKG Bank'!#REF!</f>
        <v>#REF!</v>
      </c>
      <c r="D423" s="79" t="str" cm="1">
        <f t="array" ref="D42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423" s="79" t="str" cm="1">
        <f t="array" ref="E42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423" s="80" t="str" cm="1">
        <f t="array" ref="F42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423" s="80" t="str" cm="1">
        <f t="array" ref="G42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423" s="80" t="str" cm="1">
        <f t="array" ref="H42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423" s="78" t="str" cm="1">
        <f t="array" ref="I42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424" spans="1:9" hidden="1" x14ac:dyDescent="0.3">
      <c r="A424" s="82" t="str" cm="1">
        <f t="array" ref="A42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424" s="79" t="e">
        <f>'BKG Bank'!#REF!</f>
        <v>#REF!</v>
      </c>
      <c r="C424" s="108" t="e">
        <f>'BKG Bank'!#REF!</f>
        <v>#REF!</v>
      </c>
      <c r="D424" s="79" t="str" cm="1">
        <f t="array" ref="D42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424" s="79" t="str" cm="1">
        <f t="array" ref="E42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424" s="80" t="str" cm="1">
        <f t="array" ref="F42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424" s="80" t="str" cm="1">
        <f t="array" ref="G42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424" s="80" t="str" cm="1">
        <f t="array" ref="H42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424" s="78" t="str" cm="1">
        <f t="array" ref="I42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425" spans="1:9" hidden="1" x14ac:dyDescent="0.3">
      <c r="A425" s="82" t="str" cm="1">
        <f t="array" ref="A42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425" s="79" t="e">
        <f>'BKG Bank'!#REF!</f>
        <v>#REF!</v>
      </c>
      <c r="C425" s="108" t="e">
        <f>'BKG Bank'!#REF!</f>
        <v>#REF!</v>
      </c>
      <c r="D425" s="79" t="str" cm="1">
        <f t="array" ref="D42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425" s="79" t="str" cm="1">
        <f t="array" ref="E42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425" s="80" t="str" cm="1">
        <f t="array" ref="F42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425" s="80" t="str" cm="1">
        <f t="array" ref="G42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425" s="80" t="str" cm="1">
        <f t="array" ref="H42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425" s="78" t="str" cm="1">
        <f t="array" ref="I42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426" spans="1:9" hidden="1" x14ac:dyDescent="0.3">
      <c r="A426" s="82" t="str" cm="1">
        <f t="array" ref="A42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426" s="79" t="e">
        <f>'BKG Bank'!#REF!</f>
        <v>#REF!</v>
      </c>
      <c r="C426" s="108" t="e">
        <f>'BKG Bank'!#REF!</f>
        <v>#REF!</v>
      </c>
      <c r="D426" s="79" t="str" cm="1">
        <f t="array" ref="D42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426" s="79" t="str" cm="1">
        <f t="array" ref="E42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426" s="80" t="str" cm="1">
        <f t="array" ref="F42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426" s="80" t="str" cm="1">
        <f t="array" ref="G42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426" s="80" t="str" cm="1">
        <f t="array" ref="H42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426" s="78" t="str" cm="1">
        <f t="array" ref="I42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427" spans="1:9" hidden="1" x14ac:dyDescent="0.3">
      <c r="A427" s="82" t="str" cm="1">
        <f t="array" ref="A42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427" s="79" t="e">
        <f>'BKG Bank'!#REF!</f>
        <v>#REF!</v>
      </c>
      <c r="C427" s="108" t="e">
        <f>'BKG Bank'!#REF!</f>
        <v>#REF!</v>
      </c>
      <c r="D427" s="79" t="str" cm="1">
        <f t="array" ref="D42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427" s="79" t="str" cm="1">
        <f t="array" ref="E42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427" s="80" t="str" cm="1">
        <f t="array" ref="F42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427" s="80" t="str" cm="1">
        <f t="array" ref="G42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427" s="80" t="str" cm="1">
        <f t="array" ref="H42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427" s="78" t="str" cm="1">
        <f t="array" ref="I42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428" spans="1:9" hidden="1" x14ac:dyDescent="0.3">
      <c r="A428" s="82" t="str" cm="1">
        <f t="array" ref="A42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428" s="79" t="e">
        <f>'BKG Bank'!#REF!</f>
        <v>#REF!</v>
      </c>
      <c r="C428" s="108" t="e">
        <f>'BKG Bank'!#REF!</f>
        <v>#REF!</v>
      </c>
      <c r="D428" s="79" t="str" cm="1">
        <f t="array" ref="D42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428" s="79" t="str" cm="1">
        <f t="array" ref="E42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428" s="80" t="str" cm="1">
        <f t="array" ref="F42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428" s="80" t="str" cm="1">
        <f t="array" ref="G42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428" s="80" t="str" cm="1">
        <f t="array" ref="H42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428" s="78" t="str" cm="1">
        <f t="array" ref="I42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429" spans="1:9" hidden="1" x14ac:dyDescent="0.3">
      <c r="A429" s="82" t="str" cm="1">
        <f t="array" ref="A42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429" s="79" t="e">
        <f>'BKG Bank'!#REF!</f>
        <v>#REF!</v>
      </c>
      <c r="C429" s="108" t="e">
        <f>'BKG Bank'!#REF!</f>
        <v>#REF!</v>
      </c>
      <c r="D429" s="79" t="str" cm="1">
        <f t="array" ref="D42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429" s="79" t="str" cm="1">
        <f t="array" ref="E42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429" s="80" t="str" cm="1">
        <f t="array" ref="F42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429" s="80" t="str" cm="1">
        <f t="array" ref="G42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429" s="80" t="str" cm="1">
        <f t="array" ref="H42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429" s="78" t="str" cm="1">
        <f t="array" ref="I42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430" spans="1:9" hidden="1" x14ac:dyDescent="0.3">
      <c r="A430" s="82" t="str" cm="1">
        <f t="array" ref="A43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430" s="79" t="e">
        <f>'BKG Bank'!#REF!</f>
        <v>#REF!</v>
      </c>
      <c r="C430" s="108" t="e">
        <f>'BKG Bank'!#REF!</f>
        <v>#REF!</v>
      </c>
      <c r="D430" s="79" t="str" cm="1">
        <f t="array" ref="D43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430" s="79" t="str" cm="1">
        <f t="array" ref="E43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430" s="80" t="str" cm="1">
        <f t="array" ref="F43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430" s="80" t="str" cm="1">
        <f t="array" ref="G43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430" s="80" t="str" cm="1">
        <f t="array" ref="H43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430" s="78" t="str" cm="1">
        <f t="array" ref="I43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431" spans="1:9" hidden="1" x14ac:dyDescent="0.3">
      <c r="A431" s="82" t="str" cm="1">
        <f t="array" ref="A43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431" s="79" t="e">
        <f>'BKG Bank'!#REF!</f>
        <v>#REF!</v>
      </c>
      <c r="C431" s="108" t="e">
        <f>'BKG Bank'!#REF!</f>
        <v>#REF!</v>
      </c>
      <c r="D431" s="79" t="str" cm="1">
        <f t="array" ref="D43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431" s="79" t="str" cm="1">
        <f t="array" ref="E43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431" s="80" t="str" cm="1">
        <f t="array" ref="F43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431" s="80" t="str" cm="1">
        <f t="array" ref="G43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431" s="80" t="str" cm="1">
        <f t="array" ref="H43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431" s="78" t="str" cm="1">
        <f t="array" ref="I43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432" spans="1:9" hidden="1" x14ac:dyDescent="0.3">
      <c r="A432" s="82" t="str" cm="1">
        <f t="array" ref="A43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432" s="79" t="e">
        <f>'BKG Bank'!#REF!</f>
        <v>#REF!</v>
      </c>
      <c r="C432" s="108" t="e">
        <f>'BKG Bank'!#REF!</f>
        <v>#REF!</v>
      </c>
      <c r="D432" s="79" t="str" cm="1">
        <f t="array" ref="D43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432" s="79" t="str" cm="1">
        <f t="array" ref="E43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432" s="80" t="str" cm="1">
        <f t="array" ref="F43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432" s="80" t="str" cm="1">
        <f t="array" ref="G43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432" s="80" t="str" cm="1">
        <f t="array" ref="H43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432" s="78" t="str" cm="1">
        <f t="array" ref="I43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433" spans="1:9" hidden="1" x14ac:dyDescent="0.3">
      <c r="A433" s="82" t="str" cm="1">
        <f t="array" ref="A43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433" s="79" t="e">
        <f>'BKG Bank'!#REF!</f>
        <v>#REF!</v>
      </c>
      <c r="C433" s="108" t="e">
        <f>'BKG Bank'!#REF!</f>
        <v>#REF!</v>
      </c>
      <c r="D433" s="79" t="str" cm="1">
        <f t="array" ref="D43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433" s="79" t="str" cm="1">
        <f t="array" ref="E43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433" s="80" t="str" cm="1">
        <f t="array" ref="F43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433" s="80" t="str" cm="1">
        <f t="array" ref="G43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433" s="80" t="str" cm="1">
        <f t="array" ref="H43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433" s="78" t="str" cm="1">
        <f t="array" ref="I43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434" spans="1:9" hidden="1" x14ac:dyDescent="0.3">
      <c r="A434" s="82" t="str" cm="1">
        <f t="array" ref="A43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434" s="79" t="e">
        <f>'BKG Bank'!#REF!</f>
        <v>#REF!</v>
      </c>
      <c r="C434" s="108" t="e">
        <f>'BKG Bank'!#REF!</f>
        <v>#REF!</v>
      </c>
      <c r="D434" s="79" t="str" cm="1">
        <f t="array" ref="D43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434" s="79" t="str" cm="1">
        <f t="array" ref="E43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434" s="80" t="str" cm="1">
        <f t="array" ref="F43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434" s="80" t="str" cm="1">
        <f t="array" ref="G43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434" s="80" t="str" cm="1">
        <f t="array" ref="H43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434" s="78" t="str" cm="1">
        <f t="array" ref="I43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435" spans="1:9" hidden="1" x14ac:dyDescent="0.3">
      <c r="A435" s="82" t="str" cm="1">
        <f t="array" ref="A43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435" s="79" t="e">
        <f>'BKG Bank'!#REF!</f>
        <v>#REF!</v>
      </c>
      <c r="C435" s="108" t="e">
        <f>'BKG Bank'!#REF!</f>
        <v>#REF!</v>
      </c>
      <c r="D435" s="79" t="str" cm="1">
        <f t="array" ref="D43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435" s="79" t="str" cm="1">
        <f t="array" ref="E43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435" s="80" t="str" cm="1">
        <f t="array" ref="F43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435" s="80" t="str" cm="1">
        <f t="array" ref="G43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435" s="80" t="str" cm="1">
        <f t="array" ref="H43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435" s="78" t="str" cm="1">
        <f t="array" ref="I43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436" spans="1:9" hidden="1" x14ac:dyDescent="0.3">
      <c r="A436" s="82" t="str" cm="1">
        <f t="array" ref="A43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436" s="79" t="e">
        <f>'BKG Bank'!#REF!</f>
        <v>#REF!</v>
      </c>
      <c r="C436" s="108" t="e">
        <f>'BKG Bank'!#REF!</f>
        <v>#REF!</v>
      </c>
      <c r="D436" s="79" t="str" cm="1">
        <f t="array" ref="D43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436" s="79" t="str" cm="1">
        <f t="array" ref="E43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436" s="80" t="str" cm="1">
        <f t="array" ref="F43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436" s="80" t="str" cm="1">
        <f t="array" ref="G43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436" s="80" t="str" cm="1">
        <f t="array" ref="H43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436" s="78" t="str" cm="1">
        <f t="array" ref="I43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437" spans="1:9" hidden="1" x14ac:dyDescent="0.3">
      <c r="A437" s="82" t="str" cm="1">
        <f t="array" ref="A43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437" s="79" t="e">
        <f>'BKG Bank'!#REF!</f>
        <v>#REF!</v>
      </c>
      <c r="C437" s="108" t="e">
        <f>'BKG Bank'!#REF!</f>
        <v>#REF!</v>
      </c>
      <c r="D437" s="79" t="str" cm="1">
        <f t="array" ref="D43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437" s="79" t="str" cm="1">
        <f t="array" ref="E43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437" s="80" t="str" cm="1">
        <f t="array" ref="F43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437" s="80" t="str" cm="1">
        <f t="array" ref="G43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437" s="80" t="str" cm="1">
        <f t="array" ref="H43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437" s="78" t="str" cm="1">
        <f t="array" ref="I43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438" spans="1:9" hidden="1" x14ac:dyDescent="0.3">
      <c r="A438" s="82" t="str" cm="1">
        <f t="array" ref="A43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438" s="79" t="e">
        <f>'BKG Bank'!#REF!</f>
        <v>#REF!</v>
      </c>
      <c r="C438" s="108" t="e">
        <f>'BKG Bank'!#REF!</f>
        <v>#REF!</v>
      </c>
      <c r="D438" s="79" t="str" cm="1">
        <f t="array" ref="D43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438" s="79" t="str" cm="1">
        <f t="array" ref="E43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438" s="80" t="str" cm="1">
        <f t="array" ref="F43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438" s="80" t="str" cm="1">
        <f t="array" ref="G43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438" s="80" t="str" cm="1">
        <f t="array" ref="H43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438" s="78" t="str" cm="1">
        <f t="array" ref="I43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439" spans="1:9" hidden="1" x14ac:dyDescent="0.3">
      <c r="A439" s="82" t="str" cm="1">
        <f t="array" ref="A43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439" s="79" t="e">
        <f>'BKG Bank'!#REF!</f>
        <v>#REF!</v>
      </c>
      <c r="C439" s="108" t="e">
        <f>'BKG Bank'!#REF!</f>
        <v>#REF!</v>
      </c>
      <c r="D439" s="79" t="str" cm="1">
        <f t="array" ref="D43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439" s="79" t="str" cm="1">
        <f t="array" ref="E43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439" s="80" t="str" cm="1">
        <f t="array" ref="F43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439" s="80" t="str" cm="1">
        <f t="array" ref="G43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439" s="80" t="str" cm="1">
        <f t="array" ref="H43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439" s="78" t="str" cm="1">
        <f t="array" ref="I43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440" spans="1:9" hidden="1" x14ac:dyDescent="0.3">
      <c r="A440" s="82" t="str" cm="1">
        <f t="array" ref="A44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440" s="79" t="e">
        <f>'BKG Bank'!#REF!</f>
        <v>#REF!</v>
      </c>
      <c r="C440" s="108" t="e">
        <f>'BKG Bank'!#REF!</f>
        <v>#REF!</v>
      </c>
      <c r="D440" s="79" t="str" cm="1">
        <f t="array" ref="D44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440" s="79" t="str" cm="1">
        <f t="array" ref="E44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440" s="80" t="str" cm="1">
        <f t="array" ref="F44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440" s="80" t="str" cm="1">
        <f t="array" ref="G44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440" s="80" t="str" cm="1">
        <f t="array" ref="H44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440" s="78" t="str" cm="1">
        <f t="array" ref="I44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441" spans="1:9" hidden="1" x14ac:dyDescent="0.3">
      <c r="A441" s="82" t="str" cm="1">
        <f t="array" ref="A44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441" s="79" t="e">
        <f>'BKG Bank'!#REF!</f>
        <v>#REF!</v>
      </c>
      <c r="C441" s="108" t="e">
        <f>'BKG Bank'!#REF!</f>
        <v>#REF!</v>
      </c>
      <c r="D441" s="79" t="str" cm="1">
        <f t="array" ref="D44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441" s="79" t="str" cm="1">
        <f t="array" ref="E44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441" s="80" t="str" cm="1">
        <f t="array" ref="F44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441" s="80" t="str" cm="1">
        <f t="array" ref="G44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441" s="80" t="str" cm="1">
        <f t="array" ref="H44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441" s="78" t="str" cm="1">
        <f t="array" ref="I44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442" spans="1:9" hidden="1" x14ac:dyDescent="0.3">
      <c r="A442" s="82" t="str" cm="1">
        <f t="array" ref="A44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442" s="79" t="e">
        <f>'BKG Bank'!#REF!</f>
        <v>#REF!</v>
      </c>
      <c r="C442" s="108" t="e">
        <f>'BKG Bank'!#REF!</f>
        <v>#REF!</v>
      </c>
      <c r="D442" s="79" t="str" cm="1">
        <f t="array" ref="D44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442" s="79" t="str" cm="1">
        <f t="array" ref="E44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442" s="80" t="str" cm="1">
        <f t="array" ref="F44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442" s="80" t="str" cm="1">
        <f t="array" ref="G44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442" s="80" t="str" cm="1">
        <f t="array" ref="H44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442" s="78" t="str" cm="1">
        <f t="array" ref="I44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443" spans="1:9" hidden="1" x14ac:dyDescent="0.3">
      <c r="A443" s="82" t="str" cm="1">
        <f t="array" ref="A44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443" s="79" t="e">
        <f>'BKG Bank'!#REF!</f>
        <v>#REF!</v>
      </c>
      <c r="C443" s="108" t="e">
        <f>'BKG Bank'!#REF!</f>
        <v>#REF!</v>
      </c>
      <c r="D443" s="79" t="str" cm="1">
        <f t="array" ref="D44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443" s="79" t="str" cm="1">
        <f t="array" ref="E44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443" s="80" t="str" cm="1">
        <f t="array" ref="F44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443" s="80" t="str" cm="1">
        <f t="array" ref="G44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443" s="80" t="str" cm="1">
        <f t="array" ref="H44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443" s="78" t="str" cm="1">
        <f t="array" ref="I44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444" spans="1:9" hidden="1" x14ac:dyDescent="0.3">
      <c r="A444" s="82" t="str" cm="1">
        <f t="array" ref="A44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444" s="79" t="e">
        <f>'BKG Bank'!#REF!</f>
        <v>#REF!</v>
      </c>
      <c r="C444" s="108" t="e">
        <f>'BKG Bank'!#REF!</f>
        <v>#REF!</v>
      </c>
      <c r="D444" s="79" t="str" cm="1">
        <f t="array" ref="D44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444" s="79" t="str" cm="1">
        <f t="array" ref="E44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444" s="80" t="str" cm="1">
        <f t="array" ref="F44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444" s="80" t="str" cm="1">
        <f t="array" ref="G44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444" s="80" t="str" cm="1">
        <f t="array" ref="H44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444" s="78" t="str" cm="1">
        <f t="array" ref="I44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445" spans="1:9" hidden="1" x14ac:dyDescent="0.3">
      <c r="A445" s="82" t="str" cm="1">
        <f t="array" ref="A44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445" s="79" t="e">
        <f>'BKG Bank'!#REF!</f>
        <v>#REF!</v>
      </c>
      <c r="C445" s="108" t="e">
        <f>'BKG Bank'!#REF!</f>
        <v>#REF!</v>
      </c>
      <c r="D445" s="79" t="str" cm="1">
        <f t="array" ref="D44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445" s="79" t="str" cm="1">
        <f t="array" ref="E44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445" s="80" t="str" cm="1">
        <f t="array" ref="F44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445" s="80" t="str" cm="1">
        <f t="array" ref="G44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445" s="80" t="str" cm="1">
        <f t="array" ref="H44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445" s="78" t="str" cm="1">
        <f t="array" ref="I44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446" spans="1:9" hidden="1" x14ac:dyDescent="0.3">
      <c r="A446" s="82" t="str" cm="1">
        <f t="array" ref="A44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446" s="79" t="e">
        <f>'BKG Bank'!#REF!</f>
        <v>#REF!</v>
      </c>
      <c r="C446" s="108" t="e">
        <f>'BKG Bank'!#REF!</f>
        <v>#REF!</v>
      </c>
      <c r="D446" s="79" t="str" cm="1">
        <f t="array" ref="D44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446" s="79" t="str" cm="1">
        <f t="array" ref="E44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446" s="80" t="str" cm="1">
        <f t="array" ref="F44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446" s="80" t="str" cm="1">
        <f t="array" ref="G44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446" s="80" t="str" cm="1">
        <f t="array" ref="H44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446" s="78" t="str" cm="1">
        <f t="array" ref="I44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447" spans="1:9" hidden="1" x14ac:dyDescent="0.3">
      <c r="A447" s="82" t="str" cm="1">
        <f t="array" ref="A44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447" s="79" t="e">
        <f>'BKG Bank'!#REF!</f>
        <v>#REF!</v>
      </c>
      <c r="C447" s="108" t="e">
        <f>'BKG Bank'!#REF!</f>
        <v>#REF!</v>
      </c>
      <c r="D447" s="79" t="str" cm="1">
        <f t="array" ref="D44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447" s="79" t="str" cm="1">
        <f t="array" ref="E44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447" s="80" t="str" cm="1">
        <f t="array" ref="F44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447" s="80" t="str" cm="1">
        <f t="array" ref="G44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447" s="80" t="str" cm="1">
        <f t="array" ref="H44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447" s="78" t="str" cm="1">
        <f t="array" ref="I44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448" spans="1:9" hidden="1" x14ac:dyDescent="0.3">
      <c r="A448" s="82" t="str" cm="1">
        <f t="array" ref="A44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448" s="79" t="e">
        <f>'BKG Bank'!#REF!</f>
        <v>#REF!</v>
      </c>
      <c r="C448" s="108" t="e">
        <f>'BKG Bank'!#REF!</f>
        <v>#REF!</v>
      </c>
      <c r="D448" s="79" t="str" cm="1">
        <f t="array" ref="D44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448" s="79" t="str" cm="1">
        <f t="array" ref="E44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448" s="80" t="str" cm="1">
        <f t="array" ref="F44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448" s="80" t="str" cm="1">
        <f t="array" ref="G44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448" s="80" t="str" cm="1">
        <f t="array" ref="H44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448" s="78" t="str" cm="1">
        <f t="array" ref="I44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449" spans="1:9" hidden="1" x14ac:dyDescent="0.3">
      <c r="A449" s="82" t="str" cm="1">
        <f t="array" ref="A44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449" s="79" t="e">
        <f>'BKG Bank'!#REF!</f>
        <v>#REF!</v>
      </c>
      <c r="C449" s="108" t="e">
        <f>'BKG Bank'!#REF!</f>
        <v>#REF!</v>
      </c>
      <c r="D449" s="79" t="str" cm="1">
        <f t="array" ref="D44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449" s="79" t="str" cm="1">
        <f t="array" ref="E44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449" s="80" t="str" cm="1">
        <f t="array" ref="F44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449" s="80" t="str" cm="1">
        <f t="array" ref="G44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449" s="80" t="str" cm="1">
        <f t="array" ref="H44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449" s="78" t="str" cm="1">
        <f t="array" ref="I44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450" spans="1:9" hidden="1" x14ac:dyDescent="0.3">
      <c r="A450" s="82" t="str" cm="1">
        <f t="array" ref="A45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450" s="79" t="e">
        <f>'BKG Bank'!#REF!</f>
        <v>#REF!</v>
      </c>
      <c r="C450" s="108" t="e">
        <f>'BKG Bank'!#REF!</f>
        <v>#REF!</v>
      </c>
      <c r="D450" s="79" t="str" cm="1">
        <f t="array" ref="D45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450" s="79" t="str" cm="1">
        <f t="array" ref="E45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450" s="80" t="str" cm="1">
        <f t="array" ref="F45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450" s="80" t="str" cm="1">
        <f t="array" ref="G45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450" s="80" t="str" cm="1">
        <f t="array" ref="H45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450" s="78" t="str" cm="1">
        <f t="array" ref="I45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451" spans="1:9" hidden="1" x14ac:dyDescent="0.3">
      <c r="A451" s="82" t="str" cm="1">
        <f t="array" ref="A45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451" s="79" t="e">
        <f>'BKG Bank'!#REF!</f>
        <v>#REF!</v>
      </c>
      <c r="C451" s="108" t="e">
        <f>'BKG Bank'!#REF!</f>
        <v>#REF!</v>
      </c>
      <c r="D451" s="79" t="str" cm="1">
        <f t="array" ref="D45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451" s="79" t="str" cm="1">
        <f t="array" ref="E45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451" s="80" t="str" cm="1">
        <f t="array" ref="F45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451" s="80" t="str" cm="1">
        <f t="array" ref="G45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451" s="80" t="str" cm="1">
        <f t="array" ref="H45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451" s="78" t="str" cm="1">
        <f t="array" ref="I45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452" spans="1:9" hidden="1" x14ac:dyDescent="0.3">
      <c r="A452" s="82" t="str" cm="1">
        <f t="array" ref="A45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452" s="79" t="e">
        <f>'BKG Bank'!#REF!</f>
        <v>#REF!</v>
      </c>
      <c r="C452" s="108" t="e">
        <f>'BKG Bank'!#REF!</f>
        <v>#REF!</v>
      </c>
      <c r="D452" s="79" t="str" cm="1">
        <f t="array" ref="D45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452" s="79" t="str" cm="1">
        <f t="array" ref="E45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452" s="80" t="str" cm="1">
        <f t="array" ref="F45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452" s="80" t="str" cm="1">
        <f t="array" ref="G45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452" s="80" t="str" cm="1">
        <f t="array" ref="H45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452" s="78" t="str" cm="1">
        <f t="array" ref="I45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453" spans="1:9" hidden="1" x14ac:dyDescent="0.3">
      <c r="A453" s="82" t="str" cm="1">
        <f t="array" ref="A45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453" s="79" t="e">
        <f>'BKG Bank'!#REF!</f>
        <v>#REF!</v>
      </c>
      <c r="C453" s="108" t="e">
        <f>'BKG Bank'!#REF!</f>
        <v>#REF!</v>
      </c>
      <c r="D453" s="79" t="str" cm="1">
        <f t="array" ref="D45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453" s="79" t="str" cm="1">
        <f t="array" ref="E45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453" s="80" t="str" cm="1">
        <f t="array" ref="F45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453" s="80" t="str" cm="1">
        <f t="array" ref="G45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453" s="80" t="str" cm="1">
        <f t="array" ref="H45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453" s="78" t="str" cm="1">
        <f t="array" ref="I45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454" spans="1:9" hidden="1" x14ac:dyDescent="0.3">
      <c r="A454" s="82" t="str" cm="1">
        <f t="array" ref="A45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454" s="79" t="e">
        <f>'BKG Bank'!#REF!</f>
        <v>#REF!</v>
      </c>
      <c r="C454" s="108" t="e">
        <f>'BKG Bank'!#REF!</f>
        <v>#REF!</v>
      </c>
      <c r="D454" s="79" t="str" cm="1">
        <f t="array" ref="D45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454" s="79" t="str" cm="1">
        <f t="array" ref="E45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454" s="80" t="str" cm="1">
        <f t="array" ref="F45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454" s="80" t="str" cm="1">
        <f t="array" ref="G45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454" s="80" t="str" cm="1">
        <f t="array" ref="H45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454" s="78" t="str" cm="1">
        <f t="array" ref="I45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455" spans="1:9" hidden="1" x14ac:dyDescent="0.3">
      <c r="A455" s="82" t="str" cm="1">
        <f t="array" ref="A45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455" s="79" t="e">
        <f>'BKG Bank'!#REF!</f>
        <v>#REF!</v>
      </c>
      <c r="C455" s="108" t="e">
        <f>'BKG Bank'!#REF!</f>
        <v>#REF!</v>
      </c>
      <c r="D455" s="79" t="str" cm="1">
        <f t="array" ref="D45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455" s="79" t="str" cm="1">
        <f t="array" ref="E45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455" s="80" t="str" cm="1">
        <f t="array" ref="F45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455" s="80" t="str" cm="1">
        <f t="array" ref="G45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455" s="80" t="str" cm="1">
        <f t="array" ref="H45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455" s="78" t="str" cm="1">
        <f t="array" ref="I45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456" spans="1:9" hidden="1" x14ac:dyDescent="0.3">
      <c r="A456" s="82" t="str" cm="1">
        <f t="array" ref="A45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456" s="79" t="e">
        <f>'BKG Bank'!#REF!</f>
        <v>#REF!</v>
      </c>
      <c r="C456" s="108" t="e">
        <f>'BKG Bank'!#REF!</f>
        <v>#REF!</v>
      </c>
      <c r="D456" s="79" t="str" cm="1">
        <f t="array" ref="D45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456" s="79" t="str" cm="1">
        <f t="array" ref="E45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456" s="80" t="str" cm="1">
        <f t="array" ref="F45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456" s="80" t="str" cm="1">
        <f t="array" ref="G45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456" s="80" t="str" cm="1">
        <f t="array" ref="H45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456" s="78" t="str" cm="1">
        <f t="array" ref="I45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457" spans="1:9" hidden="1" x14ac:dyDescent="0.3">
      <c r="A457" s="82" t="str" cm="1">
        <f t="array" ref="A45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457" s="79" t="e">
        <f>'BKG Bank'!#REF!</f>
        <v>#REF!</v>
      </c>
      <c r="C457" s="108" t="e">
        <f>'BKG Bank'!#REF!</f>
        <v>#REF!</v>
      </c>
      <c r="D457" s="79" t="str" cm="1">
        <f t="array" ref="D45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457" s="79" t="str" cm="1">
        <f t="array" ref="E45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457" s="80" t="str" cm="1">
        <f t="array" ref="F45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457" s="80" t="str" cm="1">
        <f t="array" ref="G45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457" s="80" t="str" cm="1">
        <f t="array" ref="H45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457" s="78" t="str" cm="1">
        <f t="array" ref="I45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458" spans="1:9" hidden="1" x14ac:dyDescent="0.3">
      <c r="A458" s="82" t="str" cm="1">
        <f t="array" ref="A45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458" s="79" t="e">
        <f>'BKG Bank'!#REF!</f>
        <v>#REF!</v>
      </c>
      <c r="C458" s="108" t="e">
        <f>'BKG Bank'!#REF!</f>
        <v>#REF!</v>
      </c>
      <c r="D458" s="79" t="str" cm="1">
        <f t="array" ref="D45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458" s="79" t="str" cm="1">
        <f t="array" ref="E45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458" s="80" t="str" cm="1">
        <f t="array" ref="F45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458" s="80" t="str" cm="1">
        <f t="array" ref="G45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458" s="80" t="str" cm="1">
        <f t="array" ref="H45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458" s="78" t="str" cm="1">
        <f t="array" ref="I45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459" spans="1:9" hidden="1" x14ac:dyDescent="0.3">
      <c r="A459" s="82" t="str" cm="1">
        <f t="array" ref="A45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459" s="79" t="e">
        <f>'BKG Bank'!#REF!</f>
        <v>#REF!</v>
      </c>
      <c r="C459" s="108" t="e">
        <f>'BKG Bank'!#REF!</f>
        <v>#REF!</v>
      </c>
      <c r="D459" s="79" t="str" cm="1">
        <f t="array" ref="D45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459" s="79" t="str" cm="1">
        <f t="array" ref="E45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459" s="80" t="str" cm="1">
        <f t="array" ref="F45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459" s="80" t="str" cm="1">
        <f t="array" ref="G45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459" s="80" t="str" cm="1">
        <f t="array" ref="H45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459" s="78" t="str" cm="1">
        <f t="array" ref="I45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460" spans="1:9" hidden="1" x14ac:dyDescent="0.3">
      <c r="A460" s="82" t="str" cm="1">
        <f t="array" ref="A46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460" s="79" t="e">
        <f>'BKG Bank'!#REF!</f>
        <v>#REF!</v>
      </c>
      <c r="C460" s="108" t="e">
        <f>'BKG Bank'!#REF!</f>
        <v>#REF!</v>
      </c>
      <c r="D460" s="79" t="str" cm="1">
        <f t="array" ref="D46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460" s="79" t="str" cm="1">
        <f t="array" ref="E46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460" s="80" t="str" cm="1">
        <f t="array" ref="F46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460" s="80" t="str" cm="1">
        <f t="array" ref="G46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460" s="80" t="str" cm="1">
        <f t="array" ref="H46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460" s="78" t="str" cm="1">
        <f t="array" ref="I46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461" spans="1:9" hidden="1" x14ac:dyDescent="0.3">
      <c r="A461" s="82" t="str" cm="1">
        <f t="array" ref="A46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461" s="79" t="e">
        <f>'BKG Bank'!#REF!</f>
        <v>#REF!</v>
      </c>
      <c r="C461" s="108" t="e">
        <f>'BKG Bank'!#REF!</f>
        <v>#REF!</v>
      </c>
      <c r="D461" s="79" t="str" cm="1">
        <f t="array" ref="D46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461" s="79" t="str" cm="1">
        <f t="array" ref="E46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461" s="80" t="str" cm="1">
        <f t="array" ref="F46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461" s="80" t="str" cm="1">
        <f t="array" ref="G46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461" s="80" t="str" cm="1">
        <f t="array" ref="H46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461" s="78" t="str" cm="1">
        <f t="array" ref="I46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462" spans="1:9" hidden="1" x14ac:dyDescent="0.3">
      <c r="A462" s="82" t="str" cm="1">
        <f t="array" ref="A46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462" s="79" t="e">
        <f>'BKG Bank'!#REF!</f>
        <v>#REF!</v>
      </c>
      <c r="C462" s="108" t="e">
        <f>'BKG Bank'!#REF!</f>
        <v>#REF!</v>
      </c>
      <c r="D462" s="79" t="str" cm="1">
        <f t="array" ref="D46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462" s="79" t="str" cm="1">
        <f t="array" ref="E46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462" s="80" t="str" cm="1">
        <f t="array" ref="F46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462" s="80" t="str" cm="1">
        <f t="array" ref="G46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462" s="80" t="str" cm="1">
        <f t="array" ref="H46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462" s="78" t="str" cm="1">
        <f t="array" ref="I46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463" spans="1:9" hidden="1" x14ac:dyDescent="0.3">
      <c r="A463" s="82" t="str" cm="1">
        <f t="array" ref="A46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463" s="79" t="e">
        <f>'BKG Bank'!#REF!</f>
        <v>#REF!</v>
      </c>
      <c r="C463" s="108" t="e">
        <f>'BKG Bank'!#REF!</f>
        <v>#REF!</v>
      </c>
      <c r="D463" s="79" t="str" cm="1">
        <f t="array" ref="D46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463" s="79" t="str" cm="1">
        <f t="array" ref="E46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463" s="80" t="str" cm="1">
        <f t="array" ref="F46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463" s="80" t="str" cm="1">
        <f t="array" ref="G46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463" s="80" t="str" cm="1">
        <f t="array" ref="H46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463" s="78" t="str" cm="1">
        <f t="array" ref="I46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464" spans="1:9" hidden="1" x14ac:dyDescent="0.3">
      <c r="A464" s="82" t="str" cm="1">
        <f t="array" ref="A46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464" s="79" t="e">
        <f>'BKG Bank'!#REF!</f>
        <v>#REF!</v>
      </c>
      <c r="C464" s="108" t="e">
        <f>'BKG Bank'!#REF!</f>
        <v>#REF!</v>
      </c>
      <c r="D464" s="79" t="str" cm="1">
        <f t="array" ref="D46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464" s="79" t="str" cm="1">
        <f t="array" ref="E46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464" s="80" t="str" cm="1">
        <f t="array" ref="F46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464" s="80" t="str" cm="1">
        <f t="array" ref="G46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464" s="80" t="str" cm="1">
        <f t="array" ref="H46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464" s="78" t="str" cm="1">
        <f t="array" ref="I46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465" spans="1:9" hidden="1" x14ac:dyDescent="0.3">
      <c r="A465" s="82" t="str" cm="1">
        <f t="array" ref="A46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465" s="79" t="e">
        <f>'BKG Bank'!#REF!</f>
        <v>#REF!</v>
      </c>
      <c r="C465" s="108" t="e">
        <f>'BKG Bank'!#REF!</f>
        <v>#REF!</v>
      </c>
      <c r="D465" s="79" t="str" cm="1">
        <f t="array" ref="D46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465" s="79" t="str" cm="1">
        <f t="array" ref="E46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465" s="80" t="str" cm="1">
        <f t="array" ref="F46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465" s="80" t="str" cm="1">
        <f t="array" ref="G46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465" s="80" t="str" cm="1">
        <f t="array" ref="H46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465" s="78" t="str" cm="1">
        <f t="array" ref="I46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466" spans="1:9" hidden="1" x14ac:dyDescent="0.3">
      <c r="A466" s="82" t="str" cm="1">
        <f t="array" ref="A46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466" s="79" t="e">
        <f>'BKG Bank'!#REF!</f>
        <v>#REF!</v>
      </c>
      <c r="C466" s="108" t="e">
        <f>'BKG Bank'!#REF!</f>
        <v>#REF!</v>
      </c>
      <c r="D466" s="79" t="str" cm="1">
        <f t="array" ref="D46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466" s="79" t="str" cm="1">
        <f t="array" ref="E46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466" s="80" t="str" cm="1">
        <f t="array" ref="F46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466" s="80" t="str" cm="1">
        <f t="array" ref="G46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466" s="80" t="str" cm="1">
        <f t="array" ref="H46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466" s="78" t="str" cm="1">
        <f t="array" ref="I46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467" spans="1:9" hidden="1" x14ac:dyDescent="0.3">
      <c r="A467" s="82" t="str" cm="1">
        <f t="array" ref="A46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467" s="79" t="e">
        <f>'BKG Bank'!#REF!</f>
        <v>#REF!</v>
      </c>
      <c r="C467" s="108" t="e">
        <f>'BKG Bank'!#REF!</f>
        <v>#REF!</v>
      </c>
      <c r="D467" s="79" t="str" cm="1">
        <f t="array" ref="D46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467" s="79" t="str" cm="1">
        <f t="array" ref="E46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467" s="80" t="str" cm="1">
        <f t="array" ref="F46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467" s="80" t="str" cm="1">
        <f t="array" ref="G46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467" s="80" t="str" cm="1">
        <f t="array" ref="H46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467" s="78" t="str" cm="1">
        <f t="array" ref="I46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468" spans="1:9" hidden="1" x14ac:dyDescent="0.3">
      <c r="A468" s="82" t="str" cm="1">
        <f t="array" ref="A46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468" s="79" t="e">
        <f>'BKG Bank'!#REF!</f>
        <v>#REF!</v>
      </c>
      <c r="C468" s="108" t="e">
        <f>'BKG Bank'!#REF!</f>
        <v>#REF!</v>
      </c>
      <c r="D468" s="79" t="str" cm="1">
        <f t="array" ref="D46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468" s="79" t="str" cm="1">
        <f t="array" ref="E46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468" s="80" t="str" cm="1">
        <f t="array" ref="F46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468" s="80" t="str" cm="1">
        <f t="array" ref="G46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468" s="80" t="str" cm="1">
        <f t="array" ref="H46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468" s="78" t="str" cm="1">
        <f t="array" ref="I46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469" spans="1:9" hidden="1" x14ac:dyDescent="0.3">
      <c r="A469" s="82" t="str" cm="1">
        <f t="array" ref="A46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469" s="79" t="e">
        <f>'BKG Bank'!#REF!</f>
        <v>#REF!</v>
      </c>
      <c r="C469" s="108" t="e">
        <f>'BKG Bank'!#REF!</f>
        <v>#REF!</v>
      </c>
      <c r="D469" s="79" t="str" cm="1">
        <f t="array" ref="D46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469" s="79" t="str" cm="1">
        <f t="array" ref="E46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469" s="80" t="str" cm="1">
        <f t="array" ref="F46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469" s="80" t="str" cm="1">
        <f t="array" ref="G46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469" s="80" t="str" cm="1">
        <f t="array" ref="H46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469" s="78" t="str" cm="1">
        <f t="array" ref="I46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470" spans="1:9" hidden="1" x14ac:dyDescent="0.3">
      <c r="A470" s="82" t="str" cm="1">
        <f t="array" ref="A47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470" s="79" t="e">
        <f>'BKG Bank'!#REF!</f>
        <v>#REF!</v>
      </c>
      <c r="C470" s="108" t="e">
        <f>'BKG Bank'!#REF!</f>
        <v>#REF!</v>
      </c>
      <c r="D470" s="79" t="str" cm="1">
        <f t="array" ref="D47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470" s="79" t="str" cm="1">
        <f t="array" ref="E47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470" s="80" t="str" cm="1">
        <f t="array" ref="F47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470" s="80" t="str" cm="1">
        <f t="array" ref="G47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470" s="80" t="str" cm="1">
        <f t="array" ref="H47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470" s="78" t="str" cm="1">
        <f t="array" ref="I47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471" spans="1:9" hidden="1" x14ac:dyDescent="0.3">
      <c r="A471" s="82" t="str" cm="1">
        <f t="array" ref="A47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471" s="79" t="e">
        <f>'BKG Bank'!#REF!</f>
        <v>#REF!</v>
      </c>
      <c r="C471" s="108" t="e">
        <f>'BKG Bank'!#REF!</f>
        <v>#REF!</v>
      </c>
      <c r="D471" s="79" t="str" cm="1">
        <f t="array" ref="D47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471" s="79" t="str" cm="1">
        <f t="array" ref="E47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471" s="80" t="str" cm="1">
        <f t="array" ref="F47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471" s="80" t="str" cm="1">
        <f t="array" ref="G47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471" s="80" t="str" cm="1">
        <f t="array" ref="H47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471" s="78" t="str" cm="1">
        <f t="array" ref="I47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472" spans="1:9" hidden="1" x14ac:dyDescent="0.3">
      <c r="A472" s="82" t="str" cm="1">
        <f t="array" ref="A47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472" s="79" t="e">
        <f>'BKG Bank'!#REF!</f>
        <v>#REF!</v>
      </c>
      <c r="C472" s="108" t="e">
        <f>'BKG Bank'!#REF!</f>
        <v>#REF!</v>
      </c>
      <c r="D472" s="79" t="str" cm="1">
        <f t="array" ref="D47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472" s="79" t="str" cm="1">
        <f t="array" ref="E47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472" s="80" t="str" cm="1">
        <f t="array" ref="F47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472" s="80" t="str" cm="1">
        <f t="array" ref="G47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472" s="80" t="str" cm="1">
        <f t="array" ref="H47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472" s="78" t="str" cm="1">
        <f t="array" ref="I47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473" spans="1:9" hidden="1" x14ac:dyDescent="0.3">
      <c r="A473" s="82" t="str" cm="1">
        <f t="array" ref="A47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473" s="79" t="e">
        <f>'BKG Bank'!#REF!</f>
        <v>#REF!</v>
      </c>
      <c r="C473" s="108" t="e">
        <f>'BKG Bank'!#REF!</f>
        <v>#REF!</v>
      </c>
      <c r="D473" s="79" t="str" cm="1">
        <f t="array" ref="D47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473" s="79" t="str" cm="1">
        <f t="array" ref="E47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473" s="80" t="str" cm="1">
        <f t="array" ref="F47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473" s="80" t="str" cm="1">
        <f t="array" ref="G47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473" s="80" t="str" cm="1">
        <f t="array" ref="H47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473" s="78" t="str" cm="1">
        <f t="array" ref="I47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474" spans="1:9" hidden="1" x14ac:dyDescent="0.3">
      <c r="A474" s="82" t="str" cm="1">
        <f t="array" ref="A47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474" s="79" t="e">
        <f>'BKG Bank'!#REF!</f>
        <v>#REF!</v>
      </c>
      <c r="C474" s="108" t="e">
        <f>'BKG Bank'!#REF!</f>
        <v>#REF!</v>
      </c>
      <c r="D474" s="79" t="str" cm="1">
        <f t="array" ref="D47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474" s="79" t="str" cm="1">
        <f t="array" ref="E47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474" s="80" t="str" cm="1">
        <f t="array" ref="F47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474" s="80" t="str" cm="1">
        <f t="array" ref="G47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474" s="80" t="str" cm="1">
        <f t="array" ref="H47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474" s="78" t="str" cm="1">
        <f t="array" ref="I47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475" spans="1:9" hidden="1" x14ac:dyDescent="0.3">
      <c r="A475" s="82" t="str" cm="1">
        <f t="array" ref="A47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475" s="79" t="e">
        <f>'BKG Bank'!#REF!</f>
        <v>#REF!</v>
      </c>
      <c r="C475" s="108" t="e">
        <f>'BKG Bank'!#REF!</f>
        <v>#REF!</v>
      </c>
      <c r="D475" s="79" t="str" cm="1">
        <f t="array" ref="D47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475" s="79" t="str" cm="1">
        <f t="array" ref="E47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475" s="80" t="str" cm="1">
        <f t="array" ref="F47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475" s="80" t="str" cm="1">
        <f t="array" ref="G47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475" s="80" t="str" cm="1">
        <f t="array" ref="H47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475" s="78" t="str" cm="1">
        <f t="array" ref="I47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476" spans="1:9" hidden="1" x14ac:dyDescent="0.3">
      <c r="A476" s="82" t="str" cm="1">
        <f t="array" ref="A47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476" s="79" t="e">
        <f>'BKG Bank'!#REF!</f>
        <v>#REF!</v>
      </c>
      <c r="C476" s="108" t="e">
        <f>'BKG Bank'!#REF!</f>
        <v>#REF!</v>
      </c>
      <c r="D476" s="79" t="str" cm="1">
        <f t="array" ref="D47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476" s="79" t="str" cm="1">
        <f t="array" ref="E47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476" s="80" t="str" cm="1">
        <f t="array" ref="F47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476" s="80" t="str" cm="1">
        <f t="array" ref="G47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476" s="80" t="str" cm="1">
        <f t="array" ref="H47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476" s="78" t="str" cm="1">
        <f t="array" ref="I47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477" spans="1:9" hidden="1" x14ac:dyDescent="0.3">
      <c r="A477" s="82" t="str" cm="1">
        <f t="array" ref="A47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477" s="79" t="e">
        <f>'BKG Bank'!#REF!</f>
        <v>#REF!</v>
      </c>
      <c r="C477" s="108" t="e">
        <f>'BKG Bank'!#REF!</f>
        <v>#REF!</v>
      </c>
      <c r="D477" s="79" t="str" cm="1">
        <f t="array" ref="D47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477" s="79" t="str" cm="1">
        <f t="array" ref="E47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477" s="80" t="str" cm="1">
        <f t="array" ref="F47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477" s="80" t="str" cm="1">
        <f t="array" ref="G47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477" s="80" t="str" cm="1">
        <f t="array" ref="H47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477" s="78" t="str" cm="1">
        <f t="array" ref="I47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478" spans="1:9" hidden="1" x14ac:dyDescent="0.3">
      <c r="A478" s="82" t="str" cm="1">
        <f t="array" ref="A47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478" s="79" t="e">
        <f>'BKG Bank'!#REF!</f>
        <v>#REF!</v>
      </c>
      <c r="C478" s="108" t="e">
        <f>'BKG Bank'!#REF!</f>
        <v>#REF!</v>
      </c>
      <c r="D478" s="79" t="str" cm="1">
        <f t="array" ref="D47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478" s="79" t="str" cm="1">
        <f t="array" ref="E47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478" s="80" t="str" cm="1">
        <f t="array" ref="F47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478" s="80" t="str" cm="1">
        <f t="array" ref="G47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478" s="80" t="str" cm="1">
        <f t="array" ref="H47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478" s="78" t="str" cm="1">
        <f t="array" ref="I47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479" spans="1:9" hidden="1" x14ac:dyDescent="0.3">
      <c r="A479" s="82" t="str" cm="1">
        <f t="array" ref="A47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479" s="79" t="e">
        <f>'BKG Bank'!#REF!</f>
        <v>#REF!</v>
      </c>
      <c r="C479" s="108" t="e">
        <f>'BKG Bank'!#REF!</f>
        <v>#REF!</v>
      </c>
      <c r="D479" s="79" t="str" cm="1">
        <f t="array" ref="D47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479" s="79" t="str" cm="1">
        <f t="array" ref="E47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479" s="80" t="str" cm="1">
        <f t="array" ref="F47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479" s="80" t="str" cm="1">
        <f t="array" ref="G47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479" s="80" t="str" cm="1">
        <f t="array" ref="H47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479" s="78" t="str" cm="1">
        <f t="array" ref="I47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480" spans="1:9" hidden="1" x14ac:dyDescent="0.3">
      <c r="A480" s="82" t="str" cm="1">
        <f t="array" ref="A48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480" s="79" t="e">
        <f>'BKG Bank'!#REF!</f>
        <v>#REF!</v>
      </c>
      <c r="C480" s="108" t="e">
        <f>'BKG Bank'!#REF!</f>
        <v>#REF!</v>
      </c>
      <c r="D480" s="79" t="str" cm="1">
        <f t="array" ref="D48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480" s="79" t="str" cm="1">
        <f t="array" ref="E48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480" s="80" t="str" cm="1">
        <f t="array" ref="F48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480" s="80" t="str" cm="1">
        <f t="array" ref="G48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480" s="80" t="str" cm="1">
        <f t="array" ref="H48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480" s="78" t="str" cm="1">
        <f t="array" ref="I48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481" spans="1:9" hidden="1" x14ac:dyDescent="0.3">
      <c r="A481" s="82" t="str" cm="1">
        <f t="array" ref="A48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481" s="79" t="e">
        <f>'BKG Bank'!#REF!</f>
        <v>#REF!</v>
      </c>
      <c r="C481" s="108" t="e">
        <f>'BKG Bank'!#REF!</f>
        <v>#REF!</v>
      </c>
      <c r="D481" s="79" t="str" cm="1">
        <f t="array" ref="D48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481" s="79" t="str" cm="1">
        <f t="array" ref="E48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481" s="80" t="str" cm="1">
        <f t="array" ref="F48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481" s="80" t="str" cm="1">
        <f t="array" ref="G48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481" s="80" t="str" cm="1">
        <f t="array" ref="H48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481" s="78" t="str" cm="1">
        <f t="array" ref="I48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482" spans="1:9" hidden="1" x14ac:dyDescent="0.3">
      <c r="A482" s="82" t="str" cm="1">
        <f t="array" ref="A48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482" s="79" t="e">
        <f>'BKG Bank'!#REF!</f>
        <v>#REF!</v>
      </c>
      <c r="C482" s="108" t="e">
        <f>'BKG Bank'!#REF!</f>
        <v>#REF!</v>
      </c>
      <c r="D482" s="79" t="str" cm="1">
        <f t="array" ref="D48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482" s="79" t="str" cm="1">
        <f t="array" ref="E48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482" s="80" t="str" cm="1">
        <f t="array" ref="F48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482" s="80" t="str" cm="1">
        <f t="array" ref="G48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482" s="80" t="str" cm="1">
        <f t="array" ref="H48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482" s="78" t="str" cm="1">
        <f t="array" ref="I48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483" spans="1:9" hidden="1" x14ac:dyDescent="0.3">
      <c r="A483" s="82" t="str" cm="1">
        <f t="array" ref="A48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483" s="79" t="e">
        <f>'BKG Bank'!#REF!</f>
        <v>#REF!</v>
      </c>
      <c r="C483" s="108" t="e">
        <f>'BKG Bank'!#REF!</f>
        <v>#REF!</v>
      </c>
      <c r="D483" s="79" t="str" cm="1">
        <f t="array" ref="D48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483" s="79" t="str" cm="1">
        <f t="array" ref="E48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483" s="80" t="str" cm="1">
        <f t="array" ref="F48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483" s="80" t="str" cm="1">
        <f t="array" ref="G48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483" s="80" t="str" cm="1">
        <f t="array" ref="H48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483" s="78" t="str" cm="1">
        <f t="array" ref="I48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484" spans="1:9" hidden="1" x14ac:dyDescent="0.3">
      <c r="A484" s="82" t="str" cm="1">
        <f t="array" ref="A48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484" s="79" t="e">
        <f>'BKG Bank'!#REF!</f>
        <v>#REF!</v>
      </c>
      <c r="C484" s="108" t="e">
        <f>'BKG Bank'!#REF!</f>
        <v>#REF!</v>
      </c>
      <c r="D484" s="79" t="str" cm="1">
        <f t="array" ref="D48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484" s="79" t="str" cm="1">
        <f t="array" ref="E48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484" s="80" t="str" cm="1">
        <f t="array" ref="F48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484" s="80" t="str" cm="1">
        <f t="array" ref="G48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484" s="80" t="str" cm="1">
        <f t="array" ref="H48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484" s="78" t="str" cm="1">
        <f t="array" ref="I48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485" spans="1:9" hidden="1" x14ac:dyDescent="0.3">
      <c r="A485" s="82" t="str" cm="1">
        <f t="array" ref="A48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485" s="79" t="e">
        <f>'BKG Bank'!#REF!</f>
        <v>#REF!</v>
      </c>
      <c r="C485" s="108" t="e">
        <f>'BKG Bank'!#REF!</f>
        <v>#REF!</v>
      </c>
      <c r="D485" s="79" t="str" cm="1">
        <f t="array" ref="D48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485" s="79" t="str" cm="1">
        <f t="array" ref="E48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485" s="80" t="str" cm="1">
        <f t="array" ref="F48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485" s="80" t="str" cm="1">
        <f t="array" ref="G48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485" s="80" t="str" cm="1">
        <f t="array" ref="H48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485" s="78" t="str" cm="1">
        <f t="array" ref="I48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486" spans="1:9" hidden="1" x14ac:dyDescent="0.3">
      <c r="A486" s="82" t="str" cm="1">
        <f t="array" ref="A48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486" s="79" t="e">
        <f>'BKG Bank'!#REF!</f>
        <v>#REF!</v>
      </c>
      <c r="C486" s="108" t="e">
        <f>'BKG Bank'!#REF!</f>
        <v>#REF!</v>
      </c>
      <c r="D486" s="79" t="str" cm="1">
        <f t="array" ref="D48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486" s="79" t="str" cm="1">
        <f t="array" ref="E48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486" s="80" t="str" cm="1">
        <f t="array" ref="F48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486" s="80" t="str" cm="1">
        <f t="array" ref="G48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486" s="80" t="str" cm="1">
        <f t="array" ref="H48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486" s="78" t="str" cm="1">
        <f t="array" ref="I48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487" spans="1:9" hidden="1" x14ac:dyDescent="0.3">
      <c r="A487" s="82" t="str" cm="1">
        <f t="array" ref="A48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487" s="79" t="e">
        <f>'BKG Bank'!#REF!</f>
        <v>#REF!</v>
      </c>
      <c r="C487" s="108" t="e">
        <f>'BKG Bank'!#REF!</f>
        <v>#REF!</v>
      </c>
      <c r="D487" s="79" t="str" cm="1">
        <f t="array" ref="D48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487" s="79" t="str" cm="1">
        <f t="array" ref="E48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487" s="80" t="str" cm="1">
        <f t="array" ref="F48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487" s="80" t="str" cm="1">
        <f t="array" ref="G48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487" s="80" t="str" cm="1">
        <f t="array" ref="H48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487" s="78" t="str" cm="1">
        <f t="array" ref="I48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488" spans="1:9" hidden="1" x14ac:dyDescent="0.3">
      <c r="A488" s="82" t="str" cm="1">
        <f t="array" ref="A48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488" s="79" t="e">
        <f>'BKG Bank'!#REF!</f>
        <v>#REF!</v>
      </c>
      <c r="C488" s="108" t="e">
        <f>'BKG Bank'!#REF!</f>
        <v>#REF!</v>
      </c>
      <c r="D488" s="79" t="str" cm="1">
        <f t="array" ref="D48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488" s="79" t="str" cm="1">
        <f t="array" ref="E48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488" s="80" t="str" cm="1">
        <f t="array" ref="F48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488" s="80" t="str" cm="1">
        <f t="array" ref="G48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488" s="80" t="str" cm="1">
        <f t="array" ref="H48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488" s="78" t="str" cm="1">
        <f t="array" ref="I48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489" spans="1:9" hidden="1" x14ac:dyDescent="0.3">
      <c r="A489" s="82" t="str" cm="1">
        <f t="array" ref="A48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489" s="79" t="e">
        <f>'BKG Bank'!#REF!</f>
        <v>#REF!</v>
      </c>
      <c r="C489" s="108" t="e">
        <f>'BKG Bank'!#REF!</f>
        <v>#REF!</v>
      </c>
      <c r="D489" s="79" t="str" cm="1">
        <f t="array" ref="D48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489" s="79" t="str" cm="1">
        <f t="array" ref="E48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489" s="80" t="str" cm="1">
        <f t="array" ref="F48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489" s="80" t="str" cm="1">
        <f t="array" ref="G48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489" s="80" t="str" cm="1">
        <f t="array" ref="H48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489" s="78" t="str" cm="1">
        <f t="array" ref="I48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490" spans="1:9" hidden="1" x14ac:dyDescent="0.3">
      <c r="A490" s="82" t="str" cm="1">
        <f t="array" ref="A49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490" s="79" t="e">
        <f>'BKG Bank'!#REF!</f>
        <v>#REF!</v>
      </c>
      <c r="C490" s="108" t="e">
        <f>'BKG Bank'!#REF!</f>
        <v>#REF!</v>
      </c>
      <c r="D490" s="79" t="str" cm="1">
        <f t="array" ref="D49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490" s="79" t="str" cm="1">
        <f t="array" ref="E49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490" s="80" t="str" cm="1">
        <f t="array" ref="F49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490" s="80" t="str" cm="1">
        <f t="array" ref="G49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490" s="80" t="str" cm="1">
        <f t="array" ref="H49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490" s="78" t="str" cm="1">
        <f t="array" ref="I49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491" spans="1:9" hidden="1" x14ac:dyDescent="0.3">
      <c r="A491" s="82" t="str" cm="1">
        <f t="array" ref="A49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491" s="79" t="e">
        <f>'BKG Bank'!#REF!</f>
        <v>#REF!</v>
      </c>
      <c r="C491" s="108" t="e">
        <f>'BKG Bank'!#REF!</f>
        <v>#REF!</v>
      </c>
      <c r="D491" s="79" t="str" cm="1">
        <f t="array" ref="D49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491" s="79" t="str" cm="1">
        <f t="array" ref="E49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491" s="80" t="str" cm="1">
        <f t="array" ref="F49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491" s="80" t="str" cm="1">
        <f t="array" ref="G49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491" s="80" t="str" cm="1">
        <f t="array" ref="H49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491" s="78" t="str" cm="1">
        <f t="array" ref="I49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492" spans="1:9" hidden="1" x14ac:dyDescent="0.3">
      <c r="A492" s="82" t="str" cm="1">
        <f t="array" ref="A49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492" s="79" t="e">
        <f>'BKG Bank'!#REF!</f>
        <v>#REF!</v>
      </c>
      <c r="C492" s="108" t="e">
        <f>'BKG Bank'!#REF!</f>
        <v>#REF!</v>
      </c>
      <c r="D492" s="79" t="str" cm="1">
        <f t="array" ref="D49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492" s="79" t="str" cm="1">
        <f t="array" ref="E49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492" s="80" t="str" cm="1">
        <f t="array" ref="F49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492" s="80" t="str" cm="1">
        <f t="array" ref="G49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492" s="80" t="str" cm="1">
        <f t="array" ref="H49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492" s="78" t="str" cm="1">
        <f t="array" ref="I49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493" spans="1:9" hidden="1" x14ac:dyDescent="0.3">
      <c r="A493" s="82" t="str" cm="1">
        <f t="array" ref="A49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493" s="79" t="e">
        <f>'BKG Bank'!#REF!</f>
        <v>#REF!</v>
      </c>
      <c r="C493" s="108" t="e">
        <f>'BKG Bank'!#REF!</f>
        <v>#REF!</v>
      </c>
      <c r="D493" s="79" t="str" cm="1">
        <f t="array" ref="D49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493" s="79" t="str" cm="1">
        <f t="array" ref="E49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493" s="80" t="str" cm="1">
        <f t="array" ref="F49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493" s="80" t="str" cm="1">
        <f t="array" ref="G49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493" s="80" t="str" cm="1">
        <f t="array" ref="H49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493" s="78" t="str" cm="1">
        <f t="array" ref="I49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494" spans="1:9" hidden="1" x14ac:dyDescent="0.3">
      <c r="A494" s="82" t="str" cm="1">
        <f t="array" ref="A49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494" s="79" t="e">
        <f>'BKG Bank'!#REF!</f>
        <v>#REF!</v>
      </c>
      <c r="C494" s="108" t="e">
        <f>'BKG Bank'!#REF!</f>
        <v>#REF!</v>
      </c>
      <c r="D494" s="79" t="str" cm="1">
        <f t="array" ref="D49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494" s="79" t="str" cm="1">
        <f t="array" ref="E49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494" s="80" t="str" cm="1">
        <f t="array" ref="F49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494" s="80" t="str" cm="1">
        <f t="array" ref="G49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494" s="80" t="str" cm="1">
        <f t="array" ref="H49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494" s="78" t="str" cm="1">
        <f t="array" ref="I49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495" spans="1:9" hidden="1" x14ac:dyDescent="0.3">
      <c r="A495" s="82" t="str" cm="1">
        <f t="array" ref="A49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495" s="79" t="e">
        <f>'BKG Bank'!#REF!</f>
        <v>#REF!</v>
      </c>
      <c r="C495" s="108" t="e">
        <f>'BKG Bank'!#REF!</f>
        <v>#REF!</v>
      </c>
      <c r="D495" s="79" t="str" cm="1">
        <f t="array" ref="D49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495" s="79" t="str" cm="1">
        <f t="array" ref="E49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495" s="80" t="str" cm="1">
        <f t="array" ref="F49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495" s="80" t="str" cm="1">
        <f t="array" ref="G49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495" s="80" t="str" cm="1">
        <f t="array" ref="H49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495" s="78" t="str" cm="1">
        <f t="array" ref="I49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496" spans="1:9" hidden="1" x14ac:dyDescent="0.3">
      <c r="A496" s="82" t="str" cm="1">
        <f t="array" ref="A49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496" s="79" t="e">
        <f>'BKG Bank'!#REF!</f>
        <v>#REF!</v>
      </c>
      <c r="C496" s="108" t="e">
        <f>'BKG Bank'!#REF!</f>
        <v>#REF!</v>
      </c>
      <c r="D496" s="79" t="str" cm="1">
        <f t="array" ref="D49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496" s="79" t="str" cm="1">
        <f t="array" ref="E49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496" s="80" t="str" cm="1">
        <f t="array" ref="F49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496" s="80" t="str" cm="1">
        <f t="array" ref="G49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496" s="80" t="str" cm="1">
        <f t="array" ref="H49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496" s="78" t="str" cm="1">
        <f t="array" ref="I49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497" spans="1:9" hidden="1" x14ac:dyDescent="0.3">
      <c r="A497" s="82" t="str" cm="1">
        <f t="array" ref="A49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497" s="79" t="e">
        <f>'BKG Bank'!#REF!</f>
        <v>#REF!</v>
      </c>
      <c r="C497" s="108" t="e">
        <f>'BKG Bank'!#REF!</f>
        <v>#REF!</v>
      </c>
      <c r="D497" s="79" t="str" cm="1">
        <f t="array" ref="D49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497" s="79" t="str" cm="1">
        <f t="array" ref="E49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497" s="80" t="str" cm="1">
        <f t="array" ref="F49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497" s="80" t="str" cm="1">
        <f t="array" ref="G49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497" s="80" t="str" cm="1">
        <f t="array" ref="H49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497" s="78" t="str" cm="1">
        <f t="array" ref="I49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498" spans="1:9" hidden="1" x14ac:dyDescent="0.3">
      <c r="A498" s="82" t="str" cm="1">
        <f t="array" ref="A49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498" s="79" t="e">
        <f>'BKG Bank'!#REF!</f>
        <v>#REF!</v>
      </c>
      <c r="C498" s="108" t="e">
        <f>'BKG Bank'!#REF!</f>
        <v>#REF!</v>
      </c>
      <c r="D498" s="79" t="str" cm="1">
        <f t="array" ref="D49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498" s="79" t="str" cm="1">
        <f t="array" ref="E49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498" s="80" t="str" cm="1">
        <f t="array" ref="F49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498" s="80" t="str" cm="1">
        <f t="array" ref="G49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498" s="80" t="str" cm="1">
        <f t="array" ref="H49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498" s="78" t="str" cm="1">
        <f t="array" ref="I49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499" spans="1:9" hidden="1" x14ac:dyDescent="0.3">
      <c r="A499" s="82" t="str" cm="1">
        <f t="array" ref="A49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499" s="79" t="e">
        <f>'BKG Bank'!#REF!</f>
        <v>#REF!</v>
      </c>
      <c r="C499" s="108" t="e">
        <f>'BKG Bank'!#REF!</f>
        <v>#REF!</v>
      </c>
      <c r="D499" s="79" t="str" cm="1">
        <f t="array" ref="D49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499" s="79" t="str" cm="1">
        <f t="array" ref="E49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499" s="80" t="str" cm="1">
        <f t="array" ref="F49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499" s="80" t="str" cm="1">
        <f t="array" ref="G49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499" s="80" t="str" cm="1">
        <f t="array" ref="H49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499" s="78" t="str" cm="1">
        <f t="array" ref="I49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500" spans="1:9" hidden="1" x14ac:dyDescent="0.3">
      <c r="A500" s="82" t="str" cm="1">
        <f t="array" ref="A50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500" s="79" t="e">
        <f>'BKG Bank'!#REF!</f>
        <v>#REF!</v>
      </c>
      <c r="C500" s="108" t="e">
        <f>'BKG Bank'!#REF!</f>
        <v>#REF!</v>
      </c>
      <c r="D500" s="79" t="str" cm="1">
        <f t="array" ref="D50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500" s="79" t="str" cm="1">
        <f t="array" ref="E50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500" s="80" t="str" cm="1">
        <f t="array" ref="F50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500" s="80" t="str" cm="1">
        <f t="array" ref="G50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500" s="80" t="str" cm="1">
        <f t="array" ref="H50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500" s="78" t="str" cm="1">
        <f t="array" ref="I50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501" spans="1:9" hidden="1" x14ac:dyDescent="0.3">
      <c r="A501" s="82" t="str" cm="1">
        <f t="array" ref="A50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501" s="79" t="e">
        <f>'BKG Bank'!#REF!</f>
        <v>#REF!</v>
      </c>
      <c r="C501" s="108" t="e">
        <f>'BKG Bank'!#REF!</f>
        <v>#REF!</v>
      </c>
      <c r="D501" s="79" t="str" cm="1">
        <f t="array" ref="D50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501" s="79" t="str" cm="1">
        <f t="array" ref="E50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501" s="80" t="str" cm="1">
        <f t="array" ref="F50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501" s="80" t="str" cm="1">
        <f t="array" ref="G50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501" s="80" t="str" cm="1">
        <f t="array" ref="H50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501" s="78" t="str" cm="1">
        <f t="array" ref="I50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502" spans="1:9" hidden="1" x14ac:dyDescent="0.3">
      <c r="A502" s="82" t="str" cm="1">
        <f t="array" ref="A50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502" s="79" t="e">
        <f>'BKG Bank'!#REF!</f>
        <v>#REF!</v>
      </c>
      <c r="C502" s="108" t="e">
        <f>'BKG Bank'!#REF!</f>
        <v>#REF!</v>
      </c>
      <c r="D502" s="79" t="str" cm="1">
        <f t="array" ref="D50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502" s="79" t="str" cm="1">
        <f t="array" ref="E50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502" s="80" t="str" cm="1">
        <f t="array" ref="F50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502" s="80" t="str" cm="1">
        <f t="array" ref="G50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502" s="80" t="str" cm="1">
        <f t="array" ref="H50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502" s="78" t="str" cm="1">
        <f t="array" ref="I50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503" spans="1:9" hidden="1" x14ac:dyDescent="0.3">
      <c r="A503" s="82" t="str" cm="1">
        <f t="array" ref="A50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503" s="79" t="e">
        <f>'BKG Bank'!#REF!</f>
        <v>#REF!</v>
      </c>
      <c r="C503" s="108" t="e">
        <f>'BKG Bank'!#REF!</f>
        <v>#REF!</v>
      </c>
      <c r="D503" s="79" t="str" cm="1">
        <f t="array" ref="D50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503" s="79" t="str" cm="1">
        <f t="array" ref="E50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503" s="80" t="str" cm="1">
        <f t="array" ref="F50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503" s="80" t="str" cm="1">
        <f t="array" ref="G50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503" s="80" t="str" cm="1">
        <f t="array" ref="H50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503" s="78" t="str" cm="1">
        <f t="array" ref="I50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504" spans="1:9" hidden="1" x14ac:dyDescent="0.3">
      <c r="A504" s="82" t="str" cm="1">
        <f t="array" ref="A50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504" s="79" t="e">
        <f>'BKG Bank'!#REF!</f>
        <v>#REF!</v>
      </c>
      <c r="C504" s="108" t="e">
        <f>'BKG Bank'!#REF!</f>
        <v>#REF!</v>
      </c>
      <c r="D504" s="79" t="str" cm="1">
        <f t="array" ref="D50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504" s="79" t="str" cm="1">
        <f t="array" ref="E50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504" s="80" t="str" cm="1">
        <f t="array" ref="F50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504" s="80" t="str" cm="1">
        <f t="array" ref="G50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504" s="80" t="str" cm="1">
        <f t="array" ref="H50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504" s="78" t="str" cm="1">
        <f t="array" ref="I50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505" spans="1:9" hidden="1" x14ac:dyDescent="0.3">
      <c r="A505" s="82" t="str" cm="1">
        <f t="array" ref="A50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505" s="79" t="e">
        <f>'BKG Bank'!#REF!</f>
        <v>#REF!</v>
      </c>
      <c r="C505" s="108" t="e">
        <f>'BKG Bank'!#REF!</f>
        <v>#REF!</v>
      </c>
      <c r="D505" s="79" t="str" cm="1">
        <f t="array" ref="D50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505" s="79" t="str" cm="1">
        <f t="array" ref="E50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505" s="80" t="str" cm="1">
        <f t="array" ref="F50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505" s="80" t="str" cm="1">
        <f t="array" ref="G50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505" s="80" t="str" cm="1">
        <f t="array" ref="H50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505" s="78" t="str" cm="1">
        <f t="array" ref="I50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506" spans="1:9" hidden="1" x14ac:dyDescent="0.3">
      <c r="A506" s="82" t="str" cm="1">
        <f t="array" ref="A50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506" s="79" t="e">
        <f>'BKG Bank'!#REF!</f>
        <v>#REF!</v>
      </c>
      <c r="C506" s="108" t="e">
        <f>'BKG Bank'!#REF!</f>
        <v>#REF!</v>
      </c>
      <c r="D506" s="79" t="str" cm="1">
        <f t="array" ref="D50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506" s="79" t="str" cm="1">
        <f t="array" ref="E50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506" s="80" t="str" cm="1">
        <f t="array" ref="F50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506" s="80" t="str" cm="1">
        <f t="array" ref="G50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506" s="80" t="str" cm="1">
        <f t="array" ref="H50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506" s="78" t="str" cm="1">
        <f t="array" ref="I50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507" spans="1:9" hidden="1" x14ac:dyDescent="0.3">
      <c r="A507" s="82" t="str" cm="1">
        <f t="array" ref="A50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507" s="79" t="e">
        <f>'BKG Bank'!#REF!</f>
        <v>#REF!</v>
      </c>
      <c r="C507" s="108" t="e">
        <f>'BKG Bank'!#REF!</f>
        <v>#REF!</v>
      </c>
      <c r="D507" s="79" t="str" cm="1">
        <f t="array" ref="D50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507" s="79" t="str" cm="1">
        <f t="array" ref="E50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507" s="80" t="str" cm="1">
        <f t="array" ref="F50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507" s="80" t="str" cm="1">
        <f t="array" ref="G50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507" s="80" t="str" cm="1">
        <f t="array" ref="H50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507" s="78" t="str" cm="1">
        <f t="array" ref="I50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508" spans="1:9" hidden="1" x14ac:dyDescent="0.3">
      <c r="A508" s="82" t="str" cm="1">
        <f t="array" ref="A50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508" s="79" t="e">
        <f>'BKG Bank'!#REF!</f>
        <v>#REF!</v>
      </c>
      <c r="C508" s="108" t="e">
        <f>'BKG Bank'!#REF!</f>
        <v>#REF!</v>
      </c>
      <c r="D508" s="79" t="str" cm="1">
        <f t="array" ref="D50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508" s="79" t="str" cm="1">
        <f t="array" ref="E50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508" s="80" t="str" cm="1">
        <f t="array" ref="F50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508" s="80" t="str" cm="1">
        <f t="array" ref="G50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508" s="80" t="str" cm="1">
        <f t="array" ref="H50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508" s="78" t="str" cm="1">
        <f t="array" ref="I50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509" spans="1:9" hidden="1" x14ac:dyDescent="0.3">
      <c r="A509" s="82" t="str" cm="1">
        <f t="array" ref="A50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509" s="79" t="e">
        <f>'BKG Bank'!#REF!</f>
        <v>#REF!</v>
      </c>
      <c r="C509" s="108" t="e">
        <f>'BKG Bank'!#REF!</f>
        <v>#REF!</v>
      </c>
      <c r="D509" s="79" t="str" cm="1">
        <f t="array" ref="D50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509" s="79" t="str" cm="1">
        <f t="array" ref="E50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509" s="80" t="str" cm="1">
        <f t="array" ref="F50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509" s="80" t="str" cm="1">
        <f t="array" ref="G50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509" s="80" t="str" cm="1">
        <f t="array" ref="H50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509" s="78" t="str" cm="1">
        <f t="array" ref="I50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510" spans="1:9" hidden="1" x14ac:dyDescent="0.3">
      <c r="A510" s="82" t="str" cm="1">
        <f t="array" ref="A51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510" s="79" t="e">
        <f>'BKG Bank'!#REF!</f>
        <v>#REF!</v>
      </c>
      <c r="C510" s="108" t="e">
        <f>'BKG Bank'!#REF!</f>
        <v>#REF!</v>
      </c>
      <c r="D510" s="79" t="str" cm="1">
        <f t="array" ref="D51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510" s="79" t="str" cm="1">
        <f t="array" ref="E51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510" s="80" t="str" cm="1">
        <f t="array" ref="F51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510" s="80" t="str" cm="1">
        <f t="array" ref="G51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510" s="80" t="str" cm="1">
        <f t="array" ref="H51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510" s="78" t="str" cm="1">
        <f t="array" ref="I51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511" spans="1:9" hidden="1" x14ac:dyDescent="0.3">
      <c r="A511" s="82" t="str" cm="1">
        <f t="array" ref="A51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511" s="79" t="e">
        <f>'BKG Bank'!#REF!</f>
        <v>#REF!</v>
      </c>
      <c r="C511" s="108" t="e">
        <f>'BKG Bank'!#REF!</f>
        <v>#REF!</v>
      </c>
      <c r="D511" s="79" t="str" cm="1">
        <f t="array" ref="D51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511" s="79" t="str" cm="1">
        <f t="array" ref="E51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511" s="80" t="str" cm="1">
        <f t="array" ref="F51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511" s="80" t="str" cm="1">
        <f t="array" ref="G51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511" s="80" t="str" cm="1">
        <f t="array" ref="H51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511" s="78" t="str" cm="1">
        <f t="array" ref="I51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512" spans="1:9" hidden="1" x14ac:dyDescent="0.3">
      <c r="A512" s="82" t="str" cm="1">
        <f t="array" ref="A51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512" s="79" t="e">
        <f>'BKG Bank'!#REF!</f>
        <v>#REF!</v>
      </c>
      <c r="C512" s="108" t="e">
        <f>'BKG Bank'!#REF!</f>
        <v>#REF!</v>
      </c>
      <c r="D512" s="79" t="str" cm="1">
        <f t="array" ref="D51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512" s="79" t="str" cm="1">
        <f t="array" ref="E51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512" s="80" t="str" cm="1">
        <f t="array" ref="F51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512" s="80" t="str" cm="1">
        <f t="array" ref="G51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512" s="80" t="str" cm="1">
        <f t="array" ref="H51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512" s="78" t="str" cm="1">
        <f t="array" ref="I51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513" spans="1:9" hidden="1" x14ac:dyDescent="0.3">
      <c r="A513" s="82" t="str" cm="1">
        <f t="array" ref="A51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513" s="79" t="e">
        <f>'BKG Bank'!#REF!</f>
        <v>#REF!</v>
      </c>
      <c r="C513" s="108" t="e">
        <f>'BKG Bank'!#REF!</f>
        <v>#REF!</v>
      </c>
      <c r="D513" s="79" t="str" cm="1">
        <f t="array" ref="D51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513" s="79" t="str" cm="1">
        <f t="array" ref="E51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513" s="80" t="str" cm="1">
        <f t="array" ref="F51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513" s="80" t="str" cm="1">
        <f t="array" ref="G51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513" s="80" t="str" cm="1">
        <f t="array" ref="H51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513" s="78" t="str" cm="1">
        <f t="array" ref="I51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514" spans="1:9" hidden="1" x14ac:dyDescent="0.3">
      <c r="A514" s="82" t="str" cm="1">
        <f t="array" ref="A51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514" s="79" t="e">
        <f>'BKG Bank'!#REF!</f>
        <v>#REF!</v>
      </c>
      <c r="C514" s="108" t="e">
        <f>'BKG Bank'!#REF!</f>
        <v>#REF!</v>
      </c>
      <c r="D514" s="79" t="str" cm="1">
        <f t="array" ref="D51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514" s="79" t="str" cm="1">
        <f t="array" ref="E51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514" s="80" t="str" cm="1">
        <f t="array" ref="F51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514" s="80" t="str" cm="1">
        <f t="array" ref="G51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514" s="80" t="str" cm="1">
        <f t="array" ref="H51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514" s="78" t="str" cm="1">
        <f t="array" ref="I51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515" spans="1:9" hidden="1" x14ac:dyDescent="0.3">
      <c r="A515" s="82" t="str" cm="1">
        <f t="array" ref="A51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515" s="79" t="e">
        <f>'BKG Bank'!#REF!</f>
        <v>#REF!</v>
      </c>
      <c r="C515" s="108" t="e">
        <f>'BKG Bank'!#REF!</f>
        <v>#REF!</v>
      </c>
      <c r="D515" s="79" t="str" cm="1">
        <f t="array" ref="D51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515" s="79" t="str" cm="1">
        <f t="array" ref="E51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515" s="80" t="str" cm="1">
        <f t="array" ref="F51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515" s="80" t="str" cm="1">
        <f t="array" ref="G51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515" s="80" t="str" cm="1">
        <f t="array" ref="H51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515" s="78" t="str" cm="1">
        <f t="array" ref="I51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516" spans="1:9" hidden="1" x14ac:dyDescent="0.3">
      <c r="A516" s="82" t="str" cm="1">
        <f t="array" ref="A51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516" s="79" t="e">
        <f>'BKG Bank'!#REF!</f>
        <v>#REF!</v>
      </c>
      <c r="C516" s="108" t="e">
        <f>'BKG Bank'!#REF!</f>
        <v>#REF!</v>
      </c>
      <c r="D516" s="79" t="str" cm="1">
        <f t="array" ref="D51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516" s="79" t="str" cm="1">
        <f t="array" ref="E51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516" s="80" t="str" cm="1">
        <f t="array" ref="F51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516" s="80" t="str" cm="1">
        <f t="array" ref="G51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516" s="80" t="str" cm="1">
        <f t="array" ref="H51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516" s="78" t="str" cm="1">
        <f t="array" ref="I51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517" spans="1:9" hidden="1" x14ac:dyDescent="0.3">
      <c r="A517" s="82" t="str" cm="1">
        <f t="array" ref="A51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517" s="79" t="e">
        <f>'BKG Bank'!#REF!</f>
        <v>#REF!</v>
      </c>
      <c r="C517" s="108" t="e">
        <f>'BKG Bank'!#REF!</f>
        <v>#REF!</v>
      </c>
      <c r="D517" s="79" t="str" cm="1">
        <f t="array" ref="D51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517" s="79" t="str" cm="1">
        <f t="array" ref="E51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517" s="80" t="str" cm="1">
        <f t="array" ref="F51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517" s="80" t="str" cm="1">
        <f t="array" ref="G51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517" s="80" t="str" cm="1">
        <f t="array" ref="H51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517" s="78" t="str" cm="1">
        <f t="array" ref="I51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518" spans="1:9" hidden="1" x14ac:dyDescent="0.3">
      <c r="A518" s="82" t="str" cm="1">
        <f t="array" ref="A51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518" s="79" t="e">
        <f>'BKG Bank'!#REF!</f>
        <v>#REF!</v>
      </c>
      <c r="C518" s="108" t="e">
        <f>'BKG Bank'!#REF!</f>
        <v>#REF!</v>
      </c>
      <c r="D518" s="79" t="str" cm="1">
        <f t="array" ref="D51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518" s="79" t="str" cm="1">
        <f t="array" ref="E51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518" s="80" t="str" cm="1">
        <f t="array" ref="F51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518" s="80" t="str" cm="1">
        <f t="array" ref="G51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518" s="80" t="str" cm="1">
        <f t="array" ref="H51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518" s="78" t="str" cm="1">
        <f t="array" ref="I51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519" spans="1:9" hidden="1" x14ac:dyDescent="0.3">
      <c r="A519" s="82" t="str" cm="1">
        <f t="array" ref="A51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519" s="79" t="e">
        <f>'BKG Bank'!#REF!</f>
        <v>#REF!</v>
      </c>
      <c r="C519" s="108" t="e">
        <f>'BKG Bank'!#REF!</f>
        <v>#REF!</v>
      </c>
      <c r="D519" s="79" t="str" cm="1">
        <f t="array" ref="D51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519" s="79" t="str" cm="1">
        <f t="array" ref="E51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519" s="80" t="str" cm="1">
        <f t="array" ref="F51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519" s="80" t="str" cm="1">
        <f t="array" ref="G51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519" s="80" t="str" cm="1">
        <f t="array" ref="H51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519" s="78" t="str" cm="1">
        <f t="array" ref="I51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520" spans="1:9" hidden="1" x14ac:dyDescent="0.3">
      <c r="A520" s="82" t="str" cm="1">
        <f t="array" ref="A52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520" s="79" t="e">
        <f>'BKG Bank'!#REF!</f>
        <v>#REF!</v>
      </c>
      <c r="C520" s="108" t="e">
        <f>'BKG Bank'!#REF!</f>
        <v>#REF!</v>
      </c>
      <c r="D520" s="79" t="str" cm="1">
        <f t="array" ref="D52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520" s="79" t="str" cm="1">
        <f t="array" ref="E52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520" s="80" t="str" cm="1">
        <f t="array" ref="F52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520" s="80" t="str" cm="1">
        <f t="array" ref="G52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520" s="80" t="str" cm="1">
        <f t="array" ref="H52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520" s="78" t="str" cm="1">
        <f t="array" ref="I52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521" spans="1:9" hidden="1" x14ac:dyDescent="0.3">
      <c r="A521" s="82" t="str" cm="1">
        <f t="array" ref="A52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521" s="79" t="e">
        <f>'BKG Bank'!#REF!</f>
        <v>#REF!</v>
      </c>
      <c r="C521" s="108" t="e">
        <f>'BKG Bank'!#REF!</f>
        <v>#REF!</v>
      </c>
      <c r="D521" s="79" t="str" cm="1">
        <f t="array" ref="D52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521" s="79" t="str" cm="1">
        <f t="array" ref="E52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521" s="80" t="str" cm="1">
        <f t="array" ref="F52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521" s="80" t="str" cm="1">
        <f t="array" ref="G52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521" s="80" t="str" cm="1">
        <f t="array" ref="H52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521" s="78" t="str" cm="1">
        <f t="array" ref="I52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522" spans="1:9" hidden="1" x14ac:dyDescent="0.3">
      <c r="A522" s="82" t="str" cm="1">
        <f t="array" ref="A52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522" s="79" t="e">
        <f>'BKG Bank'!#REF!</f>
        <v>#REF!</v>
      </c>
      <c r="C522" s="108" t="e">
        <f>'BKG Bank'!#REF!</f>
        <v>#REF!</v>
      </c>
      <c r="D522" s="79" t="str" cm="1">
        <f t="array" ref="D52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522" s="79" t="str" cm="1">
        <f t="array" ref="E52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522" s="80" t="str" cm="1">
        <f t="array" ref="F52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522" s="80" t="str" cm="1">
        <f t="array" ref="G52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522" s="80" t="str" cm="1">
        <f t="array" ref="H52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522" s="78" t="str" cm="1">
        <f t="array" ref="I52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523" spans="1:9" hidden="1" x14ac:dyDescent="0.3">
      <c r="A523" s="82" t="str" cm="1">
        <f t="array" ref="A52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523" s="79" t="e">
        <f>'BKG Bank'!#REF!</f>
        <v>#REF!</v>
      </c>
      <c r="C523" s="108" t="e">
        <f>'BKG Bank'!#REF!</f>
        <v>#REF!</v>
      </c>
      <c r="D523" s="79" t="str" cm="1">
        <f t="array" ref="D52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523" s="79" t="str" cm="1">
        <f t="array" ref="E52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523" s="80" t="str" cm="1">
        <f t="array" ref="F52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523" s="80" t="str" cm="1">
        <f t="array" ref="G52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523" s="80" t="str" cm="1">
        <f t="array" ref="H52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523" s="78" t="str" cm="1">
        <f t="array" ref="I52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524" spans="1:9" hidden="1" x14ac:dyDescent="0.3">
      <c r="A524" s="82" t="str" cm="1">
        <f t="array" ref="A52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524" s="79" t="e">
        <f>'BKG Bank'!#REF!</f>
        <v>#REF!</v>
      </c>
      <c r="C524" s="108" t="e">
        <f>'BKG Bank'!#REF!</f>
        <v>#REF!</v>
      </c>
      <c r="D524" s="79" t="str" cm="1">
        <f t="array" ref="D52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524" s="79" t="str" cm="1">
        <f t="array" ref="E52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524" s="80" t="str" cm="1">
        <f t="array" ref="F52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524" s="80" t="str" cm="1">
        <f t="array" ref="G52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524" s="80" t="str" cm="1">
        <f t="array" ref="H52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524" s="78" t="str" cm="1">
        <f t="array" ref="I52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525" spans="1:9" hidden="1" x14ac:dyDescent="0.3">
      <c r="A525" s="82" t="str" cm="1">
        <f t="array" ref="A52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525" s="79" t="e">
        <f>'BKG Bank'!#REF!</f>
        <v>#REF!</v>
      </c>
      <c r="C525" s="108" t="e">
        <f>'BKG Bank'!#REF!</f>
        <v>#REF!</v>
      </c>
      <c r="D525" s="79" t="str" cm="1">
        <f t="array" ref="D52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525" s="79" t="str" cm="1">
        <f t="array" ref="E52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525" s="80" t="str" cm="1">
        <f t="array" ref="F52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525" s="80" t="str" cm="1">
        <f t="array" ref="G52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525" s="80" t="str" cm="1">
        <f t="array" ref="H52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525" s="78" t="str" cm="1">
        <f t="array" ref="I52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526" spans="1:9" hidden="1" x14ac:dyDescent="0.3">
      <c r="A526" s="82" t="str" cm="1">
        <f t="array" ref="A52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526" s="79" t="e">
        <f>'BKG Bank'!#REF!</f>
        <v>#REF!</v>
      </c>
      <c r="C526" s="108" t="e">
        <f>'BKG Bank'!#REF!</f>
        <v>#REF!</v>
      </c>
      <c r="D526" s="79" t="str" cm="1">
        <f t="array" ref="D52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526" s="79" t="str" cm="1">
        <f t="array" ref="E52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526" s="80" t="str" cm="1">
        <f t="array" ref="F52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526" s="80" t="str" cm="1">
        <f t="array" ref="G52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526" s="80" t="str" cm="1">
        <f t="array" ref="H52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526" s="78" t="str" cm="1">
        <f t="array" ref="I52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527" spans="1:9" hidden="1" x14ac:dyDescent="0.3">
      <c r="A527" s="82" t="str" cm="1">
        <f t="array" ref="A52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527" s="79" t="e">
        <f>'BKG Bank'!#REF!</f>
        <v>#REF!</v>
      </c>
      <c r="C527" s="108" t="e">
        <f>'BKG Bank'!#REF!</f>
        <v>#REF!</v>
      </c>
      <c r="D527" s="79" t="str" cm="1">
        <f t="array" ref="D52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527" s="79" t="str" cm="1">
        <f t="array" ref="E52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527" s="80" t="str" cm="1">
        <f t="array" ref="F52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527" s="80" t="str" cm="1">
        <f t="array" ref="G52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527" s="80" t="str" cm="1">
        <f t="array" ref="H52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527" s="78" t="str" cm="1">
        <f t="array" ref="I52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528" spans="1:9" hidden="1" x14ac:dyDescent="0.3">
      <c r="A528" s="82" t="str" cm="1">
        <f t="array" ref="A52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528" s="79" t="e">
        <f>'BKG Bank'!#REF!</f>
        <v>#REF!</v>
      </c>
      <c r="C528" s="108" t="e">
        <f>'BKG Bank'!#REF!</f>
        <v>#REF!</v>
      </c>
      <c r="D528" s="79" t="str" cm="1">
        <f t="array" ref="D52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528" s="79" t="str" cm="1">
        <f t="array" ref="E52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528" s="80" t="str" cm="1">
        <f t="array" ref="F52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528" s="80" t="str" cm="1">
        <f t="array" ref="G52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528" s="80" t="str" cm="1">
        <f t="array" ref="H52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528" s="78" t="str" cm="1">
        <f t="array" ref="I52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529" spans="1:9" hidden="1" x14ac:dyDescent="0.3">
      <c r="A529" s="82" t="str" cm="1">
        <f t="array" ref="A52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529" s="79" t="e">
        <f>'BKG Bank'!#REF!</f>
        <v>#REF!</v>
      </c>
      <c r="C529" s="108" t="e">
        <f>'BKG Bank'!#REF!</f>
        <v>#REF!</v>
      </c>
      <c r="D529" s="79" t="str" cm="1">
        <f t="array" ref="D52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529" s="79" t="str" cm="1">
        <f t="array" ref="E52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529" s="80" t="str" cm="1">
        <f t="array" ref="F52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529" s="80" t="str" cm="1">
        <f t="array" ref="G52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529" s="80" t="str" cm="1">
        <f t="array" ref="H52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529" s="78" t="str" cm="1">
        <f t="array" ref="I52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530" spans="1:9" hidden="1" x14ac:dyDescent="0.3">
      <c r="A530" s="82" t="str" cm="1">
        <f t="array" ref="A53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530" s="79" t="e">
        <f>'BKG Bank'!#REF!</f>
        <v>#REF!</v>
      </c>
      <c r="C530" s="108" t="e">
        <f>'BKG Bank'!#REF!</f>
        <v>#REF!</v>
      </c>
      <c r="D530" s="79" t="str" cm="1">
        <f t="array" ref="D53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530" s="79" t="str" cm="1">
        <f t="array" ref="E53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530" s="80" t="str" cm="1">
        <f t="array" ref="F53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530" s="80" t="str" cm="1">
        <f t="array" ref="G53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530" s="80" t="str" cm="1">
        <f t="array" ref="H53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530" s="78" t="str" cm="1">
        <f t="array" ref="I53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531" spans="1:9" hidden="1" x14ac:dyDescent="0.3">
      <c r="A531" s="82" t="str" cm="1">
        <f t="array" ref="A53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531" s="79" t="e">
        <f>'BKG Bank'!#REF!</f>
        <v>#REF!</v>
      </c>
      <c r="C531" s="108" t="e">
        <f>'BKG Bank'!#REF!</f>
        <v>#REF!</v>
      </c>
      <c r="D531" s="79" t="str" cm="1">
        <f t="array" ref="D53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531" s="79" t="str" cm="1">
        <f t="array" ref="E53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531" s="80" t="str" cm="1">
        <f t="array" ref="F53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531" s="80" t="str" cm="1">
        <f t="array" ref="G53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531" s="80" t="str" cm="1">
        <f t="array" ref="H53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531" s="78" t="str" cm="1">
        <f t="array" ref="I53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532" spans="1:9" hidden="1" x14ac:dyDescent="0.3">
      <c r="A532" s="82" t="str" cm="1">
        <f t="array" ref="A53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532" s="79" t="e">
        <f>'BKG Bank'!#REF!</f>
        <v>#REF!</v>
      </c>
      <c r="C532" s="108" t="e">
        <f>'BKG Bank'!#REF!</f>
        <v>#REF!</v>
      </c>
      <c r="D532" s="79" t="str" cm="1">
        <f t="array" ref="D53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532" s="79" t="str" cm="1">
        <f t="array" ref="E53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532" s="80" t="str" cm="1">
        <f t="array" ref="F53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532" s="80" t="str" cm="1">
        <f t="array" ref="G53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532" s="80" t="str" cm="1">
        <f t="array" ref="H53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532" s="78" t="str" cm="1">
        <f t="array" ref="I53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533" spans="1:9" hidden="1" x14ac:dyDescent="0.3">
      <c r="A533" s="82" t="str" cm="1">
        <f t="array" ref="A53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533" s="79" t="e">
        <f>'BKG Bank'!#REF!</f>
        <v>#REF!</v>
      </c>
      <c r="C533" s="108" t="e">
        <f>'BKG Bank'!#REF!</f>
        <v>#REF!</v>
      </c>
      <c r="D533" s="79" t="str" cm="1">
        <f t="array" ref="D53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533" s="79" t="str" cm="1">
        <f t="array" ref="E53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533" s="80" t="str" cm="1">
        <f t="array" ref="F53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533" s="80" t="str" cm="1">
        <f t="array" ref="G53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533" s="80" t="str" cm="1">
        <f t="array" ref="H53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533" s="78" t="str" cm="1">
        <f t="array" ref="I53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534" spans="1:9" hidden="1" x14ac:dyDescent="0.3">
      <c r="A534" s="82" t="str" cm="1">
        <f t="array" ref="A53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534" s="79" t="e">
        <f>'BKG Bank'!#REF!</f>
        <v>#REF!</v>
      </c>
      <c r="C534" s="108" t="e">
        <f>'BKG Bank'!#REF!</f>
        <v>#REF!</v>
      </c>
      <c r="D534" s="79" t="str" cm="1">
        <f t="array" ref="D53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534" s="79" t="str" cm="1">
        <f t="array" ref="E53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534" s="80" t="str" cm="1">
        <f t="array" ref="F53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534" s="80" t="str" cm="1">
        <f t="array" ref="G53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534" s="80" t="str" cm="1">
        <f t="array" ref="H53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534" s="78" t="str" cm="1">
        <f t="array" ref="I53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535" spans="1:9" hidden="1" x14ac:dyDescent="0.3">
      <c r="A535" s="82" t="str" cm="1">
        <f t="array" ref="A53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535" s="79" t="e">
        <f>'BKG Bank'!#REF!</f>
        <v>#REF!</v>
      </c>
      <c r="C535" s="108" t="e">
        <f>'BKG Bank'!#REF!</f>
        <v>#REF!</v>
      </c>
      <c r="D535" s="79" t="str" cm="1">
        <f t="array" ref="D53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535" s="79" t="str" cm="1">
        <f t="array" ref="E53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535" s="80" t="str" cm="1">
        <f t="array" ref="F53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535" s="80" t="str" cm="1">
        <f t="array" ref="G53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535" s="80" t="str" cm="1">
        <f t="array" ref="H53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535" s="78" t="str" cm="1">
        <f t="array" ref="I53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536" spans="1:9" hidden="1" x14ac:dyDescent="0.3">
      <c r="A536" s="82" t="str" cm="1">
        <f t="array" ref="A53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536" s="79" t="e">
        <f>'BKG Bank'!#REF!</f>
        <v>#REF!</v>
      </c>
      <c r="C536" s="108" t="e">
        <f>'BKG Bank'!#REF!</f>
        <v>#REF!</v>
      </c>
      <c r="D536" s="79" t="str" cm="1">
        <f t="array" ref="D53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536" s="79" t="str" cm="1">
        <f t="array" ref="E53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536" s="80" t="str" cm="1">
        <f t="array" ref="F53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536" s="80" t="str" cm="1">
        <f t="array" ref="G53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536" s="80" t="str" cm="1">
        <f t="array" ref="H53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536" s="78" t="str" cm="1">
        <f t="array" ref="I53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537" spans="1:9" hidden="1" x14ac:dyDescent="0.3">
      <c r="A537" s="82" t="str" cm="1">
        <f t="array" ref="A53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537" s="79" t="e">
        <f>'BKG Bank'!#REF!</f>
        <v>#REF!</v>
      </c>
      <c r="C537" s="108" t="e">
        <f>'BKG Bank'!#REF!</f>
        <v>#REF!</v>
      </c>
      <c r="D537" s="79" t="str" cm="1">
        <f t="array" ref="D53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537" s="79" t="str" cm="1">
        <f t="array" ref="E53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537" s="80" t="str" cm="1">
        <f t="array" ref="F53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537" s="80" t="str" cm="1">
        <f t="array" ref="G53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537" s="80" t="str" cm="1">
        <f t="array" ref="H53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537" s="78" t="str" cm="1">
        <f t="array" ref="I53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538" spans="1:9" hidden="1" x14ac:dyDescent="0.3">
      <c r="A538" s="82" t="str" cm="1">
        <f t="array" ref="A53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538" s="79" t="e">
        <f>'BKG Bank'!#REF!</f>
        <v>#REF!</v>
      </c>
      <c r="C538" s="108" t="e">
        <f>'BKG Bank'!#REF!</f>
        <v>#REF!</v>
      </c>
      <c r="D538" s="79" t="str" cm="1">
        <f t="array" ref="D53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538" s="79" t="str" cm="1">
        <f t="array" ref="E53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538" s="80" t="str" cm="1">
        <f t="array" ref="F53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538" s="80" t="str" cm="1">
        <f t="array" ref="G53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538" s="80" t="str" cm="1">
        <f t="array" ref="H53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538" s="78" t="str" cm="1">
        <f t="array" ref="I53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539" spans="1:9" hidden="1" x14ac:dyDescent="0.3">
      <c r="A539" s="82" t="str" cm="1">
        <f t="array" ref="A53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539" s="79" t="e">
        <f>'BKG Bank'!#REF!</f>
        <v>#REF!</v>
      </c>
      <c r="C539" s="108" t="e">
        <f>'BKG Bank'!#REF!</f>
        <v>#REF!</v>
      </c>
      <c r="D539" s="79" t="str" cm="1">
        <f t="array" ref="D53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539" s="79" t="str" cm="1">
        <f t="array" ref="E53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539" s="80" t="str" cm="1">
        <f t="array" ref="F53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539" s="80" t="str" cm="1">
        <f t="array" ref="G53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539" s="80" t="str" cm="1">
        <f t="array" ref="H53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539" s="78" t="str" cm="1">
        <f t="array" ref="I53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540" spans="1:9" hidden="1" x14ac:dyDescent="0.3">
      <c r="A540" s="82" t="str" cm="1">
        <f t="array" ref="A54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540" s="79" t="e">
        <f>'BKG Bank'!#REF!</f>
        <v>#REF!</v>
      </c>
      <c r="C540" s="108" t="e">
        <f>'BKG Bank'!#REF!</f>
        <v>#REF!</v>
      </c>
      <c r="D540" s="79" t="str" cm="1">
        <f t="array" ref="D54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540" s="79" t="str" cm="1">
        <f t="array" ref="E54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540" s="80" t="str" cm="1">
        <f t="array" ref="F54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540" s="80" t="str" cm="1">
        <f t="array" ref="G54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540" s="80" t="str" cm="1">
        <f t="array" ref="H54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540" s="78" t="str" cm="1">
        <f t="array" ref="I54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541" spans="1:9" hidden="1" x14ac:dyDescent="0.3">
      <c r="A541" s="82" t="str" cm="1">
        <f t="array" ref="A54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541" s="79" t="e">
        <f>'BKG Bank'!#REF!</f>
        <v>#REF!</v>
      </c>
      <c r="C541" s="108" t="e">
        <f>'BKG Bank'!#REF!</f>
        <v>#REF!</v>
      </c>
      <c r="D541" s="79" t="str" cm="1">
        <f t="array" ref="D54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541" s="79" t="str" cm="1">
        <f t="array" ref="E54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541" s="80" t="str" cm="1">
        <f t="array" ref="F54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541" s="80" t="str" cm="1">
        <f t="array" ref="G54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541" s="80" t="str" cm="1">
        <f t="array" ref="H54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541" s="78" t="str" cm="1">
        <f t="array" ref="I54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542" spans="1:9" hidden="1" x14ac:dyDescent="0.3">
      <c r="A542" s="82" t="str" cm="1">
        <f t="array" ref="A54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542" s="79" t="e">
        <f>'BKG Bank'!#REF!</f>
        <v>#REF!</v>
      </c>
      <c r="C542" s="108" t="e">
        <f>'BKG Bank'!#REF!</f>
        <v>#REF!</v>
      </c>
      <c r="D542" s="79" t="str" cm="1">
        <f t="array" ref="D54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542" s="79" t="str" cm="1">
        <f t="array" ref="E54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542" s="80" t="str" cm="1">
        <f t="array" ref="F54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542" s="80" t="str" cm="1">
        <f t="array" ref="G54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542" s="80" t="str" cm="1">
        <f t="array" ref="H54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542" s="78" t="str" cm="1">
        <f t="array" ref="I54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543" spans="1:9" hidden="1" x14ac:dyDescent="0.3">
      <c r="A543" s="82" t="str" cm="1">
        <f t="array" ref="A54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543" s="79" t="e">
        <f>'BKG Bank'!#REF!</f>
        <v>#REF!</v>
      </c>
      <c r="C543" s="108" t="e">
        <f>'BKG Bank'!#REF!</f>
        <v>#REF!</v>
      </c>
      <c r="D543" s="79" t="str" cm="1">
        <f t="array" ref="D54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543" s="79" t="str" cm="1">
        <f t="array" ref="E54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543" s="80" t="str" cm="1">
        <f t="array" ref="F54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543" s="80" t="str" cm="1">
        <f t="array" ref="G54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543" s="80" t="str" cm="1">
        <f t="array" ref="H54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543" s="78" t="str" cm="1">
        <f t="array" ref="I54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544" spans="1:9" hidden="1" x14ac:dyDescent="0.3">
      <c r="A544" s="82" t="str" cm="1">
        <f t="array" ref="A54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544" s="79" t="e">
        <f>'BKG Bank'!#REF!</f>
        <v>#REF!</v>
      </c>
      <c r="C544" s="108" t="e">
        <f>'BKG Bank'!#REF!</f>
        <v>#REF!</v>
      </c>
      <c r="D544" s="79" t="str" cm="1">
        <f t="array" ref="D54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544" s="79" t="str" cm="1">
        <f t="array" ref="E54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544" s="80" t="str" cm="1">
        <f t="array" ref="F54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544" s="80" t="str" cm="1">
        <f t="array" ref="G54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544" s="80" t="str" cm="1">
        <f t="array" ref="H54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544" s="78" t="str" cm="1">
        <f t="array" ref="I54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545" spans="1:9" hidden="1" x14ac:dyDescent="0.3">
      <c r="A545" s="82" t="str" cm="1">
        <f t="array" ref="A54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545" s="79" t="e">
        <f>'BKG Bank'!#REF!</f>
        <v>#REF!</v>
      </c>
      <c r="C545" s="108" t="e">
        <f>'BKG Bank'!#REF!</f>
        <v>#REF!</v>
      </c>
      <c r="D545" s="79" t="str" cm="1">
        <f t="array" ref="D54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545" s="79" t="str" cm="1">
        <f t="array" ref="E54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545" s="80" t="str" cm="1">
        <f t="array" ref="F54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545" s="80" t="str" cm="1">
        <f t="array" ref="G54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545" s="80" t="str" cm="1">
        <f t="array" ref="H54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545" s="78" t="str" cm="1">
        <f t="array" ref="I54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546" spans="1:9" hidden="1" x14ac:dyDescent="0.3">
      <c r="A546" s="82" t="str" cm="1">
        <f t="array" ref="A54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546" s="79" t="e">
        <f>'BKG Bank'!#REF!</f>
        <v>#REF!</v>
      </c>
      <c r="C546" s="108" t="e">
        <f>'BKG Bank'!#REF!</f>
        <v>#REF!</v>
      </c>
      <c r="D546" s="79" t="str" cm="1">
        <f t="array" ref="D54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546" s="79" t="str" cm="1">
        <f t="array" ref="E54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546" s="80" t="str" cm="1">
        <f t="array" ref="F54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546" s="80" t="str" cm="1">
        <f t="array" ref="G54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546" s="80" t="str" cm="1">
        <f t="array" ref="H54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546" s="78" t="str" cm="1">
        <f t="array" ref="I54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547" spans="1:9" hidden="1" x14ac:dyDescent="0.3">
      <c r="A547" s="82" t="str" cm="1">
        <f t="array" ref="A54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547" s="79" t="e">
        <f>'BKG Bank'!#REF!</f>
        <v>#REF!</v>
      </c>
      <c r="C547" s="108" t="e">
        <f>'BKG Bank'!#REF!</f>
        <v>#REF!</v>
      </c>
      <c r="D547" s="79" t="str" cm="1">
        <f t="array" ref="D54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547" s="79" t="str" cm="1">
        <f t="array" ref="E54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547" s="80" t="str" cm="1">
        <f t="array" ref="F54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547" s="80" t="str" cm="1">
        <f t="array" ref="G54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547" s="80" t="str" cm="1">
        <f t="array" ref="H54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547" s="78" t="str" cm="1">
        <f t="array" ref="I54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548" spans="1:9" hidden="1" x14ac:dyDescent="0.3">
      <c r="A548" s="82" t="str" cm="1">
        <f t="array" ref="A54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548" s="79" t="e">
        <f>'BKG Bank'!#REF!</f>
        <v>#REF!</v>
      </c>
      <c r="C548" s="108" t="e">
        <f>'BKG Bank'!#REF!</f>
        <v>#REF!</v>
      </c>
      <c r="D548" s="79" t="str" cm="1">
        <f t="array" ref="D54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548" s="79" t="str" cm="1">
        <f t="array" ref="E54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548" s="80" t="str" cm="1">
        <f t="array" ref="F54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548" s="80" t="str" cm="1">
        <f t="array" ref="G54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548" s="80" t="str" cm="1">
        <f t="array" ref="H54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548" s="78" t="str" cm="1">
        <f t="array" ref="I54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549" spans="1:9" hidden="1" x14ac:dyDescent="0.3">
      <c r="A549" s="82" t="str" cm="1">
        <f t="array" ref="A54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549" s="79" t="e">
        <f>'BKG Bank'!#REF!</f>
        <v>#REF!</v>
      </c>
      <c r="C549" s="108" t="e">
        <f>'BKG Bank'!#REF!</f>
        <v>#REF!</v>
      </c>
      <c r="D549" s="79" t="str" cm="1">
        <f t="array" ref="D54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549" s="79" t="str" cm="1">
        <f t="array" ref="E54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549" s="80" t="str" cm="1">
        <f t="array" ref="F54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549" s="80" t="str" cm="1">
        <f t="array" ref="G54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549" s="80" t="str" cm="1">
        <f t="array" ref="H54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549" s="78" t="str" cm="1">
        <f t="array" ref="I54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550" spans="1:9" hidden="1" x14ac:dyDescent="0.3">
      <c r="A550" s="82" t="str" cm="1">
        <f t="array" ref="A55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550" s="79" t="e">
        <f>'BKG Bank'!#REF!</f>
        <v>#REF!</v>
      </c>
      <c r="C550" s="108" t="e">
        <f>'BKG Bank'!#REF!</f>
        <v>#REF!</v>
      </c>
      <c r="D550" s="79" t="str" cm="1">
        <f t="array" ref="D55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550" s="79" t="str" cm="1">
        <f t="array" ref="E55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550" s="80" t="str" cm="1">
        <f t="array" ref="F55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550" s="80" t="str" cm="1">
        <f t="array" ref="G55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550" s="80" t="str" cm="1">
        <f t="array" ref="H55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550" s="78" t="str" cm="1">
        <f t="array" ref="I55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551" spans="1:9" hidden="1" x14ac:dyDescent="0.3">
      <c r="A551" s="82" t="str" cm="1">
        <f t="array" ref="A55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551" s="79" t="e">
        <f>'BKG Bank'!#REF!</f>
        <v>#REF!</v>
      </c>
      <c r="C551" s="108" t="e">
        <f>'BKG Bank'!#REF!</f>
        <v>#REF!</v>
      </c>
      <c r="D551" s="79" t="str" cm="1">
        <f t="array" ref="D55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551" s="79" t="str" cm="1">
        <f t="array" ref="E55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551" s="80" t="str" cm="1">
        <f t="array" ref="F55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551" s="80" t="str" cm="1">
        <f t="array" ref="G55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551" s="80" t="str" cm="1">
        <f t="array" ref="H55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551" s="78" t="str" cm="1">
        <f t="array" ref="I55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552" spans="1:9" hidden="1" x14ac:dyDescent="0.3">
      <c r="A552" s="82" t="str" cm="1">
        <f t="array" ref="A55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552" s="79" t="e">
        <f>'BKG Bank'!#REF!</f>
        <v>#REF!</v>
      </c>
      <c r="C552" s="108" t="e">
        <f>'BKG Bank'!#REF!</f>
        <v>#REF!</v>
      </c>
      <c r="D552" s="79" t="str" cm="1">
        <f t="array" ref="D55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552" s="79" t="str" cm="1">
        <f t="array" ref="E55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552" s="80" t="str" cm="1">
        <f t="array" ref="F55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552" s="80" t="str" cm="1">
        <f t="array" ref="G55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552" s="80" t="str" cm="1">
        <f t="array" ref="H55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552" s="78" t="str" cm="1">
        <f t="array" ref="I55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553" spans="1:9" hidden="1" x14ac:dyDescent="0.3">
      <c r="A553" s="82" t="str" cm="1">
        <f t="array" ref="A55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553" s="79" t="e">
        <f>'BKG Bank'!#REF!</f>
        <v>#REF!</v>
      </c>
      <c r="C553" s="108" t="e">
        <f>'BKG Bank'!#REF!</f>
        <v>#REF!</v>
      </c>
      <c r="D553" s="79" t="str" cm="1">
        <f t="array" ref="D55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553" s="79" t="str" cm="1">
        <f t="array" ref="E55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553" s="80" t="str" cm="1">
        <f t="array" ref="F55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553" s="80" t="str" cm="1">
        <f t="array" ref="G55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553" s="80" t="str" cm="1">
        <f t="array" ref="H55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553" s="78" t="str" cm="1">
        <f t="array" ref="I55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554" spans="1:9" hidden="1" x14ac:dyDescent="0.3">
      <c r="A554" s="82" t="str" cm="1">
        <f t="array" ref="A55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554" s="79" t="e">
        <f>'BKG Bank'!#REF!</f>
        <v>#REF!</v>
      </c>
      <c r="C554" s="108" t="e">
        <f>'BKG Bank'!#REF!</f>
        <v>#REF!</v>
      </c>
      <c r="D554" s="79" t="str" cm="1">
        <f t="array" ref="D55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554" s="79" t="str" cm="1">
        <f t="array" ref="E55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554" s="80" t="str" cm="1">
        <f t="array" ref="F55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554" s="80" t="str" cm="1">
        <f t="array" ref="G55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554" s="80" t="str" cm="1">
        <f t="array" ref="H55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554" s="78" t="str" cm="1">
        <f t="array" ref="I55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555" spans="1:9" hidden="1" x14ac:dyDescent="0.3">
      <c r="A555" s="82" t="str" cm="1">
        <f t="array" ref="A55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555" s="79" t="e">
        <f>'BKG Bank'!#REF!</f>
        <v>#REF!</v>
      </c>
      <c r="C555" s="108" t="e">
        <f>'BKG Bank'!#REF!</f>
        <v>#REF!</v>
      </c>
      <c r="D555" s="79" t="str" cm="1">
        <f t="array" ref="D55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555" s="79" t="str" cm="1">
        <f t="array" ref="E55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555" s="80" t="str" cm="1">
        <f t="array" ref="F55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555" s="80" t="str" cm="1">
        <f t="array" ref="G55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555" s="80" t="str" cm="1">
        <f t="array" ref="H55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555" s="78" t="str" cm="1">
        <f t="array" ref="I55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556" spans="1:9" hidden="1" x14ac:dyDescent="0.3">
      <c r="A556" s="82" t="str" cm="1">
        <f t="array" ref="A55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556" s="79" t="e">
        <f>'BKG Bank'!#REF!</f>
        <v>#REF!</v>
      </c>
      <c r="C556" s="108" t="e">
        <f>'BKG Bank'!#REF!</f>
        <v>#REF!</v>
      </c>
      <c r="D556" s="79" t="str" cm="1">
        <f t="array" ref="D55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556" s="79" t="str" cm="1">
        <f t="array" ref="E55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556" s="80" t="str" cm="1">
        <f t="array" ref="F55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556" s="80" t="str" cm="1">
        <f t="array" ref="G55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556" s="80" t="str" cm="1">
        <f t="array" ref="H55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556" s="78" t="str" cm="1">
        <f t="array" ref="I55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557" spans="1:9" hidden="1" x14ac:dyDescent="0.3">
      <c r="A557" s="82" t="str" cm="1">
        <f t="array" ref="A55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557" s="79" t="e">
        <f>'BKG Bank'!#REF!</f>
        <v>#REF!</v>
      </c>
      <c r="C557" s="108" t="e">
        <f>'BKG Bank'!#REF!</f>
        <v>#REF!</v>
      </c>
      <c r="D557" s="79" t="str" cm="1">
        <f t="array" ref="D55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557" s="79" t="str" cm="1">
        <f t="array" ref="E55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557" s="80" t="str" cm="1">
        <f t="array" ref="F55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557" s="80" t="str" cm="1">
        <f t="array" ref="G55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557" s="80" t="str" cm="1">
        <f t="array" ref="H55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557" s="78" t="str" cm="1">
        <f t="array" ref="I55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558" spans="1:9" hidden="1" x14ac:dyDescent="0.3">
      <c r="A558" s="82" t="str" cm="1">
        <f t="array" ref="A55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558" s="79" t="e">
        <f>'BKG Bank'!#REF!</f>
        <v>#REF!</v>
      </c>
      <c r="C558" s="108" t="e">
        <f>'BKG Bank'!#REF!</f>
        <v>#REF!</v>
      </c>
      <c r="D558" s="79" t="str" cm="1">
        <f t="array" ref="D55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558" s="79" t="str" cm="1">
        <f t="array" ref="E55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558" s="80" t="str" cm="1">
        <f t="array" ref="F55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558" s="80" t="str" cm="1">
        <f t="array" ref="G55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558" s="80" t="str" cm="1">
        <f t="array" ref="H55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558" s="78" t="str" cm="1">
        <f t="array" ref="I55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559" spans="1:9" hidden="1" x14ac:dyDescent="0.3">
      <c r="A559" s="82" t="str" cm="1">
        <f t="array" ref="A55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559" s="79" t="e">
        <f>'BKG Bank'!#REF!</f>
        <v>#REF!</v>
      </c>
      <c r="C559" s="108" t="e">
        <f>'BKG Bank'!#REF!</f>
        <v>#REF!</v>
      </c>
      <c r="D559" s="79" t="str" cm="1">
        <f t="array" ref="D55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559" s="79" t="str" cm="1">
        <f t="array" ref="E55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559" s="80" t="str" cm="1">
        <f t="array" ref="F55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559" s="80" t="str" cm="1">
        <f t="array" ref="G55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559" s="80" t="str" cm="1">
        <f t="array" ref="H55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559" s="78" t="str" cm="1">
        <f t="array" ref="I55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560" spans="1:9" hidden="1" x14ac:dyDescent="0.3">
      <c r="A560" s="82" t="str" cm="1">
        <f t="array" ref="A56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560" s="79" t="e">
        <f>'BKG Bank'!#REF!</f>
        <v>#REF!</v>
      </c>
      <c r="C560" s="108" t="e">
        <f>'BKG Bank'!#REF!</f>
        <v>#REF!</v>
      </c>
      <c r="D560" s="79" t="str" cm="1">
        <f t="array" ref="D56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560" s="79" t="str" cm="1">
        <f t="array" ref="E56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560" s="80" t="str" cm="1">
        <f t="array" ref="F56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560" s="80" t="str" cm="1">
        <f t="array" ref="G56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560" s="80" t="str" cm="1">
        <f t="array" ref="H56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560" s="78" t="str" cm="1">
        <f t="array" ref="I56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561" spans="1:9" hidden="1" x14ac:dyDescent="0.3">
      <c r="A561" s="82" t="str" cm="1">
        <f t="array" ref="A56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561" s="79" t="e">
        <f>'BKG Bank'!#REF!</f>
        <v>#REF!</v>
      </c>
      <c r="C561" s="108" t="e">
        <f>'BKG Bank'!#REF!</f>
        <v>#REF!</v>
      </c>
      <c r="D561" s="79" t="str" cm="1">
        <f t="array" ref="D56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561" s="79" t="str" cm="1">
        <f t="array" ref="E56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561" s="80" t="str" cm="1">
        <f t="array" ref="F56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561" s="80" t="str" cm="1">
        <f t="array" ref="G56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561" s="80" t="str" cm="1">
        <f t="array" ref="H56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561" s="78" t="str" cm="1">
        <f t="array" ref="I56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562" spans="1:9" hidden="1" x14ac:dyDescent="0.3">
      <c r="A562" s="82" t="str" cm="1">
        <f t="array" ref="A56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562" s="79" t="e">
        <f>'BKG Bank'!#REF!</f>
        <v>#REF!</v>
      </c>
      <c r="C562" s="108" t="e">
        <f>'BKG Bank'!#REF!</f>
        <v>#REF!</v>
      </c>
      <c r="D562" s="79" t="str" cm="1">
        <f t="array" ref="D56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562" s="79" t="str" cm="1">
        <f t="array" ref="E56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562" s="80" t="str" cm="1">
        <f t="array" ref="F56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562" s="80" t="str" cm="1">
        <f t="array" ref="G56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562" s="80" t="str" cm="1">
        <f t="array" ref="H56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562" s="78" t="str" cm="1">
        <f t="array" ref="I56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563" spans="1:9" hidden="1" x14ac:dyDescent="0.3">
      <c r="A563" s="82" t="str" cm="1">
        <f t="array" ref="A56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563" s="79" t="e">
        <f>'BKG Bank'!#REF!</f>
        <v>#REF!</v>
      </c>
      <c r="C563" s="108" t="e">
        <f>'BKG Bank'!#REF!</f>
        <v>#REF!</v>
      </c>
      <c r="D563" s="79" t="str" cm="1">
        <f t="array" ref="D56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563" s="79" t="str" cm="1">
        <f t="array" ref="E56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563" s="80" t="str" cm="1">
        <f t="array" ref="F56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563" s="80" t="str" cm="1">
        <f t="array" ref="G56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563" s="80" t="str" cm="1">
        <f t="array" ref="H56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563" s="78" t="str" cm="1">
        <f t="array" ref="I56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564" spans="1:9" hidden="1" x14ac:dyDescent="0.3">
      <c r="A564" s="82" t="str" cm="1">
        <f t="array" ref="A56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564" s="79" t="e">
        <f>'BKG Bank'!#REF!</f>
        <v>#REF!</v>
      </c>
      <c r="C564" s="108" t="e">
        <f>'BKG Bank'!#REF!</f>
        <v>#REF!</v>
      </c>
      <c r="D564" s="79" t="str" cm="1">
        <f t="array" ref="D56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564" s="79" t="str" cm="1">
        <f t="array" ref="E56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564" s="80" t="str" cm="1">
        <f t="array" ref="F56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564" s="80" t="str" cm="1">
        <f t="array" ref="G56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564" s="80" t="str" cm="1">
        <f t="array" ref="H56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564" s="78" t="str" cm="1">
        <f t="array" ref="I56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565" spans="1:9" hidden="1" x14ac:dyDescent="0.3">
      <c r="A565" s="82" t="str" cm="1">
        <f t="array" ref="A56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565" s="79" t="e">
        <f>'BKG Bank'!#REF!</f>
        <v>#REF!</v>
      </c>
      <c r="C565" s="108" t="e">
        <f>'BKG Bank'!#REF!</f>
        <v>#REF!</v>
      </c>
      <c r="D565" s="79" t="str" cm="1">
        <f t="array" ref="D56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565" s="79" t="str" cm="1">
        <f t="array" ref="E56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565" s="80" t="str" cm="1">
        <f t="array" ref="F56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565" s="80" t="str" cm="1">
        <f t="array" ref="G56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565" s="80" t="str" cm="1">
        <f t="array" ref="H56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565" s="78" t="str" cm="1">
        <f t="array" ref="I56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566" spans="1:9" hidden="1" x14ac:dyDescent="0.3">
      <c r="A566" s="82" t="str" cm="1">
        <f t="array" ref="A56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566" s="79" t="e">
        <f>'BKG Bank'!#REF!</f>
        <v>#REF!</v>
      </c>
      <c r="C566" s="108" t="e">
        <f>'BKG Bank'!#REF!</f>
        <v>#REF!</v>
      </c>
      <c r="D566" s="79" t="str" cm="1">
        <f t="array" ref="D56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566" s="79" t="str" cm="1">
        <f t="array" ref="E56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566" s="80" t="str" cm="1">
        <f t="array" ref="F56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566" s="80" t="str" cm="1">
        <f t="array" ref="G56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566" s="80" t="str" cm="1">
        <f t="array" ref="H56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566" s="78" t="str" cm="1">
        <f t="array" ref="I56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567" spans="1:9" hidden="1" x14ac:dyDescent="0.3">
      <c r="A567" s="82" t="str" cm="1">
        <f t="array" ref="A56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567" s="79" t="e">
        <f>'BKG Bank'!#REF!</f>
        <v>#REF!</v>
      </c>
      <c r="C567" s="108" t="e">
        <f>'BKG Bank'!#REF!</f>
        <v>#REF!</v>
      </c>
      <c r="D567" s="79" t="str" cm="1">
        <f t="array" ref="D56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567" s="79" t="str" cm="1">
        <f t="array" ref="E56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567" s="80" t="str" cm="1">
        <f t="array" ref="F56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567" s="80" t="str" cm="1">
        <f t="array" ref="G56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567" s="80" t="str" cm="1">
        <f t="array" ref="H56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567" s="78" t="str" cm="1">
        <f t="array" ref="I56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568" spans="1:9" hidden="1" x14ac:dyDescent="0.3">
      <c r="A568" s="82" t="str" cm="1">
        <f t="array" ref="A56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568" s="79" t="e">
        <f>'BKG Bank'!#REF!</f>
        <v>#REF!</v>
      </c>
      <c r="C568" s="108" t="e">
        <f>'BKG Bank'!#REF!</f>
        <v>#REF!</v>
      </c>
      <c r="D568" s="79" t="str" cm="1">
        <f t="array" ref="D56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568" s="79" t="str" cm="1">
        <f t="array" ref="E56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568" s="80" t="str" cm="1">
        <f t="array" ref="F56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568" s="80" t="str" cm="1">
        <f t="array" ref="G56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568" s="80" t="str" cm="1">
        <f t="array" ref="H56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568" s="78" t="str" cm="1">
        <f t="array" ref="I56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569" spans="1:9" hidden="1" x14ac:dyDescent="0.3">
      <c r="A569" s="82" t="str" cm="1">
        <f t="array" ref="A56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569" s="79" t="e">
        <f>'BKG Bank'!#REF!</f>
        <v>#REF!</v>
      </c>
      <c r="C569" s="108" t="e">
        <f>'BKG Bank'!#REF!</f>
        <v>#REF!</v>
      </c>
      <c r="D569" s="79" t="str" cm="1">
        <f t="array" ref="D56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569" s="79" t="str" cm="1">
        <f t="array" ref="E56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569" s="80" t="str" cm="1">
        <f t="array" ref="F56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569" s="80" t="str" cm="1">
        <f t="array" ref="G56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569" s="80" t="str" cm="1">
        <f t="array" ref="H56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569" s="78" t="str" cm="1">
        <f t="array" ref="I56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570" spans="1:9" hidden="1" x14ac:dyDescent="0.3">
      <c r="A570" s="82" t="str" cm="1">
        <f t="array" ref="A57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570" s="79" t="e">
        <f>'BKG Bank'!#REF!</f>
        <v>#REF!</v>
      </c>
      <c r="C570" s="108" t="e">
        <f>'BKG Bank'!#REF!</f>
        <v>#REF!</v>
      </c>
      <c r="D570" s="79" t="str" cm="1">
        <f t="array" ref="D57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570" s="79" t="str" cm="1">
        <f t="array" ref="E57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570" s="80" t="str" cm="1">
        <f t="array" ref="F57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570" s="80" t="str" cm="1">
        <f t="array" ref="G57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570" s="80" t="str" cm="1">
        <f t="array" ref="H57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570" s="78" t="str" cm="1">
        <f t="array" ref="I57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571" spans="1:9" hidden="1" x14ac:dyDescent="0.3">
      <c r="A571" s="82" t="str" cm="1">
        <f t="array" ref="A57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571" s="79" t="e">
        <f>'BKG Bank'!#REF!</f>
        <v>#REF!</v>
      </c>
      <c r="C571" s="108" t="e">
        <f>'BKG Bank'!#REF!</f>
        <v>#REF!</v>
      </c>
      <c r="D571" s="79" t="str" cm="1">
        <f t="array" ref="D57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571" s="79" t="str" cm="1">
        <f t="array" ref="E57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571" s="80" t="str" cm="1">
        <f t="array" ref="F57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571" s="80" t="str" cm="1">
        <f t="array" ref="G57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571" s="80" t="str" cm="1">
        <f t="array" ref="H57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571" s="78" t="str" cm="1">
        <f t="array" ref="I57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572" spans="1:9" hidden="1" x14ac:dyDescent="0.3">
      <c r="A572" s="82" t="str" cm="1">
        <f t="array" ref="A57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572" s="79" t="e">
        <f>'BKG Bank'!#REF!</f>
        <v>#REF!</v>
      </c>
      <c r="C572" s="108" t="e">
        <f>'BKG Bank'!#REF!</f>
        <v>#REF!</v>
      </c>
      <c r="D572" s="79" t="str" cm="1">
        <f t="array" ref="D57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572" s="79" t="str" cm="1">
        <f t="array" ref="E57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572" s="80" t="str" cm="1">
        <f t="array" ref="F57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572" s="80" t="str" cm="1">
        <f t="array" ref="G57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572" s="80" t="str" cm="1">
        <f t="array" ref="H57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572" s="78" t="str" cm="1">
        <f t="array" ref="I57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573" spans="1:9" hidden="1" x14ac:dyDescent="0.3">
      <c r="A573" s="82" t="str" cm="1">
        <f t="array" ref="A57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573" s="79" t="e">
        <f>'BKG Bank'!#REF!</f>
        <v>#REF!</v>
      </c>
      <c r="C573" s="108" t="e">
        <f>'BKG Bank'!#REF!</f>
        <v>#REF!</v>
      </c>
      <c r="D573" s="79" t="str" cm="1">
        <f t="array" ref="D57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573" s="79" t="str" cm="1">
        <f t="array" ref="E57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573" s="80" t="str" cm="1">
        <f t="array" ref="F57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573" s="80" t="str" cm="1">
        <f t="array" ref="G57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573" s="80" t="str" cm="1">
        <f t="array" ref="H57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573" s="78" t="str" cm="1">
        <f t="array" ref="I57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574" spans="1:9" hidden="1" x14ac:dyDescent="0.3">
      <c r="A574" s="82" t="str" cm="1">
        <f t="array" ref="A57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574" s="79" t="e">
        <f>'BKG Bank'!#REF!</f>
        <v>#REF!</v>
      </c>
      <c r="C574" s="108" t="e">
        <f>'BKG Bank'!#REF!</f>
        <v>#REF!</v>
      </c>
      <c r="D574" s="79" t="str" cm="1">
        <f t="array" ref="D57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574" s="79" t="str" cm="1">
        <f t="array" ref="E57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574" s="80" t="str" cm="1">
        <f t="array" ref="F57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574" s="80" t="str" cm="1">
        <f t="array" ref="G57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574" s="80" t="str" cm="1">
        <f t="array" ref="H57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574" s="78" t="str" cm="1">
        <f t="array" ref="I57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575" spans="1:9" hidden="1" x14ac:dyDescent="0.3">
      <c r="A575" s="82" t="str" cm="1">
        <f t="array" ref="A57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575" s="79" t="e">
        <f>'BKG Bank'!#REF!</f>
        <v>#REF!</v>
      </c>
      <c r="C575" s="108" t="e">
        <f>'BKG Bank'!#REF!</f>
        <v>#REF!</v>
      </c>
      <c r="D575" s="79" t="str" cm="1">
        <f t="array" ref="D57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575" s="79" t="str" cm="1">
        <f t="array" ref="E57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575" s="80" t="str" cm="1">
        <f t="array" ref="F57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575" s="80" t="str" cm="1">
        <f t="array" ref="G57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575" s="80" t="str" cm="1">
        <f t="array" ref="H57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575" s="78" t="str" cm="1">
        <f t="array" ref="I57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576" spans="1:9" hidden="1" x14ac:dyDescent="0.3">
      <c r="A576" s="82" t="str" cm="1">
        <f t="array" ref="A57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576" s="79" t="e">
        <f>'BKG Bank'!#REF!</f>
        <v>#REF!</v>
      </c>
      <c r="C576" s="108" t="e">
        <f>'BKG Bank'!#REF!</f>
        <v>#REF!</v>
      </c>
      <c r="D576" s="79" t="str" cm="1">
        <f t="array" ref="D57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576" s="79" t="str" cm="1">
        <f t="array" ref="E57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576" s="80" t="str" cm="1">
        <f t="array" ref="F57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576" s="80" t="str" cm="1">
        <f t="array" ref="G57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576" s="80" t="str" cm="1">
        <f t="array" ref="H57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576" s="78" t="str" cm="1">
        <f t="array" ref="I57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577" spans="1:9" hidden="1" x14ac:dyDescent="0.3">
      <c r="A577" s="82" t="str" cm="1">
        <f t="array" ref="A57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577" s="79" t="e">
        <f>'BKG Bank'!#REF!</f>
        <v>#REF!</v>
      </c>
      <c r="C577" s="108" t="e">
        <f>'BKG Bank'!#REF!</f>
        <v>#REF!</v>
      </c>
      <c r="D577" s="79" t="str" cm="1">
        <f t="array" ref="D57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577" s="79" t="str" cm="1">
        <f t="array" ref="E57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577" s="80" t="str" cm="1">
        <f t="array" ref="F57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577" s="80" t="str" cm="1">
        <f t="array" ref="G57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577" s="80" t="str" cm="1">
        <f t="array" ref="H57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577" s="78" t="str" cm="1">
        <f t="array" ref="I57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578" spans="1:9" hidden="1" x14ac:dyDescent="0.3">
      <c r="A578" s="82" t="str" cm="1">
        <f t="array" ref="A57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578" s="79" t="e">
        <f>'BKG Bank'!#REF!</f>
        <v>#REF!</v>
      </c>
      <c r="C578" s="108" t="e">
        <f>'BKG Bank'!#REF!</f>
        <v>#REF!</v>
      </c>
      <c r="D578" s="79" t="str" cm="1">
        <f t="array" ref="D57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578" s="79" t="str" cm="1">
        <f t="array" ref="E57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578" s="80" t="str" cm="1">
        <f t="array" ref="F57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578" s="80" t="str" cm="1">
        <f t="array" ref="G57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578" s="80" t="str" cm="1">
        <f t="array" ref="H57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578" s="78" t="str" cm="1">
        <f t="array" ref="I57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579" spans="1:9" hidden="1" x14ac:dyDescent="0.3">
      <c r="A579" s="82" t="str" cm="1">
        <f t="array" ref="A57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579" s="79" t="e">
        <f>'BKG Bank'!#REF!</f>
        <v>#REF!</v>
      </c>
      <c r="C579" s="108" t="e">
        <f>'BKG Bank'!#REF!</f>
        <v>#REF!</v>
      </c>
      <c r="D579" s="79" t="str" cm="1">
        <f t="array" ref="D57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579" s="79" t="str" cm="1">
        <f t="array" ref="E57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579" s="80" t="str" cm="1">
        <f t="array" ref="F57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579" s="80" t="str" cm="1">
        <f t="array" ref="G57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579" s="80" t="str" cm="1">
        <f t="array" ref="H57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579" s="78" t="str" cm="1">
        <f t="array" ref="I57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580" spans="1:9" hidden="1" x14ac:dyDescent="0.3">
      <c r="A580" s="82" t="str" cm="1">
        <f t="array" ref="A58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580" s="79" t="e">
        <f>'BKG Bank'!#REF!</f>
        <v>#REF!</v>
      </c>
      <c r="C580" s="108" t="e">
        <f>'BKG Bank'!#REF!</f>
        <v>#REF!</v>
      </c>
      <c r="D580" s="79" t="str" cm="1">
        <f t="array" ref="D58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580" s="79" t="str" cm="1">
        <f t="array" ref="E58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580" s="80" t="str" cm="1">
        <f t="array" ref="F58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580" s="80" t="str" cm="1">
        <f t="array" ref="G58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580" s="80" t="str" cm="1">
        <f t="array" ref="H58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580" s="78" t="str" cm="1">
        <f t="array" ref="I58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581" spans="1:9" hidden="1" x14ac:dyDescent="0.3">
      <c r="A581" s="82" t="str" cm="1">
        <f t="array" ref="A58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581" s="79" t="e">
        <f>'BKG Bank'!#REF!</f>
        <v>#REF!</v>
      </c>
      <c r="C581" s="108" t="e">
        <f>'BKG Bank'!#REF!</f>
        <v>#REF!</v>
      </c>
      <c r="D581" s="79" t="str" cm="1">
        <f t="array" ref="D58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581" s="79" t="str" cm="1">
        <f t="array" ref="E58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581" s="80" t="str" cm="1">
        <f t="array" ref="F58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581" s="80" t="str" cm="1">
        <f t="array" ref="G58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581" s="80" t="str" cm="1">
        <f t="array" ref="H58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581" s="78" t="str" cm="1">
        <f t="array" ref="I58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582" spans="1:9" hidden="1" x14ac:dyDescent="0.3">
      <c r="A582" s="82" t="str" cm="1">
        <f t="array" ref="A58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582" s="79" t="e">
        <f>'BKG Bank'!#REF!</f>
        <v>#REF!</v>
      </c>
      <c r="C582" s="108" t="e">
        <f>'BKG Bank'!#REF!</f>
        <v>#REF!</v>
      </c>
      <c r="D582" s="79" t="str" cm="1">
        <f t="array" ref="D58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582" s="79" t="str" cm="1">
        <f t="array" ref="E58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582" s="80" t="str" cm="1">
        <f t="array" ref="F58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582" s="80" t="str" cm="1">
        <f t="array" ref="G58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582" s="80" t="str" cm="1">
        <f t="array" ref="H58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582" s="78" t="str" cm="1">
        <f t="array" ref="I58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583" spans="1:9" hidden="1" x14ac:dyDescent="0.3">
      <c r="A583" s="82" t="str" cm="1">
        <f t="array" ref="A58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583" s="79" t="e">
        <f>'BKG Bank'!#REF!</f>
        <v>#REF!</v>
      </c>
      <c r="C583" s="108" t="e">
        <f>'BKG Bank'!#REF!</f>
        <v>#REF!</v>
      </c>
      <c r="D583" s="79" t="str" cm="1">
        <f t="array" ref="D58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583" s="79" t="str" cm="1">
        <f t="array" ref="E58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583" s="80" t="str" cm="1">
        <f t="array" ref="F58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583" s="80" t="str" cm="1">
        <f t="array" ref="G58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583" s="80" t="str" cm="1">
        <f t="array" ref="H58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583" s="78" t="str" cm="1">
        <f t="array" ref="I58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584" spans="1:9" hidden="1" x14ac:dyDescent="0.3">
      <c r="A584" s="82" t="str" cm="1">
        <f t="array" ref="A58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584" s="79" t="e">
        <f>'BKG Bank'!#REF!</f>
        <v>#REF!</v>
      </c>
      <c r="C584" s="108" t="e">
        <f>'BKG Bank'!#REF!</f>
        <v>#REF!</v>
      </c>
      <c r="D584" s="79" t="str" cm="1">
        <f t="array" ref="D58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584" s="79" t="str" cm="1">
        <f t="array" ref="E58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584" s="80" t="str" cm="1">
        <f t="array" ref="F58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584" s="80" t="str" cm="1">
        <f t="array" ref="G58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584" s="80" t="str" cm="1">
        <f t="array" ref="H58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584" s="78" t="str" cm="1">
        <f t="array" ref="I58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585" spans="1:9" hidden="1" x14ac:dyDescent="0.3">
      <c r="A585" s="82" t="str" cm="1">
        <f t="array" ref="A58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585" s="79" t="e">
        <f>'BKG Bank'!#REF!</f>
        <v>#REF!</v>
      </c>
      <c r="C585" s="108" t="e">
        <f>'BKG Bank'!#REF!</f>
        <v>#REF!</v>
      </c>
      <c r="D585" s="79" t="str" cm="1">
        <f t="array" ref="D58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585" s="79" t="str" cm="1">
        <f t="array" ref="E58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585" s="80" t="str" cm="1">
        <f t="array" ref="F58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585" s="80" t="str" cm="1">
        <f t="array" ref="G58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585" s="80" t="str" cm="1">
        <f t="array" ref="H58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585" s="78" t="str" cm="1">
        <f t="array" ref="I58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586" spans="1:9" hidden="1" x14ac:dyDescent="0.3">
      <c r="A586" s="82" t="str" cm="1">
        <f t="array" ref="A58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586" s="79" t="e">
        <f>'BKG Bank'!#REF!</f>
        <v>#REF!</v>
      </c>
      <c r="C586" s="108" t="e">
        <f>'BKG Bank'!#REF!</f>
        <v>#REF!</v>
      </c>
      <c r="D586" s="79" t="str" cm="1">
        <f t="array" ref="D58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586" s="79" t="str" cm="1">
        <f t="array" ref="E58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586" s="80" t="str" cm="1">
        <f t="array" ref="F58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586" s="80" t="str" cm="1">
        <f t="array" ref="G58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586" s="80" t="str" cm="1">
        <f t="array" ref="H58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586" s="78" t="str" cm="1">
        <f t="array" ref="I58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587" spans="1:9" hidden="1" x14ac:dyDescent="0.3">
      <c r="A587" s="82" t="str" cm="1">
        <f t="array" ref="A58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587" s="79" t="e">
        <f>'BKG Bank'!#REF!</f>
        <v>#REF!</v>
      </c>
      <c r="C587" s="108" t="e">
        <f>'BKG Bank'!#REF!</f>
        <v>#REF!</v>
      </c>
      <c r="D587" s="79" t="str" cm="1">
        <f t="array" ref="D58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587" s="79" t="str" cm="1">
        <f t="array" ref="E58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587" s="80" t="str" cm="1">
        <f t="array" ref="F58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587" s="80" t="str" cm="1">
        <f t="array" ref="G58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587" s="80" t="str" cm="1">
        <f t="array" ref="H58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587" s="78" t="str" cm="1">
        <f t="array" ref="I58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588" spans="1:9" hidden="1" x14ac:dyDescent="0.3">
      <c r="A588" s="82" t="str" cm="1">
        <f t="array" ref="A58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588" s="79" t="e">
        <f>'BKG Bank'!#REF!</f>
        <v>#REF!</v>
      </c>
      <c r="C588" s="108" t="e">
        <f>'BKG Bank'!#REF!</f>
        <v>#REF!</v>
      </c>
      <c r="D588" s="79" t="str" cm="1">
        <f t="array" ref="D58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588" s="79" t="str" cm="1">
        <f t="array" ref="E58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588" s="80" t="str" cm="1">
        <f t="array" ref="F58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588" s="80" t="str" cm="1">
        <f t="array" ref="G58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588" s="80" t="str" cm="1">
        <f t="array" ref="H58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588" s="78" t="str" cm="1">
        <f t="array" ref="I58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589" spans="1:9" hidden="1" x14ac:dyDescent="0.3">
      <c r="A589" s="82" t="str" cm="1">
        <f t="array" ref="A58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589" s="79" t="e">
        <f>'BKG Bank'!#REF!</f>
        <v>#REF!</v>
      </c>
      <c r="C589" s="108" t="e">
        <f>'BKG Bank'!#REF!</f>
        <v>#REF!</v>
      </c>
      <c r="D589" s="79" t="str" cm="1">
        <f t="array" ref="D58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589" s="79" t="str" cm="1">
        <f t="array" ref="E58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589" s="80" t="str" cm="1">
        <f t="array" ref="F58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589" s="80" t="str" cm="1">
        <f t="array" ref="G58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589" s="80" t="str" cm="1">
        <f t="array" ref="H58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589" s="78" t="str" cm="1">
        <f t="array" ref="I58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590" spans="1:9" hidden="1" x14ac:dyDescent="0.3">
      <c r="A590" s="82" t="str" cm="1">
        <f t="array" ref="A59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590" s="79" t="e">
        <f>'BKG Bank'!#REF!</f>
        <v>#REF!</v>
      </c>
      <c r="C590" s="108" t="e">
        <f>'BKG Bank'!#REF!</f>
        <v>#REF!</v>
      </c>
      <c r="D590" s="79" t="str" cm="1">
        <f t="array" ref="D59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590" s="79" t="str" cm="1">
        <f t="array" ref="E59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590" s="80" t="str" cm="1">
        <f t="array" ref="F59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590" s="80" t="str" cm="1">
        <f t="array" ref="G59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590" s="80" t="str" cm="1">
        <f t="array" ref="H59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590" s="78" t="str" cm="1">
        <f t="array" ref="I59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591" spans="1:9" hidden="1" x14ac:dyDescent="0.3">
      <c r="A591" s="82" t="str" cm="1">
        <f t="array" ref="A59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591" s="79" t="e">
        <f>'BKG Bank'!#REF!</f>
        <v>#REF!</v>
      </c>
      <c r="C591" s="108" t="e">
        <f>'BKG Bank'!#REF!</f>
        <v>#REF!</v>
      </c>
      <c r="D591" s="79" t="str" cm="1">
        <f t="array" ref="D59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591" s="79" t="str" cm="1">
        <f t="array" ref="E59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591" s="80" t="str" cm="1">
        <f t="array" ref="F59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591" s="80" t="str" cm="1">
        <f t="array" ref="G59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591" s="80" t="str" cm="1">
        <f t="array" ref="H59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591" s="78" t="str" cm="1">
        <f t="array" ref="I59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592" spans="1:9" hidden="1" x14ac:dyDescent="0.3">
      <c r="A592" s="82" t="str" cm="1">
        <f t="array" ref="A59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592" s="79" t="e">
        <f>'BKG Bank'!#REF!</f>
        <v>#REF!</v>
      </c>
      <c r="C592" s="108" t="e">
        <f>'BKG Bank'!#REF!</f>
        <v>#REF!</v>
      </c>
      <c r="D592" s="79" t="str" cm="1">
        <f t="array" ref="D59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592" s="79" t="str" cm="1">
        <f t="array" ref="E59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592" s="80" t="str" cm="1">
        <f t="array" ref="F59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592" s="80" t="str" cm="1">
        <f t="array" ref="G59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592" s="80" t="str" cm="1">
        <f t="array" ref="H59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592" s="78" t="str" cm="1">
        <f t="array" ref="I59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593" spans="1:9" hidden="1" x14ac:dyDescent="0.3">
      <c r="A593" s="82" t="str" cm="1">
        <f t="array" ref="A59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593" s="79" t="e">
        <f>'BKG Bank'!#REF!</f>
        <v>#REF!</v>
      </c>
      <c r="C593" s="108" t="e">
        <f>'BKG Bank'!#REF!</f>
        <v>#REF!</v>
      </c>
      <c r="D593" s="79" t="str" cm="1">
        <f t="array" ref="D59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593" s="79" t="str" cm="1">
        <f t="array" ref="E59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593" s="80" t="str" cm="1">
        <f t="array" ref="F59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593" s="80" t="str" cm="1">
        <f t="array" ref="G59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593" s="80" t="str" cm="1">
        <f t="array" ref="H59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593" s="78" t="str" cm="1">
        <f t="array" ref="I59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594" spans="1:9" hidden="1" x14ac:dyDescent="0.3">
      <c r="A594" s="82" t="str" cm="1">
        <f t="array" ref="A59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594" s="79" t="e">
        <f>'BKG Bank'!#REF!</f>
        <v>#REF!</v>
      </c>
      <c r="C594" s="108" t="e">
        <f>'BKG Bank'!#REF!</f>
        <v>#REF!</v>
      </c>
      <c r="D594" s="79" t="str" cm="1">
        <f t="array" ref="D59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594" s="79" t="str" cm="1">
        <f t="array" ref="E59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594" s="80" t="str" cm="1">
        <f t="array" ref="F59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594" s="80" t="str" cm="1">
        <f t="array" ref="G59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594" s="80" t="str" cm="1">
        <f t="array" ref="H59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594" s="78" t="str" cm="1">
        <f t="array" ref="I59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595" spans="1:9" hidden="1" x14ac:dyDescent="0.3">
      <c r="A595" s="82" t="str" cm="1">
        <f t="array" ref="A59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595" s="79" t="e">
        <f>'BKG Bank'!#REF!</f>
        <v>#REF!</v>
      </c>
      <c r="C595" s="108" t="e">
        <f>'BKG Bank'!#REF!</f>
        <v>#REF!</v>
      </c>
      <c r="D595" s="79" t="str" cm="1">
        <f t="array" ref="D59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595" s="79" t="str" cm="1">
        <f t="array" ref="E59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595" s="80" t="str" cm="1">
        <f t="array" ref="F59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595" s="80" t="str" cm="1">
        <f t="array" ref="G59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595" s="80" t="str" cm="1">
        <f t="array" ref="H59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595" s="78" t="str" cm="1">
        <f t="array" ref="I59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596" spans="1:9" hidden="1" x14ac:dyDescent="0.3">
      <c r="A596" s="82" t="str" cm="1">
        <f t="array" ref="A59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596" s="79" t="e">
        <f>'BKG Bank'!#REF!</f>
        <v>#REF!</v>
      </c>
      <c r="C596" s="108" t="e">
        <f>'BKG Bank'!#REF!</f>
        <v>#REF!</v>
      </c>
      <c r="D596" s="79" t="str" cm="1">
        <f t="array" ref="D59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596" s="79" t="str" cm="1">
        <f t="array" ref="E59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596" s="80" t="str" cm="1">
        <f t="array" ref="F59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596" s="80" t="str" cm="1">
        <f t="array" ref="G59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596" s="80" t="str" cm="1">
        <f t="array" ref="H59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596" s="78" t="str" cm="1">
        <f t="array" ref="I59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597" spans="1:9" hidden="1" x14ac:dyDescent="0.3">
      <c r="A597" s="82" t="str" cm="1">
        <f t="array" ref="A59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597" s="79" t="e">
        <f>'BKG Bank'!#REF!</f>
        <v>#REF!</v>
      </c>
      <c r="C597" s="108" t="e">
        <f>'BKG Bank'!#REF!</f>
        <v>#REF!</v>
      </c>
      <c r="D597" s="79" t="str" cm="1">
        <f t="array" ref="D59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597" s="79" t="str" cm="1">
        <f t="array" ref="E59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597" s="80" t="str" cm="1">
        <f t="array" ref="F59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597" s="80" t="str" cm="1">
        <f t="array" ref="G59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597" s="80" t="str" cm="1">
        <f t="array" ref="H59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597" s="78" t="str" cm="1">
        <f t="array" ref="I59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598" spans="1:9" hidden="1" x14ac:dyDescent="0.3">
      <c r="A598" s="82" t="str" cm="1">
        <f t="array" ref="A59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598" s="79" t="e">
        <f>'BKG Bank'!#REF!</f>
        <v>#REF!</v>
      </c>
      <c r="C598" s="108" t="e">
        <f>'BKG Bank'!#REF!</f>
        <v>#REF!</v>
      </c>
      <c r="D598" s="79" t="str" cm="1">
        <f t="array" ref="D59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598" s="79" t="str" cm="1">
        <f t="array" ref="E59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598" s="80" t="str" cm="1">
        <f t="array" ref="F59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598" s="80" t="str" cm="1">
        <f t="array" ref="G59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598" s="80" t="str" cm="1">
        <f t="array" ref="H59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598" s="78" t="str" cm="1">
        <f t="array" ref="I59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599" spans="1:9" hidden="1" x14ac:dyDescent="0.3">
      <c r="A599" s="82" t="str" cm="1">
        <f t="array" ref="A59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599" s="79" t="e">
        <f>'BKG Bank'!#REF!</f>
        <v>#REF!</v>
      </c>
      <c r="C599" s="108" t="e">
        <f>'BKG Bank'!#REF!</f>
        <v>#REF!</v>
      </c>
      <c r="D599" s="79" t="str" cm="1">
        <f t="array" ref="D59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599" s="79" t="str" cm="1">
        <f t="array" ref="E59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599" s="80" t="str" cm="1">
        <f t="array" ref="F59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599" s="80" t="str" cm="1">
        <f t="array" ref="G59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599" s="80" t="str" cm="1">
        <f t="array" ref="H59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599" s="78" t="str" cm="1">
        <f t="array" ref="I59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600" spans="1:9" hidden="1" x14ac:dyDescent="0.3">
      <c r="A600" s="82" t="str" cm="1">
        <f t="array" ref="A60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600" s="79" t="e">
        <f>'BKG Bank'!#REF!</f>
        <v>#REF!</v>
      </c>
      <c r="C600" s="108" t="e">
        <f>'BKG Bank'!#REF!</f>
        <v>#REF!</v>
      </c>
      <c r="D600" s="79" t="str" cm="1">
        <f t="array" ref="D60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600" s="79" t="str" cm="1">
        <f t="array" ref="E60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600" s="80" t="str" cm="1">
        <f t="array" ref="F60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600" s="80" t="str" cm="1">
        <f t="array" ref="G60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600" s="80" t="str" cm="1">
        <f t="array" ref="H60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600" s="78" t="str" cm="1">
        <f t="array" ref="I60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601" spans="1:9" hidden="1" x14ac:dyDescent="0.3">
      <c r="A601" s="82" t="str" cm="1">
        <f t="array" ref="A60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601" s="79" t="e">
        <f>'BKG Bank'!#REF!</f>
        <v>#REF!</v>
      </c>
      <c r="C601" s="108" t="e">
        <f>'BKG Bank'!#REF!</f>
        <v>#REF!</v>
      </c>
      <c r="D601" s="79" t="str" cm="1">
        <f t="array" ref="D60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601" s="79" t="str" cm="1">
        <f t="array" ref="E60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601" s="80" t="str" cm="1">
        <f t="array" ref="F60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601" s="80" t="str" cm="1">
        <f t="array" ref="G60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601" s="80" t="str" cm="1">
        <f t="array" ref="H60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601" s="78" t="str" cm="1">
        <f t="array" ref="I60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602" spans="1:9" hidden="1" x14ac:dyDescent="0.3">
      <c r="A602" s="82" t="str" cm="1">
        <f t="array" ref="A60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602" s="79" t="e">
        <f>'BKG Bank'!#REF!</f>
        <v>#REF!</v>
      </c>
      <c r="C602" s="108" t="e">
        <f>'BKG Bank'!#REF!</f>
        <v>#REF!</v>
      </c>
      <c r="D602" s="79" t="str" cm="1">
        <f t="array" ref="D60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602" s="79" t="str" cm="1">
        <f t="array" ref="E60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602" s="80" t="str" cm="1">
        <f t="array" ref="F60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602" s="80" t="str" cm="1">
        <f t="array" ref="G60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602" s="80" t="str" cm="1">
        <f t="array" ref="H60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602" s="78" t="str" cm="1">
        <f t="array" ref="I60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603" spans="1:9" hidden="1" x14ac:dyDescent="0.3">
      <c r="A603" s="82" t="str" cm="1">
        <f t="array" ref="A60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603" s="79" t="e">
        <f>'BKG Bank'!#REF!</f>
        <v>#REF!</v>
      </c>
      <c r="C603" s="108" t="e">
        <f>'BKG Bank'!#REF!</f>
        <v>#REF!</v>
      </c>
      <c r="D603" s="79" t="str" cm="1">
        <f t="array" ref="D60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603" s="79" t="str" cm="1">
        <f t="array" ref="E60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603" s="80" t="str" cm="1">
        <f t="array" ref="F60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603" s="80" t="str" cm="1">
        <f t="array" ref="G60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603" s="80" t="str" cm="1">
        <f t="array" ref="H60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603" s="78" t="str" cm="1">
        <f t="array" ref="I60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604" spans="1:9" hidden="1" x14ac:dyDescent="0.3">
      <c r="A604" s="82" t="str" cm="1">
        <f t="array" ref="A60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604" s="79" t="e">
        <f>'BKG Bank'!#REF!</f>
        <v>#REF!</v>
      </c>
      <c r="C604" s="108" t="e">
        <f>'BKG Bank'!#REF!</f>
        <v>#REF!</v>
      </c>
      <c r="D604" s="79" t="str" cm="1">
        <f t="array" ref="D60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604" s="79" t="str" cm="1">
        <f t="array" ref="E60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604" s="80" t="str" cm="1">
        <f t="array" ref="F60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604" s="80" t="str" cm="1">
        <f t="array" ref="G60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604" s="80" t="str" cm="1">
        <f t="array" ref="H60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604" s="78" t="str" cm="1">
        <f t="array" ref="I60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605" spans="1:9" hidden="1" x14ac:dyDescent="0.3">
      <c r="A605" s="82" t="str" cm="1">
        <f t="array" ref="A60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605" s="79" t="e">
        <f>'BKG Bank'!#REF!</f>
        <v>#REF!</v>
      </c>
      <c r="C605" s="108" t="e">
        <f>'BKG Bank'!#REF!</f>
        <v>#REF!</v>
      </c>
      <c r="D605" s="79" t="str" cm="1">
        <f t="array" ref="D60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605" s="79" t="str" cm="1">
        <f t="array" ref="E60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605" s="80" t="str" cm="1">
        <f t="array" ref="F60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605" s="80" t="str" cm="1">
        <f t="array" ref="G60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605" s="80" t="str" cm="1">
        <f t="array" ref="H60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605" s="78" t="str" cm="1">
        <f t="array" ref="I60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606" spans="1:9" hidden="1" x14ac:dyDescent="0.3">
      <c r="A606" s="82" t="str" cm="1">
        <f t="array" ref="A60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606" s="79" t="e">
        <f>'BKG Bank'!#REF!</f>
        <v>#REF!</v>
      </c>
      <c r="C606" s="108" t="e">
        <f>'BKG Bank'!#REF!</f>
        <v>#REF!</v>
      </c>
      <c r="D606" s="79" t="str" cm="1">
        <f t="array" ref="D60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606" s="79" t="str" cm="1">
        <f t="array" ref="E60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606" s="80" t="str" cm="1">
        <f t="array" ref="F60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606" s="80" t="str" cm="1">
        <f t="array" ref="G60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606" s="80" t="str" cm="1">
        <f t="array" ref="H60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606" s="78" t="str" cm="1">
        <f t="array" ref="I60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607" spans="1:9" hidden="1" x14ac:dyDescent="0.3">
      <c r="A607" s="82" t="str" cm="1">
        <f t="array" ref="A60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607" s="79" t="e">
        <f>'BKG Bank'!#REF!</f>
        <v>#REF!</v>
      </c>
      <c r="C607" s="108" t="e">
        <f>'BKG Bank'!#REF!</f>
        <v>#REF!</v>
      </c>
      <c r="D607" s="79" t="str" cm="1">
        <f t="array" ref="D60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607" s="79" t="str" cm="1">
        <f t="array" ref="E60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607" s="80" t="str" cm="1">
        <f t="array" ref="F60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607" s="80" t="str" cm="1">
        <f t="array" ref="G60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607" s="80" t="str" cm="1">
        <f t="array" ref="H60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607" s="78" t="str" cm="1">
        <f t="array" ref="I60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608" spans="1:9" hidden="1" x14ac:dyDescent="0.3">
      <c r="A608" s="82" t="str" cm="1">
        <f t="array" ref="A60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608" s="79" t="e">
        <f>'BKG Bank'!#REF!</f>
        <v>#REF!</v>
      </c>
      <c r="C608" s="108" t="e">
        <f>'BKG Bank'!#REF!</f>
        <v>#REF!</v>
      </c>
      <c r="D608" s="79" t="str" cm="1">
        <f t="array" ref="D60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608" s="79" t="str" cm="1">
        <f t="array" ref="E60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608" s="80" t="str" cm="1">
        <f t="array" ref="F60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608" s="80" t="str" cm="1">
        <f t="array" ref="G60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608" s="80" t="str" cm="1">
        <f t="array" ref="H60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608" s="78" t="str" cm="1">
        <f t="array" ref="I60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609" spans="1:9" hidden="1" x14ac:dyDescent="0.3">
      <c r="A609" s="82" t="str" cm="1">
        <f t="array" ref="A60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609" s="79" t="e">
        <f>'BKG Bank'!#REF!</f>
        <v>#REF!</v>
      </c>
      <c r="C609" s="108" t="e">
        <f>'BKG Bank'!#REF!</f>
        <v>#REF!</v>
      </c>
      <c r="D609" s="79" t="str" cm="1">
        <f t="array" ref="D60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609" s="79" t="str" cm="1">
        <f t="array" ref="E60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609" s="80" t="str" cm="1">
        <f t="array" ref="F60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609" s="80" t="str" cm="1">
        <f t="array" ref="G60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609" s="80" t="str" cm="1">
        <f t="array" ref="H60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609" s="78" t="str" cm="1">
        <f t="array" ref="I60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610" spans="1:9" hidden="1" x14ac:dyDescent="0.3">
      <c r="A610" s="82" t="str" cm="1">
        <f t="array" ref="A61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610" s="79" t="e">
        <f>'BKG Bank'!#REF!</f>
        <v>#REF!</v>
      </c>
      <c r="C610" s="108" t="e">
        <f>'BKG Bank'!#REF!</f>
        <v>#REF!</v>
      </c>
      <c r="D610" s="79" t="str" cm="1">
        <f t="array" ref="D61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610" s="79" t="str" cm="1">
        <f t="array" ref="E61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610" s="80" t="str" cm="1">
        <f t="array" ref="F61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610" s="80" t="str" cm="1">
        <f t="array" ref="G61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610" s="80" t="str" cm="1">
        <f t="array" ref="H61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610" s="78" t="str" cm="1">
        <f t="array" ref="I61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611" spans="1:9" hidden="1" x14ac:dyDescent="0.3">
      <c r="A611" s="82" t="str" cm="1">
        <f t="array" ref="A61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611" s="79" t="e">
        <f>'BKG Bank'!#REF!</f>
        <v>#REF!</v>
      </c>
      <c r="C611" s="108" t="e">
        <f>'BKG Bank'!#REF!</f>
        <v>#REF!</v>
      </c>
      <c r="D611" s="79" t="str" cm="1">
        <f t="array" ref="D61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611" s="79" t="str" cm="1">
        <f t="array" ref="E61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611" s="80" t="str" cm="1">
        <f t="array" ref="F61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611" s="80" t="str" cm="1">
        <f t="array" ref="G61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611" s="80" t="str" cm="1">
        <f t="array" ref="H61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611" s="78" t="str" cm="1">
        <f t="array" ref="I61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612" spans="1:9" hidden="1" x14ac:dyDescent="0.3">
      <c r="A612" s="82" t="str" cm="1">
        <f t="array" ref="A61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612" s="79" t="e">
        <f>'BKG Bank'!#REF!</f>
        <v>#REF!</v>
      </c>
      <c r="C612" s="108" t="e">
        <f>'BKG Bank'!#REF!</f>
        <v>#REF!</v>
      </c>
      <c r="D612" s="79" t="str" cm="1">
        <f t="array" ref="D61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612" s="79" t="str" cm="1">
        <f t="array" ref="E61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612" s="80" t="str" cm="1">
        <f t="array" ref="F61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612" s="80" t="str" cm="1">
        <f t="array" ref="G61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612" s="80" t="str" cm="1">
        <f t="array" ref="H61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612" s="78" t="str" cm="1">
        <f t="array" ref="I61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613" spans="1:9" hidden="1" x14ac:dyDescent="0.3">
      <c r="A613" s="82" t="str" cm="1">
        <f t="array" ref="A61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613" s="79" t="e">
        <f>'BKG Bank'!#REF!</f>
        <v>#REF!</v>
      </c>
      <c r="C613" s="108" t="e">
        <f>'BKG Bank'!#REF!</f>
        <v>#REF!</v>
      </c>
      <c r="D613" s="79" t="str" cm="1">
        <f t="array" ref="D61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613" s="79" t="str" cm="1">
        <f t="array" ref="E61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613" s="80" t="str" cm="1">
        <f t="array" ref="F61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613" s="80" t="str" cm="1">
        <f t="array" ref="G61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613" s="80" t="str" cm="1">
        <f t="array" ref="H61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613" s="78" t="str" cm="1">
        <f t="array" ref="I61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614" spans="1:9" hidden="1" x14ac:dyDescent="0.3">
      <c r="A614" s="82" t="str" cm="1">
        <f t="array" ref="A61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614" s="79" t="e">
        <f>'BKG Bank'!#REF!</f>
        <v>#REF!</v>
      </c>
      <c r="C614" s="108" t="e">
        <f>'BKG Bank'!#REF!</f>
        <v>#REF!</v>
      </c>
      <c r="D614" s="79" t="str" cm="1">
        <f t="array" ref="D61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614" s="79" t="str" cm="1">
        <f t="array" ref="E61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614" s="80" t="str" cm="1">
        <f t="array" ref="F61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614" s="80" t="str" cm="1">
        <f t="array" ref="G61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614" s="80" t="str" cm="1">
        <f t="array" ref="H61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614" s="78" t="str" cm="1">
        <f t="array" ref="I61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615" spans="1:9" hidden="1" x14ac:dyDescent="0.3">
      <c r="A615" s="82" t="str" cm="1">
        <f t="array" ref="A61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615" s="79" t="e">
        <f>'BKG Bank'!#REF!</f>
        <v>#REF!</v>
      </c>
      <c r="C615" s="108" t="e">
        <f>'BKG Bank'!#REF!</f>
        <v>#REF!</v>
      </c>
      <c r="D615" s="79" t="str" cm="1">
        <f t="array" ref="D61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615" s="79" t="str" cm="1">
        <f t="array" ref="E61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615" s="80" t="str" cm="1">
        <f t="array" ref="F61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615" s="80" t="str" cm="1">
        <f t="array" ref="G61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615" s="80" t="str" cm="1">
        <f t="array" ref="H61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615" s="78" t="str" cm="1">
        <f t="array" ref="I61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616" spans="1:9" hidden="1" x14ac:dyDescent="0.3">
      <c r="A616" s="82" t="str" cm="1">
        <f t="array" ref="A61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616" s="79" t="e">
        <f>'BKG Bank'!#REF!</f>
        <v>#REF!</v>
      </c>
      <c r="C616" s="108" t="e">
        <f>'BKG Bank'!#REF!</f>
        <v>#REF!</v>
      </c>
      <c r="D616" s="79" t="str" cm="1">
        <f t="array" ref="D61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616" s="79" t="str" cm="1">
        <f t="array" ref="E61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616" s="80" t="str" cm="1">
        <f t="array" ref="F61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616" s="80" t="str" cm="1">
        <f t="array" ref="G61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616" s="80" t="str" cm="1">
        <f t="array" ref="H61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616" s="78" t="str" cm="1">
        <f t="array" ref="I61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617" spans="1:9" hidden="1" x14ac:dyDescent="0.3">
      <c r="A617" s="82" t="str" cm="1">
        <f t="array" ref="A61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617" s="79" t="e">
        <f>'BKG Bank'!#REF!</f>
        <v>#REF!</v>
      </c>
      <c r="C617" s="108" t="e">
        <f>'BKG Bank'!#REF!</f>
        <v>#REF!</v>
      </c>
      <c r="D617" s="79" t="str" cm="1">
        <f t="array" ref="D61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617" s="79" t="str" cm="1">
        <f t="array" ref="E61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617" s="80" t="str" cm="1">
        <f t="array" ref="F61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617" s="80" t="str" cm="1">
        <f t="array" ref="G61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617" s="80" t="str" cm="1">
        <f t="array" ref="H61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617" s="78" t="str" cm="1">
        <f t="array" ref="I61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618" spans="1:9" hidden="1" x14ac:dyDescent="0.3">
      <c r="A618" s="82" t="str" cm="1">
        <f t="array" ref="A61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618" s="79" t="e">
        <f>'BKG Bank'!#REF!</f>
        <v>#REF!</v>
      </c>
      <c r="C618" s="108" t="e">
        <f>'BKG Bank'!#REF!</f>
        <v>#REF!</v>
      </c>
      <c r="D618" s="79" t="str" cm="1">
        <f t="array" ref="D61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618" s="79" t="str" cm="1">
        <f t="array" ref="E61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618" s="80" t="str" cm="1">
        <f t="array" ref="F61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618" s="80" t="str" cm="1">
        <f t="array" ref="G61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618" s="80" t="str" cm="1">
        <f t="array" ref="H61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618" s="78" t="str" cm="1">
        <f t="array" ref="I61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619" spans="1:9" hidden="1" x14ac:dyDescent="0.3">
      <c r="A619" s="82" t="str" cm="1">
        <f t="array" ref="A61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619" s="79" t="e">
        <f>'BKG Bank'!#REF!</f>
        <v>#REF!</v>
      </c>
      <c r="C619" s="108" t="e">
        <f>'BKG Bank'!#REF!</f>
        <v>#REF!</v>
      </c>
      <c r="D619" s="79" t="str" cm="1">
        <f t="array" ref="D61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619" s="79" t="str" cm="1">
        <f t="array" ref="E61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619" s="80" t="str" cm="1">
        <f t="array" ref="F61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619" s="80" t="str" cm="1">
        <f t="array" ref="G61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619" s="80" t="str" cm="1">
        <f t="array" ref="H61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619" s="78" t="str" cm="1">
        <f t="array" ref="I61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620" spans="1:9" hidden="1" x14ac:dyDescent="0.3">
      <c r="A620" s="82" t="str" cm="1">
        <f t="array" ref="A62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620" s="79" t="e">
        <f>'BKG Bank'!#REF!</f>
        <v>#REF!</v>
      </c>
      <c r="C620" s="108" t="e">
        <f>'BKG Bank'!#REF!</f>
        <v>#REF!</v>
      </c>
      <c r="D620" s="79" t="str" cm="1">
        <f t="array" ref="D62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620" s="79" t="str" cm="1">
        <f t="array" ref="E62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620" s="80" t="str" cm="1">
        <f t="array" ref="F62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620" s="80" t="str" cm="1">
        <f t="array" ref="G62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620" s="80" t="str" cm="1">
        <f t="array" ref="H62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620" s="78" t="str" cm="1">
        <f t="array" ref="I62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621" spans="1:9" hidden="1" x14ac:dyDescent="0.3">
      <c r="A621" s="82" t="str" cm="1">
        <f t="array" ref="A62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621" s="79" t="e">
        <f>'BKG Bank'!#REF!</f>
        <v>#REF!</v>
      </c>
      <c r="C621" s="108" t="e">
        <f>'BKG Bank'!#REF!</f>
        <v>#REF!</v>
      </c>
      <c r="D621" s="79" t="str" cm="1">
        <f t="array" ref="D62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621" s="79" t="str" cm="1">
        <f t="array" ref="E62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621" s="80" t="str" cm="1">
        <f t="array" ref="F62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621" s="80" t="str" cm="1">
        <f t="array" ref="G62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621" s="80" t="str" cm="1">
        <f t="array" ref="H62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621" s="78" t="str" cm="1">
        <f t="array" ref="I62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622" spans="1:9" hidden="1" x14ac:dyDescent="0.3">
      <c r="A622" s="82" t="str" cm="1">
        <f t="array" ref="A62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622" s="79" t="e">
        <f>'BKG Bank'!#REF!</f>
        <v>#REF!</v>
      </c>
      <c r="C622" s="108" t="e">
        <f>'BKG Bank'!#REF!</f>
        <v>#REF!</v>
      </c>
      <c r="D622" s="79" t="str" cm="1">
        <f t="array" ref="D62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622" s="79" t="str" cm="1">
        <f t="array" ref="E62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622" s="80" t="str" cm="1">
        <f t="array" ref="F62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622" s="80" t="str" cm="1">
        <f t="array" ref="G62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622" s="80" t="str" cm="1">
        <f t="array" ref="H62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622" s="78" t="str" cm="1">
        <f t="array" ref="I62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623" spans="1:9" hidden="1" x14ac:dyDescent="0.3">
      <c r="A623" s="82" t="str" cm="1">
        <f t="array" ref="A62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623" s="79" t="e">
        <f>'BKG Bank'!#REF!</f>
        <v>#REF!</v>
      </c>
      <c r="C623" s="108" t="e">
        <f>'BKG Bank'!#REF!</f>
        <v>#REF!</v>
      </c>
      <c r="D623" s="79" t="str" cm="1">
        <f t="array" ref="D62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623" s="79" t="str" cm="1">
        <f t="array" ref="E62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623" s="80" t="str" cm="1">
        <f t="array" ref="F62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623" s="80" t="str" cm="1">
        <f t="array" ref="G62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623" s="80" t="str" cm="1">
        <f t="array" ref="H62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623" s="78" t="str" cm="1">
        <f t="array" ref="I62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624" spans="1:9" hidden="1" x14ac:dyDescent="0.3">
      <c r="A624" s="82" t="str" cm="1">
        <f t="array" ref="A62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624" s="79" t="e">
        <f>'BKG Bank'!#REF!</f>
        <v>#REF!</v>
      </c>
      <c r="C624" s="108" t="e">
        <f>'BKG Bank'!#REF!</f>
        <v>#REF!</v>
      </c>
      <c r="D624" s="79" t="str" cm="1">
        <f t="array" ref="D62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624" s="79" t="str" cm="1">
        <f t="array" ref="E62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624" s="80" t="str" cm="1">
        <f t="array" ref="F62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624" s="80" t="str" cm="1">
        <f t="array" ref="G62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624" s="80" t="str" cm="1">
        <f t="array" ref="H62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624" s="78" t="str" cm="1">
        <f t="array" ref="I62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625" spans="1:9" hidden="1" x14ac:dyDescent="0.3">
      <c r="A625" s="82" t="str" cm="1">
        <f t="array" ref="A62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625" s="79" t="e">
        <f>'BKG Bank'!#REF!</f>
        <v>#REF!</v>
      </c>
      <c r="C625" s="108" t="e">
        <f>'BKG Bank'!#REF!</f>
        <v>#REF!</v>
      </c>
      <c r="D625" s="79" t="str" cm="1">
        <f t="array" ref="D62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625" s="79" t="str" cm="1">
        <f t="array" ref="E62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625" s="80" t="str" cm="1">
        <f t="array" ref="F62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625" s="80" t="str" cm="1">
        <f t="array" ref="G62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625" s="80" t="str" cm="1">
        <f t="array" ref="H62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625" s="78" t="str" cm="1">
        <f t="array" ref="I62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626" spans="1:9" hidden="1" x14ac:dyDescent="0.3">
      <c r="A626" s="82" t="str" cm="1">
        <f t="array" ref="A62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626" s="79" t="e">
        <f>'BKG Bank'!#REF!</f>
        <v>#REF!</v>
      </c>
      <c r="C626" s="108" t="e">
        <f>'BKG Bank'!#REF!</f>
        <v>#REF!</v>
      </c>
      <c r="D626" s="79" t="str" cm="1">
        <f t="array" ref="D62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626" s="79" t="str" cm="1">
        <f t="array" ref="E62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626" s="80" t="str" cm="1">
        <f t="array" ref="F62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626" s="80" t="str" cm="1">
        <f t="array" ref="G62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626" s="80" t="str" cm="1">
        <f t="array" ref="H62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626" s="78" t="str" cm="1">
        <f t="array" ref="I62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627" spans="1:9" hidden="1" x14ac:dyDescent="0.3">
      <c r="A627" s="82" t="str" cm="1">
        <f t="array" ref="A62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627" s="79" t="e">
        <f>'BKG Bank'!#REF!</f>
        <v>#REF!</v>
      </c>
      <c r="C627" s="108" t="e">
        <f>'BKG Bank'!#REF!</f>
        <v>#REF!</v>
      </c>
      <c r="D627" s="79" t="str" cm="1">
        <f t="array" ref="D62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627" s="79" t="str" cm="1">
        <f t="array" ref="E62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627" s="80" t="str" cm="1">
        <f t="array" ref="F62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627" s="80" t="str" cm="1">
        <f t="array" ref="G62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627" s="80" t="str" cm="1">
        <f t="array" ref="H62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627" s="78" t="str" cm="1">
        <f t="array" ref="I62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628" spans="1:9" hidden="1" x14ac:dyDescent="0.3">
      <c r="A628" s="82" t="str" cm="1">
        <f t="array" ref="A62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628" s="79" t="e">
        <f>'BKG Bank'!#REF!</f>
        <v>#REF!</v>
      </c>
      <c r="C628" s="108" t="e">
        <f>'BKG Bank'!#REF!</f>
        <v>#REF!</v>
      </c>
      <c r="D628" s="79" t="str" cm="1">
        <f t="array" ref="D62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628" s="79" t="str" cm="1">
        <f t="array" ref="E62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628" s="80" t="str" cm="1">
        <f t="array" ref="F62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628" s="80" t="str" cm="1">
        <f t="array" ref="G62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628" s="80" t="str" cm="1">
        <f t="array" ref="H62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628" s="78" t="str" cm="1">
        <f t="array" ref="I62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629" spans="1:9" hidden="1" x14ac:dyDescent="0.3">
      <c r="A629" s="82" t="str" cm="1">
        <f t="array" ref="A62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629" s="79" t="e">
        <f>'BKG Bank'!#REF!</f>
        <v>#REF!</v>
      </c>
      <c r="C629" s="108" t="e">
        <f>'BKG Bank'!#REF!</f>
        <v>#REF!</v>
      </c>
      <c r="D629" s="79" t="str" cm="1">
        <f t="array" ref="D62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629" s="79" t="str" cm="1">
        <f t="array" ref="E62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629" s="80" t="str" cm="1">
        <f t="array" ref="F62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629" s="80" t="str" cm="1">
        <f t="array" ref="G62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629" s="80" t="str" cm="1">
        <f t="array" ref="H62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629" s="78" t="str" cm="1">
        <f t="array" ref="I62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630" spans="1:9" hidden="1" x14ac:dyDescent="0.3">
      <c r="A630" s="82" t="str" cm="1">
        <f t="array" ref="A63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630" s="79" t="e">
        <f>'BKG Bank'!#REF!</f>
        <v>#REF!</v>
      </c>
      <c r="C630" s="108" t="e">
        <f>'BKG Bank'!#REF!</f>
        <v>#REF!</v>
      </c>
      <c r="D630" s="79" t="str" cm="1">
        <f t="array" ref="D63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630" s="79" t="str" cm="1">
        <f t="array" ref="E63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630" s="80" t="str" cm="1">
        <f t="array" ref="F63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630" s="80" t="str" cm="1">
        <f t="array" ref="G63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630" s="80" t="str" cm="1">
        <f t="array" ref="H63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630" s="78" t="str" cm="1">
        <f t="array" ref="I63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631" spans="1:9" hidden="1" x14ac:dyDescent="0.3">
      <c r="A631" s="82" t="str" cm="1">
        <f t="array" ref="A63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631" s="79" t="e">
        <f>'BKG Bank'!#REF!</f>
        <v>#REF!</v>
      </c>
      <c r="C631" s="108" t="e">
        <f>'BKG Bank'!#REF!</f>
        <v>#REF!</v>
      </c>
      <c r="D631" s="79" t="str" cm="1">
        <f t="array" ref="D63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631" s="79" t="str" cm="1">
        <f t="array" ref="E63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631" s="80" t="str" cm="1">
        <f t="array" ref="F63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631" s="80" t="str" cm="1">
        <f t="array" ref="G63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631" s="80" t="str" cm="1">
        <f t="array" ref="H63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631" s="78" t="str" cm="1">
        <f t="array" ref="I63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632" spans="1:9" hidden="1" x14ac:dyDescent="0.3">
      <c r="A632" s="82" t="str" cm="1">
        <f t="array" ref="A63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632" s="79" t="e">
        <f>'BKG Bank'!#REF!</f>
        <v>#REF!</v>
      </c>
      <c r="C632" s="108" t="e">
        <f>'BKG Bank'!#REF!</f>
        <v>#REF!</v>
      </c>
      <c r="D632" s="79" t="str" cm="1">
        <f t="array" ref="D63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632" s="79" t="str" cm="1">
        <f t="array" ref="E63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632" s="80" t="str" cm="1">
        <f t="array" ref="F63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632" s="80" t="str" cm="1">
        <f t="array" ref="G63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632" s="80" t="str" cm="1">
        <f t="array" ref="H63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632" s="78" t="str" cm="1">
        <f t="array" ref="I63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633" spans="1:9" hidden="1" x14ac:dyDescent="0.3">
      <c r="A633" s="82" t="str" cm="1">
        <f t="array" ref="A63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633" s="79" t="e">
        <f>'BKG Bank'!#REF!</f>
        <v>#REF!</v>
      </c>
      <c r="C633" s="108" t="e">
        <f>'BKG Bank'!#REF!</f>
        <v>#REF!</v>
      </c>
      <c r="D633" s="79" t="str" cm="1">
        <f t="array" ref="D63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633" s="79" t="str" cm="1">
        <f t="array" ref="E63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633" s="80" t="str" cm="1">
        <f t="array" ref="F63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633" s="80" t="str" cm="1">
        <f t="array" ref="G63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633" s="80" t="str" cm="1">
        <f t="array" ref="H63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633" s="78" t="str" cm="1">
        <f t="array" ref="I63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634" spans="1:9" hidden="1" x14ac:dyDescent="0.3">
      <c r="A634" s="82" t="str" cm="1">
        <f t="array" ref="A63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634" s="79" t="e">
        <f>'BKG Bank'!#REF!</f>
        <v>#REF!</v>
      </c>
      <c r="C634" s="108" t="e">
        <f>'BKG Bank'!#REF!</f>
        <v>#REF!</v>
      </c>
      <c r="D634" s="79" t="str" cm="1">
        <f t="array" ref="D63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634" s="79" t="str" cm="1">
        <f t="array" ref="E63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634" s="80" t="str" cm="1">
        <f t="array" ref="F63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634" s="80" t="str" cm="1">
        <f t="array" ref="G63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634" s="80" t="str" cm="1">
        <f t="array" ref="H63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634" s="78" t="str" cm="1">
        <f t="array" ref="I63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635" spans="1:9" hidden="1" x14ac:dyDescent="0.3">
      <c r="A635" s="82" t="str" cm="1">
        <f t="array" ref="A63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635" s="79" t="e">
        <f>'BKG Bank'!#REF!</f>
        <v>#REF!</v>
      </c>
      <c r="C635" s="108" t="e">
        <f>'BKG Bank'!#REF!</f>
        <v>#REF!</v>
      </c>
      <c r="D635" s="79" t="str" cm="1">
        <f t="array" ref="D63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635" s="79" t="str" cm="1">
        <f t="array" ref="E63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635" s="80" t="str" cm="1">
        <f t="array" ref="F63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635" s="80" t="str" cm="1">
        <f t="array" ref="G63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635" s="80" t="str" cm="1">
        <f t="array" ref="H63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635" s="78" t="str" cm="1">
        <f t="array" ref="I63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636" spans="1:9" hidden="1" x14ac:dyDescent="0.3">
      <c r="A636" s="82" t="str" cm="1">
        <f t="array" ref="A63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636" s="79" t="e">
        <f>'BKG Bank'!#REF!</f>
        <v>#REF!</v>
      </c>
      <c r="C636" s="108" t="e">
        <f>'BKG Bank'!#REF!</f>
        <v>#REF!</v>
      </c>
      <c r="D636" s="79" t="str" cm="1">
        <f t="array" ref="D63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636" s="79" t="str" cm="1">
        <f t="array" ref="E63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636" s="80" t="str" cm="1">
        <f t="array" ref="F63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636" s="80" t="str" cm="1">
        <f t="array" ref="G63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636" s="80" t="str" cm="1">
        <f t="array" ref="H63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636" s="78" t="str" cm="1">
        <f t="array" ref="I63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637" spans="1:9" hidden="1" x14ac:dyDescent="0.3">
      <c r="A637" s="82" t="str" cm="1">
        <f t="array" ref="A63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637" s="79" t="e">
        <f>'BKG Bank'!#REF!</f>
        <v>#REF!</v>
      </c>
      <c r="C637" s="108" t="e">
        <f>'BKG Bank'!#REF!</f>
        <v>#REF!</v>
      </c>
      <c r="D637" s="79" t="str" cm="1">
        <f t="array" ref="D63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637" s="79" t="str" cm="1">
        <f t="array" ref="E63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637" s="80" t="str" cm="1">
        <f t="array" ref="F63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637" s="80" t="str" cm="1">
        <f t="array" ref="G63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637" s="80" t="str" cm="1">
        <f t="array" ref="H63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637" s="78" t="str" cm="1">
        <f t="array" ref="I63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638" spans="1:9" hidden="1" x14ac:dyDescent="0.3">
      <c r="A638" s="82" t="str" cm="1">
        <f t="array" ref="A63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638" s="79" t="e">
        <f>'BKG Bank'!#REF!</f>
        <v>#REF!</v>
      </c>
      <c r="C638" s="108" t="e">
        <f>'BKG Bank'!#REF!</f>
        <v>#REF!</v>
      </c>
      <c r="D638" s="79" t="str" cm="1">
        <f t="array" ref="D63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638" s="79" t="str" cm="1">
        <f t="array" ref="E63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638" s="80" t="str" cm="1">
        <f t="array" ref="F63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638" s="80" t="str" cm="1">
        <f t="array" ref="G63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638" s="80" t="str" cm="1">
        <f t="array" ref="H63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638" s="78" t="str" cm="1">
        <f t="array" ref="I63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639" spans="1:9" hidden="1" x14ac:dyDescent="0.3">
      <c r="A639" s="82" t="str" cm="1">
        <f t="array" ref="A63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639" s="79" t="e">
        <f>'BKG Bank'!#REF!</f>
        <v>#REF!</v>
      </c>
      <c r="C639" s="108" t="e">
        <f>'BKG Bank'!#REF!</f>
        <v>#REF!</v>
      </c>
      <c r="D639" s="79" t="str" cm="1">
        <f t="array" ref="D63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639" s="79" t="str" cm="1">
        <f t="array" ref="E63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639" s="80" t="str" cm="1">
        <f t="array" ref="F63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639" s="80" t="str" cm="1">
        <f t="array" ref="G63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639" s="80" t="str" cm="1">
        <f t="array" ref="H63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639" s="78" t="str" cm="1">
        <f t="array" ref="I63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640" spans="1:9" hidden="1" x14ac:dyDescent="0.3">
      <c r="A640" s="82" t="str" cm="1">
        <f t="array" ref="A64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640" s="79" t="e">
        <f>'BKG Bank'!#REF!</f>
        <v>#REF!</v>
      </c>
      <c r="C640" s="108" t="e">
        <f>'BKG Bank'!#REF!</f>
        <v>#REF!</v>
      </c>
      <c r="D640" s="79" t="str" cm="1">
        <f t="array" ref="D64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640" s="79" t="str" cm="1">
        <f t="array" ref="E64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640" s="80" t="str" cm="1">
        <f t="array" ref="F64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640" s="80" t="str" cm="1">
        <f t="array" ref="G64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640" s="80" t="str" cm="1">
        <f t="array" ref="H64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640" s="78" t="str" cm="1">
        <f t="array" ref="I64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641" spans="1:9" hidden="1" x14ac:dyDescent="0.3">
      <c r="A641" s="82" t="str" cm="1">
        <f t="array" ref="A64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641" s="79" t="e">
        <f>'BKG Bank'!#REF!</f>
        <v>#REF!</v>
      </c>
      <c r="C641" s="108" t="e">
        <f>'BKG Bank'!#REF!</f>
        <v>#REF!</v>
      </c>
      <c r="D641" s="79" t="str" cm="1">
        <f t="array" ref="D64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641" s="79" t="str" cm="1">
        <f t="array" ref="E64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641" s="80" t="str" cm="1">
        <f t="array" ref="F64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641" s="80" t="str" cm="1">
        <f t="array" ref="G64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641" s="80" t="str" cm="1">
        <f t="array" ref="H64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641" s="78" t="str" cm="1">
        <f t="array" ref="I64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642" spans="1:9" hidden="1" x14ac:dyDescent="0.3">
      <c r="A642" s="82" t="str" cm="1">
        <f t="array" ref="A64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642" s="79" t="e">
        <f>'BKG Bank'!#REF!</f>
        <v>#REF!</v>
      </c>
      <c r="C642" s="108" t="e">
        <f>'BKG Bank'!#REF!</f>
        <v>#REF!</v>
      </c>
      <c r="D642" s="79" t="str" cm="1">
        <f t="array" ref="D64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642" s="79" t="str" cm="1">
        <f t="array" ref="E64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642" s="80" t="str" cm="1">
        <f t="array" ref="F64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642" s="80" t="str" cm="1">
        <f t="array" ref="G64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642" s="80" t="str" cm="1">
        <f t="array" ref="H64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642" s="78" t="str" cm="1">
        <f t="array" ref="I64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643" spans="1:9" hidden="1" x14ac:dyDescent="0.3">
      <c r="A643" s="82" t="str" cm="1">
        <f t="array" ref="A64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643" s="79" t="e">
        <f>'BKG Bank'!#REF!</f>
        <v>#REF!</v>
      </c>
      <c r="C643" s="108" t="e">
        <f>'BKG Bank'!#REF!</f>
        <v>#REF!</v>
      </c>
      <c r="D643" s="79" t="str" cm="1">
        <f t="array" ref="D64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643" s="79" t="str" cm="1">
        <f t="array" ref="E64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643" s="80" t="str" cm="1">
        <f t="array" ref="F64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643" s="80" t="str" cm="1">
        <f t="array" ref="G64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643" s="80" t="str" cm="1">
        <f t="array" ref="H64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643" s="78" t="str" cm="1">
        <f t="array" ref="I64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644" spans="1:9" hidden="1" x14ac:dyDescent="0.3">
      <c r="A644" s="82" t="str" cm="1">
        <f t="array" ref="A64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644" s="79" t="e">
        <f>'BKG Bank'!#REF!</f>
        <v>#REF!</v>
      </c>
      <c r="C644" s="108" t="e">
        <f>'BKG Bank'!#REF!</f>
        <v>#REF!</v>
      </c>
      <c r="D644" s="79" t="str" cm="1">
        <f t="array" ref="D64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644" s="79" t="str" cm="1">
        <f t="array" ref="E64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644" s="80" t="str" cm="1">
        <f t="array" ref="F64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644" s="80" t="str" cm="1">
        <f t="array" ref="G64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644" s="80" t="str" cm="1">
        <f t="array" ref="H64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644" s="78" t="str" cm="1">
        <f t="array" ref="I64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645" spans="1:9" hidden="1" x14ac:dyDescent="0.3">
      <c r="A645" s="82" t="str" cm="1">
        <f t="array" ref="A64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645" s="79" t="e">
        <f>'BKG Bank'!#REF!</f>
        <v>#REF!</v>
      </c>
      <c r="C645" s="108" t="e">
        <f>'BKG Bank'!#REF!</f>
        <v>#REF!</v>
      </c>
      <c r="D645" s="79" t="str" cm="1">
        <f t="array" ref="D64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645" s="79" t="str" cm="1">
        <f t="array" ref="E64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645" s="80" t="str" cm="1">
        <f t="array" ref="F64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645" s="80" t="str" cm="1">
        <f t="array" ref="G64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645" s="80" t="str" cm="1">
        <f t="array" ref="H64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645" s="78" t="str" cm="1">
        <f t="array" ref="I64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646" spans="1:9" hidden="1" x14ac:dyDescent="0.3">
      <c r="A646" s="82" t="str" cm="1">
        <f t="array" ref="A64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646" s="79" t="e">
        <f>'BKG Bank'!#REF!</f>
        <v>#REF!</v>
      </c>
      <c r="C646" s="108" t="e">
        <f>'BKG Bank'!#REF!</f>
        <v>#REF!</v>
      </c>
      <c r="D646" s="79" t="str" cm="1">
        <f t="array" ref="D64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646" s="79" t="str" cm="1">
        <f t="array" ref="E64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646" s="80" t="str" cm="1">
        <f t="array" ref="F64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646" s="80" t="str" cm="1">
        <f t="array" ref="G64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646" s="80" t="str" cm="1">
        <f t="array" ref="H64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646" s="78" t="str" cm="1">
        <f t="array" ref="I64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647" spans="1:9" hidden="1" x14ac:dyDescent="0.3">
      <c r="A647" s="82" t="str" cm="1">
        <f t="array" ref="A64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647" s="79" t="e">
        <f>'BKG Bank'!#REF!</f>
        <v>#REF!</v>
      </c>
      <c r="C647" s="108" t="e">
        <f>'BKG Bank'!#REF!</f>
        <v>#REF!</v>
      </c>
      <c r="D647" s="79" t="str" cm="1">
        <f t="array" ref="D64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647" s="79" t="str" cm="1">
        <f t="array" ref="E64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647" s="80" t="str" cm="1">
        <f t="array" ref="F64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647" s="80" t="str" cm="1">
        <f t="array" ref="G64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647" s="80" t="str" cm="1">
        <f t="array" ref="H64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647" s="78" t="str" cm="1">
        <f t="array" ref="I64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648" spans="1:9" hidden="1" x14ac:dyDescent="0.3">
      <c r="A648" s="82" t="str" cm="1">
        <f t="array" ref="A64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648" s="79" t="e">
        <f>'BKG Bank'!#REF!</f>
        <v>#REF!</v>
      </c>
      <c r="C648" s="108" t="e">
        <f>'BKG Bank'!#REF!</f>
        <v>#REF!</v>
      </c>
      <c r="D648" s="79" t="str" cm="1">
        <f t="array" ref="D64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648" s="79" t="str" cm="1">
        <f t="array" ref="E64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648" s="80" t="str" cm="1">
        <f t="array" ref="F64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648" s="80" t="str" cm="1">
        <f t="array" ref="G64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648" s="80" t="str" cm="1">
        <f t="array" ref="H64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648" s="78" t="str" cm="1">
        <f t="array" ref="I64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649" spans="1:9" hidden="1" x14ac:dyDescent="0.3">
      <c r="A649" s="82" t="str" cm="1">
        <f t="array" ref="A64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649" s="79" t="e">
        <f>'BKG Bank'!#REF!</f>
        <v>#REF!</v>
      </c>
      <c r="C649" s="108" t="e">
        <f>'BKG Bank'!#REF!</f>
        <v>#REF!</v>
      </c>
      <c r="D649" s="79" t="str" cm="1">
        <f t="array" ref="D64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649" s="79" t="str" cm="1">
        <f t="array" ref="E64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649" s="80" t="str" cm="1">
        <f t="array" ref="F64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649" s="80" t="str" cm="1">
        <f t="array" ref="G64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649" s="80" t="str" cm="1">
        <f t="array" ref="H64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649" s="78" t="str" cm="1">
        <f t="array" ref="I64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650" spans="1:9" hidden="1" x14ac:dyDescent="0.3">
      <c r="A650" s="82" t="str" cm="1">
        <f t="array" ref="A65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650" s="79" t="e">
        <f>'BKG Bank'!#REF!</f>
        <v>#REF!</v>
      </c>
      <c r="C650" s="108" t="e">
        <f>'BKG Bank'!#REF!</f>
        <v>#REF!</v>
      </c>
      <c r="D650" s="79" t="str" cm="1">
        <f t="array" ref="D65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650" s="79" t="str" cm="1">
        <f t="array" ref="E65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650" s="80" t="str" cm="1">
        <f t="array" ref="F65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650" s="80" t="str" cm="1">
        <f t="array" ref="G65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650" s="80" t="str" cm="1">
        <f t="array" ref="H65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650" s="78" t="str" cm="1">
        <f t="array" ref="I65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651" spans="1:9" hidden="1" x14ac:dyDescent="0.3">
      <c r="A651" s="82" t="str" cm="1">
        <f t="array" ref="A65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651" s="79" t="e">
        <f>'BKG Bank'!#REF!</f>
        <v>#REF!</v>
      </c>
      <c r="C651" s="108" t="e">
        <f>'BKG Bank'!#REF!</f>
        <v>#REF!</v>
      </c>
      <c r="D651" s="79" t="str" cm="1">
        <f t="array" ref="D65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651" s="79" t="str" cm="1">
        <f t="array" ref="E65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651" s="80" t="str" cm="1">
        <f t="array" ref="F65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651" s="80" t="str" cm="1">
        <f t="array" ref="G65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651" s="80" t="str" cm="1">
        <f t="array" ref="H65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651" s="78" t="str" cm="1">
        <f t="array" ref="I65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652" spans="1:9" hidden="1" x14ac:dyDescent="0.3">
      <c r="A652" s="82" t="str" cm="1">
        <f t="array" ref="A65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652" s="79" t="e">
        <f>'BKG Bank'!#REF!</f>
        <v>#REF!</v>
      </c>
      <c r="C652" s="108" t="e">
        <f>'BKG Bank'!#REF!</f>
        <v>#REF!</v>
      </c>
      <c r="D652" s="79" t="str" cm="1">
        <f t="array" ref="D65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652" s="79" t="str" cm="1">
        <f t="array" ref="E65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652" s="80" t="str" cm="1">
        <f t="array" ref="F65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652" s="80" t="str" cm="1">
        <f t="array" ref="G65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652" s="80" t="str" cm="1">
        <f t="array" ref="H65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652" s="78" t="str" cm="1">
        <f t="array" ref="I65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653" spans="1:9" hidden="1" x14ac:dyDescent="0.3">
      <c r="A653" s="82" t="str" cm="1">
        <f t="array" ref="A65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653" s="79" t="e">
        <f>'BKG Bank'!#REF!</f>
        <v>#REF!</v>
      </c>
      <c r="C653" s="108" t="e">
        <f>'BKG Bank'!#REF!</f>
        <v>#REF!</v>
      </c>
      <c r="D653" s="79" t="str" cm="1">
        <f t="array" ref="D65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653" s="79" t="str" cm="1">
        <f t="array" ref="E65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653" s="80" t="str" cm="1">
        <f t="array" ref="F65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653" s="80" t="str" cm="1">
        <f t="array" ref="G65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653" s="80" t="str" cm="1">
        <f t="array" ref="H65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653" s="78" t="str" cm="1">
        <f t="array" ref="I65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654" spans="1:9" hidden="1" x14ac:dyDescent="0.3">
      <c r="A654" s="82" t="str" cm="1">
        <f t="array" ref="A65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654" s="79" t="e">
        <f>'BKG Bank'!#REF!</f>
        <v>#REF!</v>
      </c>
      <c r="C654" s="108" t="e">
        <f>'BKG Bank'!#REF!</f>
        <v>#REF!</v>
      </c>
      <c r="D654" s="79" t="str" cm="1">
        <f t="array" ref="D65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654" s="79" t="str" cm="1">
        <f t="array" ref="E65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654" s="80" t="str" cm="1">
        <f t="array" ref="F65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654" s="80" t="str" cm="1">
        <f t="array" ref="G65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654" s="80" t="str" cm="1">
        <f t="array" ref="H65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654" s="78" t="str" cm="1">
        <f t="array" ref="I65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655" spans="1:9" hidden="1" x14ac:dyDescent="0.3">
      <c r="A655" s="82" t="str" cm="1">
        <f t="array" ref="A65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655" s="79" t="e">
        <f>'BKG Bank'!#REF!</f>
        <v>#REF!</v>
      </c>
      <c r="C655" s="108" t="e">
        <f>'BKG Bank'!#REF!</f>
        <v>#REF!</v>
      </c>
      <c r="D655" s="79" t="str" cm="1">
        <f t="array" ref="D65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655" s="79" t="str" cm="1">
        <f t="array" ref="E65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655" s="80" t="str" cm="1">
        <f t="array" ref="F65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655" s="80" t="str" cm="1">
        <f t="array" ref="G65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655" s="80" t="str" cm="1">
        <f t="array" ref="H65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655" s="78" t="str" cm="1">
        <f t="array" ref="I65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656" spans="1:9" hidden="1" x14ac:dyDescent="0.3">
      <c r="A656" s="82" t="str" cm="1">
        <f t="array" ref="A65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656" s="79" t="e">
        <f>'BKG Bank'!#REF!</f>
        <v>#REF!</v>
      </c>
      <c r="C656" s="108" t="e">
        <f>'BKG Bank'!#REF!</f>
        <v>#REF!</v>
      </c>
      <c r="D656" s="79" t="str" cm="1">
        <f t="array" ref="D65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656" s="79" t="str" cm="1">
        <f t="array" ref="E65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656" s="80" t="str" cm="1">
        <f t="array" ref="F65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656" s="80" t="str" cm="1">
        <f t="array" ref="G65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656" s="80" t="str" cm="1">
        <f t="array" ref="H65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656" s="78" t="str" cm="1">
        <f t="array" ref="I65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657" spans="1:9" hidden="1" x14ac:dyDescent="0.3">
      <c r="A657" s="82" t="str" cm="1">
        <f t="array" ref="A65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657" s="79" t="e">
        <f>'BKG Bank'!#REF!</f>
        <v>#REF!</v>
      </c>
      <c r="C657" s="108" t="e">
        <f>'BKG Bank'!#REF!</f>
        <v>#REF!</v>
      </c>
      <c r="D657" s="79" t="str" cm="1">
        <f t="array" ref="D65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657" s="79" t="str" cm="1">
        <f t="array" ref="E65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657" s="80" t="str" cm="1">
        <f t="array" ref="F65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657" s="80" t="str" cm="1">
        <f t="array" ref="G65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657" s="80" t="str" cm="1">
        <f t="array" ref="H65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657" s="78" t="str" cm="1">
        <f t="array" ref="I65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658" spans="1:9" hidden="1" x14ac:dyDescent="0.3">
      <c r="A658" s="82" t="str" cm="1">
        <f t="array" ref="A65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658" s="79" t="e">
        <f>'BKG Bank'!#REF!</f>
        <v>#REF!</v>
      </c>
      <c r="C658" s="108" t="e">
        <f>'BKG Bank'!#REF!</f>
        <v>#REF!</v>
      </c>
      <c r="D658" s="79" t="str" cm="1">
        <f t="array" ref="D65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658" s="79" t="str" cm="1">
        <f t="array" ref="E65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658" s="80" t="str" cm="1">
        <f t="array" ref="F65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658" s="80" t="str" cm="1">
        <f t="array" ref="G65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658" s="80" t="str" cm="1">
        <f t="array" ref="H65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658" s="78" t="str" cm="1">
        <f t="array" ref="I65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659" spans="1:9" hidden="1" x14ac:dyDescent="0.3">
      <c r="A659" s="82" t="str" cm="1">
        <f t="array" ref="A65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659" s="79" t="e">
        <f>'BKG Bank'!#REF!</f>
        <v>#REF!</v>
      </c>
      <c r="C659" s="108" t="e">
        <f>'BKG Bank'!#REF!</f>
        <v>#REF!</v>
      </c>
      <c r="D659" s="79" t="str" cm="1">
        <f t="array" ref="D65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659" s="79" t="str" cm="1">
        <f t="array" ref="E65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659" s="80" t="str" cm="1">
        <f t="array" ref="F65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659" s="80" t="str" cm="1">
        <f t="array" ref="G65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659" s="80" t="str" cm="1">
        <f t="array" ref="H65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659" s="78" t="str" cm="1">
        <f t="array" ref="I65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660" spans="1:9" hidden="1" x14ac:dyDescent="0.3">
      <c r="A660" s="82" t="str" cm="1">
        <f t="array" ref="A66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660" s="79" t="e">
        <f>'BKG Bank'!#REF!</f>
        <v>#REF!</v>
      </c>
      <c r="C660" s="108" t="e">
        <f>'BKG Bank'!#REF!</f>
        <v>#REF!</v>
      </c>
      <c r="D660" s="79" t="str" cm="1">
        <f t="array" ref="D66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660" s="79" t="str" cm="1">
        <f t="array" ref="E66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660" s="80" t="str" cm="1">
        <f t="array" ref="F66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660" s="80" t="str" cm="1">
        <f t="array" ref="G66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660" s="80" t="str" cm="1">
        <f t="array" ref="H66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660" s="78" t="str" cm="1">
        <f t="array" ref="I66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661" spans="1:9" hidden="1" x14ac:dyDescent="0.3">
      <c r="A661" s="82" t="str" cm="1">
        <f t="array" ref="A66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661" s="79" t="e">
        <f>'BKG Bank'!#REF!</f>
        <v>#REF!</v>
      </c>
      <c r="C661" s="108" t="e">
        <f>'BKG Bank'!#REF!</f>
        <v>#REF!</v>
      </c>
      <c r="D661" s="79" t="str" cm="1">
        <f t="array" ref="D66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661" s="79" t="str" cm="1">
        <f t="array" ref="E66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661" s="80" t="str" cm="1">
        <f t="array" ref="F66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661" s="80" t="str" cm="1">
        <f t="array" ref="G66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661" s="80" t="str" cm="1">
        <f t="array" ref="H66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661" s="78" t="str" cm="1">
        <f t="array" ref="I66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662" spans="1:9" hidden="1" x14ac:dyDescent="0.3">
      <c r="A662" s="82" t="str" cm="1">
        <f t="array" ref="A66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662" s="79" t="e">
        <f>'BKG Bank'!#REF!</f>
        <v>#REF!</v>
      </c>
      <c r="C662" s="108" t="e">
        <f>'BKG Bank'!#REF!</f>
        <v>#REF!</v>
      </c>
      <c r="D662" s="79" t="str" cm="1">
        <f t="array" ref="D66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662" s="79" t="str" cm="1">
        <f t="array" ref="E66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662" s="80" t="str" cm="1">
        <f t="array" ref="F66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662" s="80" t="str" cm="1">
        <f t="array" ref="G66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662" s="80" t="str" cm="1">
        <f t="array" ref="H66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662" s="78" t="str" cm="1">
        <f t="array" ref="I66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663" spans="1:9" hidden="1" x14ac:dyDescent="0.3">
      <c r="A663" s="82" t="str" cm="1">
        <f t="array" ref="A66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663" s="79" t="e">
        <f>'BKG Bank'!#REF!</f>
        <v>#REF!</v>
      </c>
      <c r="C663" s="108" t="e">
        <f>'BKG Bank'!#REF!</f>
        <v>#REF!</v>
      </c>
      <c r="D663" s="79" t="str" cm="1">
        <f t="array" ref="D66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663" s="79" t="str" cm="1">
        <f t="array" ref="E66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663" s="80" t="str" cm="1">
        <f t="array" ref="F66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663" s="80" t="str" cm="1">
        <f t="array" ref="G66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663" s="80" t="str" cm="1">
        <f t="array" ref="H66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663" s="78" t="str" cm="1">
        <f t="array" ref="I66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664" spans="1:9" hidden="1" x14ac:dyDescent="0.3">
      <c r="A664" s="82" t="str" cm="1">
        <f t="array" ref="A66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664" s="79" t="e">
        <f>'BKG Bank'!#REF!</f>
        <v>#REF!</v>
      </c>
      <c r="C664" s="108" t="e">
        <f>'BKG Bank'!#REF!</f>
        <v>#REF!</v>
      </c>
      <c r="D664" s="79" t="str" cm="1">
        <f t="array" ref="D66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664" s="79" t="str" cm="1">
        <f t="array" ref="E66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664" s="80" t="str" cm="1">
        <f t="array" ref="F66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664" s="80" t="str" cm="1">
        <f t="array" ref="G66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664" s="80" t="str" cm="1">
        <f t="array" ref="H66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664" s="78" t="str" cm="1">
        <f t="array" ref="I66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665" spans="1:9" hidden="1" x14ac:dyDescent="0.3">
      <c r="A665" s="82" t="str" cm="1">
        <f t="array" ref="A66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665" s="79" t="e">
        <f>'BKG Bank'!#REF!</f>
        <v>#REF!</v>
      </c>
      <c r="C665" s="108" t="e">
        <f>'BKG Bank'!#REF!</f>
        <v>#REF!</v>
      </c>
      <c r="D665" s="79" t="str" cm="1">
        <f t="array" ref="D66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665" s="79" t="str" cm="1">
        <f t="array" ref="E66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665" s="80" t="str" cm="1">
        <f t="array" ref="F66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665" s="80" t="str" cm="1">
        <f t="array" ref="G66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665" s="80" t="str" cm="1">
        <f t="array" ref="H66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665" s="78" t="str" cm="1">
        <f t="array" ref="I66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666" spans="1:9" hidden="1" x14ac:dyDescent="0.3">
      <c r="A666" s="82" t="str" cm="1">
        <f t="array" ref="A66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666" s="79" t="e">
        <f>'BKG Bank'!#REF!</f>
        <v>#REF!</v>
      </c>
      <c r="C666" s="108" t="e">
        <f>'BKG Bank'!#REF!</f>
        <v>#REF!</v>
      </c>
      <c r="D666" s="79" t="str" cm="1">
        <f t="array" ref="D66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666" s="79" t="str" cm="1">
        <f t="array" ref="E66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666" s="80" t="str" cm="1">
        <f t="array" ref="F66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666" s="80" t="str" cm="1">
        <f t="array" ref="G66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666" s="80" t="str" cm="1">
        <f t="array" ref="H66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666" s="78" t="str" cm="1">
        <f t="array" ref="I66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667" spans="1:9" hidden="1" x14ac:dyDescent="0.3">
      <c r="A667" s="82" t="str" cm="1">
        <f t="array" ref="A66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667" s="79" t="e">
        <f>'BKG Bank'!#REF!</f>
        <v>#REF!</v>
      </c>
      <c r="C667" s="108" t="e">
        <f>'BKG Bank'!#REF!</f>
        <v>#REF!</v>
      </c>
      <c r="D667" s="79" t="str" cm="1">
        <f t="array" ref="D66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667" s="79" t="str" cm="1">
        <f t="array" ref="E66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667" s="80" t="str" cm="1">
        <f t="array" ref="F66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667" s="80" t="str" cm="1">
        <f t="array" ref="G66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667" s="80" t="str" cm="1">
        <f t="array" ref="H66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667" s="78" t="str" cm="1">
        <f t="array" ref="I66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668" spans="1:9" hidden="1" x14ac:dyDescent="0.3">
      <c r="A668" s="82" t="str" cm="1">
        <f t="array" ref="A66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668" s="79" t="e">
        <f>'BKG Bank'!#REF!</f>
        <v>#REF!</v>
      </c>
      <c r="C668" s="108" t="e">
        <f>'BKG Bank'!#REF!</f>
        <v>#REF!</v>
      </c>
      <c r="D668" s="79" t="str" cm="1">
        <f t="array" ref="D66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668" s="79" t="str" cm="1">
        <f t="array" ref="E66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668" s="80" t="str" cm="1">
        <f t="array" ref="F66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668" s="80" t="str" cm="1">
        <f t="array" ref="G66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668" s="80" t="str" cm="1">
        <f t="array" ref="H66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668" s="78" t="str" cm="1">
        <f t="array" ref="I66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669" spans="1:9" hidden="1" x14ac:dyDescent="0.3">
      <c r="A669" s="82" t="str" cm="1">
        <f t="array" ref="A66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669" s="79" t="e">
        <f>'BKG Bank'!#REF!</f>
        <v>#REF!</v>
      </c>
      <c r="C669" s="108" t="e">
        <f>'BKG Bank'!#REF!</f>
        <v>#REF!</v>
      </c>
      <c r="D669" s="79" t="str" cm="1">
        <f t="array" ref="D66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669" s="79" t="str" cm="1">
        <f t="array" ref="E66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669" s="80" t="str" cm="1">
        <f t="array" ref="F66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669" s="80" t="str" cm="1">
        <f t="array" ref="G66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669" s="80" t="str" cm="1">
        <f t="array" ref="H66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669" s="78" t="str" cm="1">
        <f t="array" ref="I66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670" spans="1:9" hidden="1" x14ac:dyDescent="0.3">
      <c r="A670" s="82" t="str" cm="1">
        <f t="array" ref="A67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670" s="79" t="e">
        <f>'BKG Bank'!#REF!</f>
        <v>#REF!</v>
      </c>
      <c r="C670" s="108" t="e">
        <f>'BKG Bank'!#REF!</f>
        <v>#REF!</v>
      </c>
      <c r="D670" s="79" t="str" cm="1">
        <f t="array" ref="D67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670" s="79" t="str" cm="1">
        <f t="array" ref="E67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670" s="80" t="str" cm="1">
        <f t="array" ref="F67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670" s="80" t="str" cm="1">
        <f t="array" ref="G67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670" s="80" t="str" cm="1">
        <f t="array" ref="H67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670" s="78" t="str" cm="1">
        <f t="array" ref="I67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671" spans="1:9" hidden="1" x14ac:dyDescent="0.3">
      <c r="A671" s="82" t="str" cm="1">
        <f t="array" ref="A67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671" s="79" t="e">
        <f>'BKG Bank'!#REF!</f>
        <v>#REF!</v>
      </c>
      <c r="C671" s="108" t="e">
        <f>'BKG Bank'!#REF!</f>
        <v>#REF!</v>
      </c>
      <c r="D671" s="79" t="str" cm="1">
        <f t="array" ref="D67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671" s="79" t="str" cm="1">
        <f t="array" ref="E67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671" s="80" t="str" cm="1">
        <f t="array" ref="F67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671" s="80" t="str" cm="1">
        <f t="array" ref="G67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671" s="80" t="str" cm="1">
        <f t="array" ref="H67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671" s="78" t="str" cm="1">
        <f t="array" ref="I67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672" spans="1:9" hidden="1" x14ac:dyDescent="0.3">
      <c r="A672" s="82" t="str" cm="1">
        <f t="array" ref="A67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672" s="79" t="e">
        <f>'BKG Bank'!#REF!</f>
        <v>#REF!</v>
      </c>
      <c r="C672" s="108" t="e">
        <f>'BKG Bank'!#REF!</f>
        <v>#REF!</v>
      </c>
      <c r="D672" s="79" t="str" cm="1">
        <f t="array" ref="D67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672" s="79" t="str" cm="1">
        <f t="array" ref="E67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672" s="80" t="str" cm="1">
        <f t="array" ref="F67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672" s="80" t="str" cm="1">
        <f t="array" ref="G67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672" s="80" t="str" cm="1">
        <f t="array" ref="H67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672" s="78" t="str" cm="1">
        <f t="array" ref="I67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673" spans="1:9" hidden="1" x14ac:dyDescent="0.3">
      <c r="A673" s="82" t="str" cm="1">
        <f t="array" ref="A67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673" s="79" t="e">
        <f>'BKG Bank'!#REF!</f>
        <v>#REF!</v>
      </c>
      <c r="C673" s="108" t="e">
        <f>'BKG Bank'!#REF!</f>
        <v>#REF!</v>
      </c>
      <c r="D673" s="79" t="str" cm="1">
        <f t="array" ref="D67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673" s="79" t="str" cm="1">
        <f t="array" ref="E67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673" s="80" t="str" cm="1">
        <f t="array" ref="F67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673" s="80" t="str" cm="1">
        <f t="array" ref="G67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673" s="80" t="str" cm="1">
        <f t="array" ref="H67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673" s="78" t="str" cm="1">
        <f t="array" ref="I67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674" spans="1:9" hidden="1" x14ac:dyDescent="0.3">
      <c r="A674" s="82" t="str" cm="1">
        <f t="array" ref="A67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674" s="79" t="e">
        <f>'BKG Bank'!#REF!</f>
        <v>#REF!</v>
      </c>
      <c r="C674" s="108" t="e">
        <f>'BKG Bank'!#REF!</f>
        <v>#REF!</v>
      </c>
      <c r="D674" s="79" t="str" cm="1">
        <f t="array" ref="D67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674" s="79" t="str" cm="1">
        <f t="array" ref="E67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674" s="80" t="str" cm="1">
        <f t="array" ref="F67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674" s="80" t="str" cm="1">
        <f t="array" ref="G67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674" s="80" t="str" cm="1">
        <f t="array" ref="H67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674" s="78" t="str" cm="1">
        <f t="array" ref="I67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675" spans="1:9" hidden="1" x14ac:dyDescent="0.3">
      <c r="A675" s="82" t="str" cm="1">
        <f t="array" ref="A67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675" s="79" t="e">
        <f>'BKG Bank'!#REF!</f>
        <v>#REF!</v>
      </c>
      <c r="C675" s="108" t="e">
        <f>'BKG Bank'!#REF!</f>
        <v>#REF!</v>
      </c>
      <c r="D675" s="79" t="str" cm="1">
        <f t="array" ref="D67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675" s="79" t="str" cm="1">
        <f t="array" ref="E67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675" s="80" t="str" cm="1">
        <f t="array" ref="F67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675" s="80" t="str" cm="1">
        <f t="array" ref="G67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675" s="80" t="str" cm="1">
        <f t="array" ref="H67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675" s="78" t="str" cm="1">
        <f t="array" ref="I67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676" spans="1:9" hidden="1" x14ac:dyDescent="0.3">
      <c r="A676" s="82" t="str" cm="1">
        <f t="array" ref="A67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676" s="79" t="e">
        <f>'BKG Bank'!#REF!</f>
        <v>#REF!</v>
      </c>
      <c r="C676" s="108" t="e">
        <f>'BKG Bank'!#REF!</f>
        <v>#REF!</v>
      </c>
      <c r="D676" s="79" t="str" cm="1">
        <f t="array" ref="D67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676" s="79" t="str" cm="1">
        <f t="array" ref="E67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676" s="80" t="str" cm="1">
        <f t="array" ref="F67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676" s="80" t="str" cm="1">
        <f t="array" ref="G67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676" s="80" t="str" cm="1">
        <f t="array" ref="H67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676" s="78" t="str" cm="1">
        <f t="array" ref="I67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677" spans="1:9" hidden="1" x14ac:dyDescent="0.3">
      <c r="A677" s="82" t="str" cm="1">
        <f t="array" ref="A67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677" s="79" t="e">
        <f>'BKG Bank'!#REF!</f>
        <v>#REF!</v>
      </c>
      <c r="C677" s="108" t="e">
        <f>'BKG Bank'!#REF!</f>
        <v>#REF!</v>
      </c>
      <c r="D677" s="79" t="str" cm="1">
        <f t="array" ref="D67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677" s="79" t="str" cm="1">
        <f t="array" ref="E67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677" s="80" t="str" cm="1">
        <f t="array" ref="F67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677" s="80" t="str" cm="1">
        <f t="array" ref="G67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677" s="80" t="str" cm="1">
        <f t="array" ref="H67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677" s="78" t="str" cm="1">
        <f t="array" ref="I67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678" spans="1:9" hidden="1" x14ac:dyDescent="0.3">
      <c r="A678" s="82" t="str" cm="1">
        <f t="array" ref="A67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678" s="79" t="e">
        <f>'BKG Bank'!#REF!</f>
        <v>#REF!</v>
      </c>
      <c r="C678" s="108" t="e">
        <f>'BKG Bank'!#REF!</f>
        <v>#REF!</v>
      </c>
      <c r="D678" s="79" t="str" cm="1">
        <f t="array" ref="D67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678" s="79" t="str" cm="1">
        <f t="array" ref="E67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678" s="80" t="str" cm="1">
        <f t="array" ref="F67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678" s="80" t="str" cm="1">
        <f t="array" ref="G67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678" s="80" t="str" cm="1">
        <f t="array" ref="H67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678" s="78" t="str" cm="1">
        <f t="array" ref="I67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679" spans="1:9" hidden="1" x14ac:dyDescent="0.3">
      <c r="A679" s="82" t="str" cm="1">
        <f t="array" ref="A67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679" s="79" t="e">
        <f>'BKG Bank'!#REF!</f>
        <v>#REF!</v>
      </c>
      <c r="C679" s="108" t="e">
        <f>'BKG Bank'!#REF!</f>
        <v>#REF!</v>
      </c>
      <c r="D679" s="79" t="str" cm="1">
        <f t="array" ref="D67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679" s="79" t="str" cm="1">
        <f t="array" ref="E67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679" s="80" t="str" cm="1">
        <f t="array" ref="F67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679" s="80" t="str" cm="1">
        <f t="array" ref="G67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679" s="80" t="str" cm="1">
        <f t="array" ref="H67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679" s="78" t="str" cm="1">
        <f t="array" ref="I67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680" spans="1:9" hidden="1" x14ac:dyDescent="0.3">
      <c r="A680" s="82" t="str" cm="1">
        <f t="array" ref="A68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680" s="79" t="e">
        <f>'BKG Bank'!#REF!</f>
        <v>#REF!</v>
      </c>
      <c r="C680" s="108" t="e">
        <f>'BKG Bank'!#REF!</f>
        <v>#REF!</v>
      </c>
      <c r="D680" s="79" t="str" cm="1">
        <f t="array" ref="D68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680" s="79" t="str" cm="1">
        <f t="array" ref="E68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680" s="80" t="str" cm="1">
        <f t="array" ref="F68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680" s="80" t="str" cm="1">
        <f t="array" ref="G68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680" s="80" t="str" cm="1">
        <f t="array" ref="H68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680" s="78" t="str" cm="1">
        <f t="array" ref="I68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681" spans="1:9" hidden="1" x14ac:dyDescent="0.3">
      <c r="A681" s="82" t="str" cm="1">
        <f t="array" ref="A68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681" s="79" t="e">
        <f>'BKG Bank'!#REF!</f>
        <v>#REF!</v>
      </c>
      <c r="C681" s="108" t="e">
        <f>'BKG Bank'!#REF!</f>
        <v>#REF!</v>
      </c>
      <c r="D681" s="79" t="str" cm="1">
        <f t="array" ref="D68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681" s="79" t="str" cm="1">
        <f t="array" ref="E68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681" s="80" t="str" cm="1">
        <f t="array" ref="F68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681" s="80" t="str" cm="1">
        <f t="array" ref="G68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681" s="80" t="str" cm="1">
        <f t="array" ref="H68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681" s="78" t="str" cm="1">
        <f t="array" ref="I68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682" spans="1:9" hidden="1" x14ac:dyDescent="0.3">
      <c r="A682" s="82" t="str" cm="1">
        <f t="array" ref="A68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682" s="79" t="e">
        <f>'BKG Bank'!#REF!</f>
        <v>#REF!</v>
      </c>
      <c r="C682" s="108" t="e">
        <f>'BKG Bank'!#REF!</f>
        <v>#REF!</v>
      </c>
      <c r="D682" s="79" t="str" cm="1">
        <f t="array" ref="D68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682" s="79" t="str" cm="1">
        <f t="array" ref="E68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682" s="80" t="str" cm="1">
        <f t="array" ref="F68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682" s="80" t="str" cm="1">
        <f t="array" ref="G68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682" s="80" t="str" cm="1">
        <f t="array" ref="H68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682" s="78" t="str" cm="1">
        <f t="array" ref="I68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683" spans="1:9" hidden="1" x14ac:dyDescent="0.3">
      <c r="A683" s="82" t="str" cm="1">
        <f t="array" ref="A68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683" s="79" t="e">
        <f>'BKG Bank'!#REF!</f>
        <v>#REF!</v>
      </c>
      <c r="C683" s="108" t="e">
        <f>'BKG Bank'!#REF!</f>
        <v>#REF!</v>
      </c>
      <c r="D683" s="79" t="str" cm="1">
        <f t="array" ref="D68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683" s="79" t="str" cm="1">
        <f t="array" ref="E68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683" s="80" t="str" cm="1">
        <f t="array" ref="F68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683" s="80" t="str" cm="1">
        <f t="array" ref="G68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683" s="80" t="str" cm="1">
        <f t="array" ref="H68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683" s="78" t="str" cm="1">
        <f t="array" ref="I68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684" spans="1:9" hidden="1" x14ac:dyDescent="0.3">
      <c r="A684" s="82" t="str" cm="1">
        <f t="array" ref="A68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684" s="79" t="e">
        <f>'BKG Bank'!#REF!</f>
        <v>#REF!</v>
      </c>
      <c r="C684" s="108" t="e">
        <f>'BKG Bank'!#REF!</f>
        <v>#REF!</v>
      </c>
      <c r="D684" s="79" t="str" cm="1">
        <f t="array" ref="D68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684" s="79" t="str" cm="1">
        <f t="array" ref="E68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684" s="80" t="str" cm="1">
        <f t="array" ref="F68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684" s="80" t="str" cm="1">
        <f t="array" ref="G68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684" s="80" t="str" cm="1">
        <f t="array" ref="H68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684" s="78" t="str" cm="1">
        <f t="array" ref="I68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685" spans="1:9" hidden="1" x14ac:dyDescent="0.3">
      <c r="A685" s="82" t="str" cm="1">
        <f t="array" ref="A68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685" s="79" t="e">
        <f>'BKG Bank'!#REF!</f>
        <v>#REF!</v>
      </c>
      <c r="C685" s="108" t="e">
        <f>'BKG Bank'!#REF!</f>
        <v>#REF!</v>
      </c>
      <c r="D685" s="79" t="str" cm="1">
        <f t="array" ref="D68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685" s="79" t="str" cm="1">
        <f t="array" ref="E68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685" s="80" t="str" cm="1">
        <f t="array" ref="F68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685" s="80" t="str" cm="1">
        <f t="array" ref="G68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685" s="80" t="str" cm="1">
        <f t="array" ref="H68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685" s="78" t="str" cm="1">
        <f t="array" ref="I68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686" spans="1:9" hidden="1" x14ac:dyDescent="0.3">
      <c r="A686" s="82" t="str" cm="1">
        <f t="array" ref="A68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686" s="79" t="e">
        <f>'BKG Bank'!#REF!</f>
        <v>#REF!</v>
      </c>
      <c r="C686" s="108" t="e">
        <f>'BKG Bank'!#REF!</f>
        <v>#REF!</v>
      </c>
      <c r="D686" s="79" t="str" cm="1">
        <f t="array" ref="D68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686" s="79" t="str" cm="1">
        <f t="array" ref="E68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686" s="80" t="str" cm="1">
        <f t="array" ref="F68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686" s="80" t="str" cm="1">
        <f t="array" ref="G68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686" s="80" t="str" cm="1">
        <f t="array" ref="H68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686" s="78" t="str" cm="1">
        <f t="array" ref="I68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687" spans="1:9" hidden="1" x14ac:dyDescent="0.3">
      <c r="A687" s="82" t="str" cm="1">
        <f t="array" ref="A68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687" s="79" t="e">
        <f>'BKG Bank'!#REF!</f>
        <v>#REF!</v>
      </c>
      <c r="C687" s="108" t="e">
        <f>'BKG Bank'!#REF!</f>
        <v>#REF!</v>
      </c>
      <c r="D687" s="79" t="str" cm="1">
        <f t="array" ref="D68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687" s="79" t="str" cm="1">
        <f t="array" ref="E68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687" s="80" t="str" cm="1">
        <f t="array" ref="F68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687" s="80" t="str" cm="1">
        <f t="array" ref="G68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687" s="80" t="str" cm="1">
        <f t="array" ref="H68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687" s="78" t="str" cm="1">
        <f t="array" ref="I68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688" spans="1:9" hidden="1" x14ac:dyDescent="0.3">
      <c r="A688" s="82" t="str" cm="1">
        <f t="array" ref="A68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688" s="79" t="e">
        <f>'BKG Bank'!#REF!</f>
        <v>#REF!</v>
      </c>
      <c r="C688" s="108" t="e">
        <f>'BKG Bank'!#REF!</f>
        <v>#REF!</v>
      </c>
      <c r="D688" s="79" t="str" cm="1">
        <f t="array" ref="D68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688" s="79" t="str" cm="1">
        <f t="array" ref="E68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688" s="80" t="str" cm="1">
        <f t="array" ref="F68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688" s="80" t="str" cm="1">
        <f t="array" ref="G68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688" s="80" t="str" cm="1">
        <f t="array" ref="H68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688" s="78" t="str" cm="1">
        <f t="array" ref="I68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689" spans="1:9" hidden="1" x14ac:dyDescent="0.3">
      <c r="A689" s="82" t="str" cm="1">
        <f t="array" ref="A68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689" s="79" t="e">
        <f>'BKG Bank'!#REF!</f>
        <v>#REF!</v>
      </c>
      <c r="C689" s="108" t="e">
        <f>'BKG Bank'!#REF!</f>
        <v>#REF!</v>
      </c>
      <c r="D689" s="79" t="str" cm="1">
        <f t="array" ref="D68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689" s="79" t="str" cm="1">
        <f t="array" ref="E68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689" s="80" t="str" cm="1">
        <f t="array" ref="F68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689" s="80" t="str" cm="1">
        <f t="array" ref="G68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689" s="80" t="str" cm="1">
        <f t="array" ref="H68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689" s="78" t="str" cm="1">
        <f t="array" ref="I68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690" spans="1:9" hidden="1" x14ac:dyDescent="0.3">
      <c r="A690" s="82" t="str" cm="1">
        <f t="array" ref="A69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690" s="79" t="e">
        <f>'BKG Bank'!#REF!</f>
        <v>#REF!</v>
      </c>
      <c r="C690" s="108" t="e">
        <f>'BKG Bank'!#REF!</f>
        <v>#REF!</v>
      </c>
      <c r="D690" s="79" t="str" cm="1">
        <f t="array" ref="D69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690" s="79" t="str" cm="1">
        <f t="array" ref="E69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690" s="80" t="str" cm="1">
        <f t="array" ref="F69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690" s="80" t="str" cm="1">
        <f t="array" ref="G69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690" s="80" t="str" cm="1">
        <f t="array" ref="H69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690" s="78" t="str" cm="1">
        <f t="array" ref="I69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691" spans="1:9" hidden="1" x14ac:dyDescent="0.3">
      <c r="A691" s="82" t="str" cm="1">
        <f t="array" ref="A69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691" s="79" t="e">
        <f>'BKG Bank'!#REF!</f>
        <v>#REF!</v>
      </c>
      <c r="C691" s="108" t="e">
        <f>'BKG Bank'!#REF!</f>
        <v>#REF!</v>
      </c>
      <c r="D691" s="79" t="str" cm="1">
        <f t="array" ref="D69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691" s="79" t="str" cm="1">
        <f t="array" ref="E69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691" s="80" t="str" cm="1">
        <f t="array" ref="F69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691" s="80" t="str" cm="1">
        <f t="array" ref="G69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691" s="80" t="str" cm="1">
        <f t="array" ref="H69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691" s="78" t="str" cm="1">
        <f t="array" ref="I69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692" spans="1:9" hidden="1" x14ac:dyDescent="0.3">
      <c r="A692" s="82" t="str" cm="1">
        <f t="array" ref="A69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692" s="79" t="e">
        <f>'BKG Bank'!#REF!</f>
        <v>#REF!</v>
      </c>
      <c r="C692" s="108" t="e">
        <f>'BKG Bank'!#REF!</f>
        <v>#REF!</v>
      </c>
      <c r="D692" s="79" t="str" cm="1">
        <f t="array" ref="D69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692" s="79" t="str" cm="1">
        <f t="array" ref="E69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692" s="80" t="str" cm="1">
        <f t="array" ref="F69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692" s="80" t="str" cm="1">
        <f t="array" ref="G69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692" s="80" t="str" cm="1">
        <f t="array" ref="H69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692" s="78" t="str" cm="1">
        <f t="array" ref="I69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693" spans="1:9" hidden="1" x14ac:dyDescent="0.3">
      <c r="A693" s="82" t="str" cm="1">
        <f t="array" ref="A69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693" s="79" t="e">
        <f>'BKG Bank'!#REF!</f>
        <v>#REF!</v>
      </c>
      <c r="C693" s="108" t="e">
        <f>'BKG Bank'!#REF!</f>
        <v>#REF!</v>
      </c>
      <c r="D693" s="79" t="str" cm="1">
        <f t="array" ref="D69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693" s="79" t="str" cm="1">
        <f t="array" ref="E69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693" s="80" t="str" cm="1">
        <f t="array" ref="F69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693" s="80" t="str" cm="1">
        <f t="array" ref="G69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693" s="80" t="str" cm="1">
        <f t="array" ref="H69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693" s="78" t="str" cm="1">
        <f t="array" ref="I69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694" spans="1:9" hidden="1" x14ac:dyDescent="0.3">
      <c r="A694" s="82" t="str" cm="1">
        <f t="array" ref="A69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694" s="79" t="e">
        <f>'BKG Bank'!#REF!</f>
        <v>#REF!</v>
      </c>
      <c r="C694" s="108" t="e">
        <f>'BKG Bank'!#REF!</f>
        <v>#REF!</v>
      </c>
      <c r="D694" s="79" t="str" cm="1">
        <f t="array" ref="D69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694" s="79" t="str" cm="1">
        <f t="array" ref="E69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694" s="80" t="str" cm="1">
        <f t="array" ref="F69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694" s="80" t="str" cm="1">
        <f t="array" ref="G69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694" s="80" t="str" cm="1">
        <f t="array" ref="H69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694" s="78" t="str" cm="1">
        <f t="array" ref="I69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695" spans="1:9" hidden="1" x14ac:dyDescent="0.3">
      <c r="A695" s="82" t="str" cm="1">
        <f t="array" ref="A69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695" s="79" t="e">
        <f>'BKG Bank'!#REF!</f>
        <v>#REF!</v>
      </c>
      <c r="C695" s="108" t="e">
        <f>'BKG Bank'!#REF!</f>
        <v>#REF!</v>
      </c>
      <c r="D695" s="79" t="str" cm="1">
        <f t="array" ref="D69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695" s="79" t="str" cm="1">
        <f t="array" ref="E69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695" s="80" t="str" cm="1">
        <f t="array" ref="F69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695" s="80" t="str" cm="1">
        <f t="array" ref="G69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695" s="80" t="str" cm="1">
        <f t="array" ref="H69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695" s="78" t="str" cm="1">
        <f t="array" ref="I69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696" spans="1:9" hidden="1" x14ac:dyDescent="0.3">
      <c r="A696" s="82" t="str" cm="1">
        <f t="array" ref="A69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696" s="79" t="e">
        <f>'BKG Bank'!#REF!</f>
        <v>#REF!</v>
      </c>
      <c r="C696" s="108" t="e">
        <f>'BKG Bank'!#REF!</f>
        <v>#REF!</v>
      </c>
      <c r="D696" s="79" t="str" cm="1">
        <f t="array" ref="D69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696" s="79" t="str" cm="1">
        <f t="array" ref="E69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696" s="80" t="str" cm="1">
        <f t="array" ref="F69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696" s="80" t="str" cm="1">
        <f t="array" ref="G69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696" s="80" t="str" cm="1">
        <f t="array" ref="H69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696" s="78" t="str" cm="1">
        <f t="array" ref="I69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697" spans="1:9" hidden="1" x14ac:dyDescent="0.3">
      <c r="A697" s="82" t="str" cm="1">
        <f t="array" ref="A69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697" s="79" t="e">
        <f>'BKG Bank'!#REF!</f>
        <v>#REF!</v>
      </c>
      <c r="C697" s="108" t="e">
        <f>'BKG Bank'!#REF!</f>
        <v>#REF!</v>
      </c>
      <c r="D697" s="79" t="str" cm="1">
        <f t="array" ref="D69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697" s="79" t="str" cm="1">
        <f t="array" ref="E69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697" s="80" t="str" cm="1">
        <f t="array" ref="F69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697" s="80" t="str" cm="1">
        <f t="array" ref="G69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697" s="80" t="str" cm="1">
        <f t="array" ref="H69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697" s="78" t="str" cm="1">
        <f t="array" ref="I69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698" spans="1:9" hidden="1" x14ac:dyDescent="0.3">
      <c r="A698" s="82" t="str" cm="1">
        <f t="array" ref="A69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698" s="79" t="e">
        <f>'BKG Bank'!#REF!</f>
        <v>#REF!</v>
      </c>
      <c r="C698" s="108" t="e">
        <f>'BKG Bank'!#REF!</f>
        <v>#REF!</v>
      </c>
      <c r="D698" s="79" t="str" cm="1">
        <f t="array" ref="D69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698" s="79" t="str" cm="1">
        <f t="array" ref="E69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698" s="80" t="str" cm="1">
        <f t="array" ref="F69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698" s="80" t="str" cm="1">
        <f t="array" ref="G69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698" s="80" t="str" cm="1">
        <f t="array" ref="H69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698" s="78" t="str" cm="1">
        <f t="array" ref="I69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699" spans="1:9" hidden="1" x14ac:dyDescent="0.3">
      <c r="A699" s="82" t="str" cm="1">
        <f t="array" ref="A69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699" s="79" t="e">
        <f>'BKG Bank'!#REF!</f>
        <v>#REF!</v>
      </c>
      <c r="C699" s="108" t="e">
        <f>'BKG Bank'!#REF!</f>
        <v>#REF!</v>
      </c>
      <c r="D699" s="79" t="str" cm="1">
        <f t="array" ref="D69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699" s="79" t="str" cm="1">
        <f t="array" ref="E69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699" s="80" t="str" cm="1">
        <f t="array" ref="F69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699" s="80" t="str" cm="1">
        <f t="array" ref="G69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699" s="80" t="str" cm="1">
        <f t="array" ref="H69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699" s="78" t="str" cm="1">
        <f t="array" ref="I69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700" spans="1:9" hidden="1" x14ac:dyDescent="0.3">
      <c r="A700" s="82" t="str" cm="1">
        <f t="array" ref="A70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700" s="79" t="e">
        <f>'BKG Bank'!#REF!</f>
        <v>#REF!</v>
      </c>
      <c r="C700" s="108" t="e">
        <f>'BKG Bank'!#REF!</f>
        <v>#REF!</v>
      </c>
      <c r="D700" s="79" t="str" cm="1">
        <f t="array" ref="D70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700" s="79" t="str" cm="1">
        <f t="array" ref="E70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700" s="80" t="str" cm="1">
        <f t="array" ref="F70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700" s="80" t="str" cm="1">
        <f t="array" ref="G70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700" s="80" t="str" cm="1">
        <f t="array" ref="H70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700" s="78" t="str" cm="1">
        <f t="array" ref="I70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701" spans="1:9" hidden="1" x14ac:dyDescent="0.3">
      <c r="A701" s="82" t="str" cm="1">
        <f t="array" ref="A70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701" s="79" t="e">
        <f>'BKG Bank'!#REF!</f>
        <v>#REF!</v>
      </c>
      <c r="C701" s="108" t="e">
        <f>'BKG Bank'!#REF!</f>
        <v>#REF!</v>
      </c>
      <c r="D701" s="79" t="str" cm="1">
        <f t="array" ref="D70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701" s="79" t="str" cm="1">
        <f t="array" ref="E70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701" s="80" t="str" cm="1">
        <f t="array" ref="F70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701" s="80" t="str" cm="1">
        <f t="array" ref="G70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701" s="80" t="str" cm="1">
        <f t="array" ref="H70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701" s="78" t="str" cm="1">
        <f t="array" ref="I70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702" spans="1:9" hidden="1" x14ac:dyDescent="0.3">
      <c r="A702" s="82" t="str" cm="1">
        <f t="array" ref="A70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702" s="79" t="e">
        <f>'BKG Bank'!#REF!</f>
        <v>#REF!</v>
      </c>
      <c r="C702" s="108" t="e">
        <f>'BKG Bank'!#REF!</f>
        <v>#REF!</v>
      </c>
      <c r="D702" s="79" t="str" cm="1">
        <f t="array" ref="D70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702" s="79" t="str" cm="1">
        <f t="array" ref="E70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702" s="80" t="str" cm="1">
        <f t="array" ref="F70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702" s="80" t="str" cm="1">
        <f t="array" ref="G70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702" s="80" t="str" cm="1">
        <f t="array" ref="H70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702" s="78" t="str" cm="1">
        <f t="array" ref="I70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703" spans="1:9" hidden="1" x14ac:dyDescent="0.3">
      <c r="A703" s="82" t="str" cm="1">
        <f t="array" ref="A70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703" s="79" t="e">
        <f>'BKG Bank'!#REF!</f>
        <v>#REF!</v>
      </c>
      <c r="C703" s="108" t="e">
        <f>'BKG Bank'!#REF!</f>
        <v>#REF!</v>
      </c>
      <c r="D703" s="79" t="str" cm="1">
        <f t="array" ref="D70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703" s="79" t="str" cm="1">
        <f t="array" ref="E70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703" s="80" t="str" cm="1">
        <f t="array" ref="F70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703" s="80" t="str" cm="1">
        <f t="array" ref="G70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703" s="80" t="str" cm="1">
        <f t="array" ref="H70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703" s="78" t="str" cm="1">
        <f t="array" ref="I70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704" spans="1:9" hidden="1" x14ac:dyDescent="0.3">
      <c r="A704" s="82" t="str" cm="1">
        <f t="array" ref="A70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704" s="79" t="e">
        <f>'BKG Bank'!#REF!</f>
        <v>#REF!</v>
      </c>
      <c r="C704" s="108" t="e">
        <f>'BKG Bank'!#REF!</f>
        <v>#REF!</v>
      </c>
      <c r="D704" s="79" t="str" cm="1">
        <f t="array" ref="D70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704" s="79" t="str" cm="1">
        <f t="array" ref="E70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704" s="80" t="str" cm="1">
        <f t="array" ref="F70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704" s="80" t="str" cm="1">
        <f t="array" ref="G70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704" s="80" t="str" cm="1">
        <f t="array" ref="H70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704" s="78" t="str" cm="1">
        <f t="array" ref="I70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705" spans="1:9" hidden="1" x14ac:dyDescent="0.3">
      <c r="A705" s="82" t="str" cm="1">
        <f t="array" ref="A70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705" s="79" t="e">
        <f>'BKG Bank'!#REF!</f>
        <v>#REF!</v>
      </c>
      <c r="C705" s="108" t="e">
        <f>'BKG Bank'!#REF!</f>
        <v>#REF!</v>
      </c>
      <c r="D705" s="79" t="str" cm="1">
        <f t="array" ref="D70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705" s="79" t="str" cm="1">
        <f t="array" ref="E70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705" s="80" t="str" cm="1">
        <f t="array" ref="F70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705" s="80" t="str" cm="1">
        <f t="array" ref="G70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705" s="80" t="str" cm="1">
        <f t="array" ref="H70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705" s="78" t="str" cm="1">
        <f t="array" ref="I70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706" spans="1:9" hidden="1" x14ac:dyDescent="0.3">
      <c r="A706" s="82" t="str" cm="1">
        <f t="array" ref="A70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706" s="79" t="e">
        <f>'BKG Bank'!#REF!</f>
        <v>#REF!</v>
      </c>
      <c r="C706" s="108" t="e">
        <f>'BKG Bank'!#REF!</f>
        <v>#REF!</v>
      </c>
      <c r="D706" s="79" t="str" cm="1">
        <f t="array" ref="D70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706" s="79" t="str" cm="1">
        <f t="array" ref="E70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706" s="80" t="str" cm="1">
        <f t="array" ref="F70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706" s="80" t="str" cm="1">
        <f t="array" ref="G70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706" s="80" t="str" cm="1">
        <f t="array" ref="H70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706" s="78" t="str" cm="1">
        <f t="array" ref="I70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707" spans="1:9" hidden="1" x14ac:dyDescent="0.3">
      <c r="A707" s="82" t="str" cm="1">
        <f t="array" ref="A70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707" s="79" t="e">
        <f>'BKG Bank'!#REF!</f>
        <v>#REF!</v>
      </c>
      <c r="C707" s="108" t="e">
        <f>'BKG Bank'!#REF!</f>
        <v>#REF!</v>
      </c>
      <c r="D707" s="79" t="str" cm="1">
        <f t="array" ref="D70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707" s="79" t="str" cm="1">
        <f t="array" ref="E70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707" s="80" t="str" cm="1">
        <f t="array" ref="F70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707" s="80" t="str" cm="1">
        <f t="array" ref="G70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707" s="80" t="str" cm="1">
        <f t="array" ref="H70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707" s="78" t="str" cm="1">
        <f t="array" ref="I70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708" spans="1:9" hidden="1" x14ac:dyDescent="0.3">
      <c r="A708" s="82" t="str" cm="1">
        <f t="array" ref="A70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708" s="79" t="e">
        <f>'BKG Bank'!#REF!</f>
        <v>#REF!</v>
      </c>
      <c r="C708" s="108" t="e">
        <f>'BKG Bank'!#REF!</f>
        <v>#REF!</v>
      </c>
      <c r="D708" s="79" t="str" cm="1">
        <f t="array" ref="D70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708" s="79" t="str" cm="1">
        <f t="array" ref="E70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708" s="80" t="str" cm="1">
        <f t="array" ref="F70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708" s="80" t="str" cm="1">
        <f t="array" ref="G70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708" s="80" t="str" cm="1">
        <f t="array" ref="H70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708" s="78" t="str" cm="1">
        <f t="array" ref="I70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709" spans="1:9" hidden="1" x14ac:dyDescent="0.3">
      <c r="A709" s="82" t="str" cm="1">
        <f t="array" ref="A70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709" s="79" t="e">
        <f>'BKG Bank'!#REF!</f>
        <v>#REF!</v>
      </c>
      <c r="C709" s="108" t="e">
        <f>'BKG Bank'!#REF!</f>
        <v>#REF!</v>
      </c>
      <c r="D709" s="79" t="str" cm="1">
        <f t="array" ref="D70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709" s="79" t="str" cm="1">
        <f t="array" ref="E70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709" s="80" t="str" cm="1">
        <f t="array" ref="F70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709" s="80" t="str" cm="1">
        <f t="array" ref="G70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709" s="80" t="str" cm="1">
        <f t="array" ref="H70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709" s="78" t="str" cm="1">
        <f t="array" ref="I70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710" spans="1:9" hidden="1" x14ac:dyDescent="0.3">
      <c r="A710" s="82" t="str" cm="1">
        <f t="array" ref="A71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710" s="79" t="e">
        <f>'BKG Bank'!#REF!</f>
        <v>#REF!</v>
      </c>
      <c r="C710" s="108" t="e">
        <f>'BKG Bank'!#REF!</f>
        <v>#REF!</v>
      </c>
      <c r="D710" s="79" t="str" cm="1">
        <f t="array" ref="D71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710" s="79" t="str" cm="1">
        <f t="array" ref="E71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710" s="80" t="str" cm="1">
        <f t="array" ref="F71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710" s="80" t="str" cm="1">
        <f t="array" ref="G71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710" s="80" t="str" cm="1">
        <f t="array" ref="H71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710" s="78" t="str" cm="1">
        <f t="array" ref="I71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711" spans="1:9" hidden="1" x14ac:dyDescent="0.3">
      <c r="A711" s="82" t="str" cm="1">
        <f t="array" ref="A71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711" s="79" t="e">
        <f>'BKG Bank'!#REF!</f>
        <v>#REF!</v>
      </c>
      <c r="C711" s="108" t="e">
        <f>'BKG Bank'!#REF!</f>
        <v>#REF!</v>
      </c>
      <c r="D711" s="79" t="str" cm="1">
        <f t="array" ref="D71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711" s="79" t="str" cm="1">
        <f t="array" ref="E71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711" s="80" t="str" cm="1">
        <f t="array" ref="F71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711" s="80" t="str" cm="1">
        <f t="array" ref="G71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711" s="80" t="str" cm="1">
        <f t="array" ref="H71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711" s="78" t="str" cm="1">
        <f t="array" ref="I71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712" spans="1:9" hidden="1" x14ac:dyDescent="0.3">
      <c r="A712" s="82" t="str" cm="1">
        <f t="array" ref="A71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712" s="79" t="e">
        <f>'BKG Bank'!#REF!</f>
        <v>#REF!</v>
      </c>
      <c r="C712" s="108" t="e">
        <f>'BKG Bank'!#REF!</f>
        <v>#REF!</v>
      </c>
      <c r="D712" s="79" t="str" cm="1">
        <f t="array" ref="D71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712" s="79" t="str" cm="1">
        <f t="array" ref="E71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712" s="80" t="str" cm="1">
        <f t="array" ref="F71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712" s="80" t="str" cm="1">
        <f t="array" ref="G71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712" s="80" t="str" cm="1">
        <f t="array" ref="H71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712" s="78" t="str" cm="1">
        <f t="array" ref="I71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713" spans="1:9" hidden="1" x14ac:dyDescent="0.3">
      <c r="A713" s="82" t="str" cm="1">
        <f t="array" ref="A71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713" s="79" t="e">
        <f>'BKG Bank'!#REF!</f>
        <v>#REF!</v>
      </c>
      <c r="C713" s="108" t="e">
        <f>'BKG Bank'!#REF!</f>
        <v>#REF!</v>
      </c>
      <c r="D713" s="79" t="str" cm="1">
        <f t="array" ref="D71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713" s="79" t="str" cm="1">
        <f t="array" ref="E71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713" s="80" t="str" cm="1">
        <f t="array" ref="F71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713" s="80" t="str" cm="1">
        <f t="array" ref="G71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713" s="80" t="str" cm="1">
        <f t="array" ref="H71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713" s="78" t="str" cm="1">
        <f t="array" ref="I71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714" spans="1:9" hidden="1" x14ac:dyDescent="0.3">
      <c r="A714" s="82" t="str" cm="1">
        <f t="array" ref="A71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714" s="79" t="e">
        <f>'BKG Bank'!#REF!</f>
        <v>#REF!</v>
      </c>
      <c r="C714" s="108" t="e">
        <f>'BKG Bank'!#REF!</f>
        <v>#REF!</v>
      </c>
      <c r="D714" s="79" t="str" cm="1">
        <f t="array" ref="D71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714" s="79" t="str" cm="1">
        <f t="array" ref="E71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714" s="80" t="str" cm="1">
        <f t="array" ref="F71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714" s="80" t="str" cm="1">
        <f t="array" ref="G71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714" s="80" t="str" cm="1">
        <f t="array" ref="H71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714" s="78" t="str" cm="1">
        <f t="array" ref="I71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715" spans="1:9" hidden="1" x14ac:dyDescent="0.3">
      <c r="A715" s="82" t="str" cm="1">
        <f t="array" ref="A71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715" s="79" t="e">
        <f>'BKG Bank'!#REF!</f>
        <v>#REF!</v>
      </c>
      <c r="C715" s="108" t="e">
        <f>'BKG Bank'!#REF!</f>
        <v>#REF!</v>
      </c>
      <c r="D715" s="79" t="str" cm="1">
        <f t="array" ref="D71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715" s="79" t="str" cm="1">
        <f t="array" ref="E71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715" s="80" t="str" cm="1">
        <f t="array" ref="F71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715" s="80" t="str" cm="1">
        <f t="array" ref="G71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715" s="80" t="str" cm="1">
        <f t="array" ref="H71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715" s="78" t="str" cm="1">
        <f t="array" ref="I71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716" spans="1:9" hidden="1" x14ac:dyDescent="0.3">
      <c r="A716" s="82" t="str" cm="1">
        <f t="array" ref="A71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716" s="79" t="e">
        <f>'BKG Bank'!#REF!</f>
        <v>#REF!</v>
      </c>
      <c r="C716" s="108" t="e">
        <f>'BKG Bank'!#REF!</f>
        <v>#REF!</v>
      </c>
      <c r="D716" s="79" t="str" cm="1">
        <f t="array" ref="D71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716" s="79" t="str" cm="1">
        <f t="array" ref="E71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716" s="80" t="str" cm="1">
        <f t="array" ref="F71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716" s="80" t="str" cm="1">
        <f t="array" ref="G71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716" s="80" t="str" cm="1">
        <f t="array" ref="H71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716" s="78" t="str" cm="1">
        <f t="array" ref="I71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717" spans="1:9" hidden="1" x14ac:dyDescent="0.3">
      <c r="A717" s="82" t="str" cm="1">
        <f t="array" ref="A71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717" s="79" t="e">
        <f>'BKG Bank'!#REF!</f>
        <v>#REF!</v>
      </c>
      <c r="C717" s="108" t="e">
        <f>'BKG Bank'!#REF!</f>
        <v>#REF!</v>
      </c>
      <c r="D717" s="79" t="str" cm="1">
        <f t="array" ref="D71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717" s="79" t="str" cm="1">
        <f t="array" ref="E71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717" s="80" t="str" cm="1">
        <f t="array" ref="F71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717" s="80" t="str" cm="1">
        <f t="array" ref="G71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717" s="80" t="str" cm="1">
        <f t="array" ref="H71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717" s="78" t="str" cm="1">
        <f t="array" ref="I71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718" spans="1:9" hidden="1" x14ac:dyDescent="0.3">
      <c r="A718" s="82" t="str" cm="1">
        <f t="array" ref="A71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718" s="79" t="e">
        <f>'BKG Bank'!#REF!</f>
        <v>#REF!</v>
      </c>
      <c r="C718" s="108" t="e">
        <f>'BKG Bank'!#REF!</f>
        <v>#REF!</v>
      </c>
      <c r="D718" s="79" t="str" cm="1">
        <f t="array" ref="D71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718" s="79" t="str" cm="1">
        <f t="array" ref="E71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718" s="80" t="str" cm="1">
        <f t="array" ref="F71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718" s="80" t="str" cm="1">
        <f t="array" ref="G71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718" s="80" t="str" cm="1">
        <f t="array" ref="H71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718" s="78" t="str" cm="1">
        <f t="array" ref="I71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719" spans="1:9" hidden="1" x14ac:dyDescent="0.3">
      <c r="A719" s="82" t="str" cm="1">
        <f t="array" ref="A71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719" s="79" t="e">
        <f>'BKG Bank'!#REF!</f>
        <v>#REF!</v>
      </c>
      <c r="C719" s="108" t="e">
        <f>'BKG Bank'!#REF!</f>
        <v>#REF!</v>
      </c>
      <c r="D719" s="79" t="str" cm="1">
        <f t="array" ref="D71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719" s="79" t="str" cm="1">
        <f t="array" ref="E71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719" s="80" t="str" cm="1">
        <f t="array" ref="F71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719" s="80" t="str" cm="1">
        <f t="array" ref="G71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719" s="80" t="str" cm="1">
        <f t="array" ref="H71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719" s="78" t="str" cm="1">
        <f t="array" ref="I71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720" spans="1:9" hidden="1" x14ac:dyDescent="0.3">
      <c r="A720" s="82" t="str" cm="1">
        <f t="array" ref="A72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720" s="79" t="e">
        <f>'BKG Bank'!#REF!</f>
        <v>#REF!</v>
      </c>
      <c r="C720" s="108" t="e">
        <f>'BKG Bank'!#REF!</f>
        <v>#REF!</v>
      </c>
      <c r="D720" s="79" t="str" cm="1">
        <f t="array" ref="D72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720" s="79" t="str" cm="1">
        <f t="array" ref="E72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720" s="80" t="str" cm="1">
        <f t="array" ref="F72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720" s="80" t="str" cm="1">
        <f t="array" ref="G72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720" s="80" t="str" cm="1">
        <f t="array" ref="H72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720" s="78" t="str" cm="1">
        <f t="array" ref="I72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721" spans="1:9" hidden="1" x14ac:dyDescent="0.3">
      <c r="A721" s="82" t="str" cm="1">
        <f t="array" ref="A72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721" s="79" t="e">
        <f>'BKG Bank'!#REF!</f>
        <v>#REF!</v>
      </c>
      <c r="C721" s="108" t="e">
        <f>'BKG Bank'!#REF!</f>
        <v>#REF!</v>
      </c>
      <c r="D721" s="79" t="str" cm="1">
        <f t="array" ref="D72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721" s="79" t="str" cm="1">
        <f t="array" ref="E72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721" s="80" t="str" cm="1">
        <f t="array" ref="F72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721" s="80" t="str" cm="1">
        <f t="array" ref="G72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721" s="80" t="str" cm="1">
        <f t="array" ref="H72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721" s="78" t="str" cm="1">
        <f t="array" ref="I72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722" spans="1:9" hidden="1" x14ac:dyDescent="0.3">
      <c r="A722" s="82" t="str" cm="1">
        <f t="array" ref="A72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722" s="79" t="e">
        <f>'BKG Bank'!#REF!</f>
        <v>#REF!</v>
      </c>
      <c r="C722" s="108" t="e">
        <f>'BKG Bank'!#REF!</f>
        <v>#REF!</v>
      </c>
      <c r="D722" s="79" t="str" cm="1">
        <f t="array" ref="D72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722" s="79" t="str" cm="1">
        <f t="array" ref="E72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722" s="80" t="str" cm="1">
        <f t="array" ref="F72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722" s="80" t="str" cm="1">
        <f t="array" ref="G72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722" s="80" t="str" cm="1">
        <f t="array" ref="H72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722" s="78" t="str" cm="1">
        <f t="array" ref="I72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723" spans="1:9" hidden="1" x14ac:dyDescent="0.3">
      <c r="A723" s="82" t="str" cm="1">
        <f t="array" ref="A72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723" s="79" t="e">
        <f>'BKG Bank'!#REF!</f>
        <v>#REF!</v>
      </c>
      <c r="C723" s="108" t="e">
        <f>'BKG Bank'!#REF!</f>
        <v>#REF!</v>
      </c>
      <c r="D723" s="79" t="str" cm="1">
        <f t="array" ref="D72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723" s="79" t="str" cm="1">
        <f t="array" ref="E72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723" s="80" t="str" cm="1">
        <f t="array" ref="F72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723" s="80" t="str" cm="1">
        <f t="array" ref="G72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723" s="80" t="str" cm="1">
        <f t="array" ref="H72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723" s="78" t="str" cm="1">
        <f t="array" ref="I72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724" spans="1:9" hidden="1" x14ac:dyDescent="0.3">
      <c r="A724" s="82" t="str" cm="1">
        <f t="array" ref="A72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724" s="79" t="e">
        <f>'BKG Bank'!#REF!</f>
        <v>#REF!</v>
      </c>
      <c r="C724" s="108" t="e">
        <f>'BKG Bank'!#REF!</f>
        <v>#REF!</v>
      </c>
      <c r="D724" s="79" t="str" cm="1">
        <f t="array" ref="D72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724" s="79" t="str" cm="1">
        <f t="array" ref="E72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724" s="80" t="str" cm="1">
        <f t="array" ref="F72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724" s="80" t="str" cm="1">
        <f t="array" ref="G72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724" s="80" t="str" cm="1">
        <f t="array" ref="H72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724" s="78" t="str" cm="1">
        <f t="array" ref="I72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725" spans="1:9" hidden="1" x14ac:dyDescent="0.3">
      <c r="A725" s="82" t="str" cm="1">
        <f t="array" ref="A72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725" s="79" t="e">
        <f>'BKG Bank'!#REF!</f>
        <v>#REF!</v>
      </c>
      <c r="C725" s="108" t="e">
        <f>'BKG Bank'!#REF!</f>
        <v>#REF!</v>
      </c>
      <c r="D725" s="79" t="str" cm="1">
        <f t="array" ref="D72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725" s="79" t="str" cm="1">
        <f t="array" ref="E72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725" s="80" t="str" cm="1">
        <f t="array" ref="F72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725" s="80" t="str" cm="1">
        <f t="array" ref="G72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725" s="80" t="str" cm="1">
        <f t="array" ref="H72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725" s="78" t="str" cm="1">
        <f t="array" ref="I72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726" spans="1:9" hidden="1" x14ac:dyDescent="0.3">
      <c r="A726" s="82" t="str" cm="1">
        <f t="array" ref="A72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726" s="79" t="e">
        <f>'BKG Bank'!#REF!</f>
        <v>#REF!</v>
      </c>
      <c r="C726" s="108" t="e">
        <f>'BKG Bank'!#REF!</f>
        <v>#REF!</v>
      </c>
      <c r="D726" s="79" t="str" cm="1">
        <f t="array" ref="D72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726" s="79" t="str" cm="1">
        <f t="array" ref="E72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726" s="80" t="str" cm="1">
        <f t="array" ref="F72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726" s="80" t="str" cm="1">
        <f t="array" ref="G72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726" s="80" t="str" cm="1">
        <f t="array" ref="H72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726" s="78" t="str" cm="1">
        <f t="array" ref="I72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727" spans="1:9" hidden="1" x14ac:dyDescent="0.3">
      <c r="A727" s="82" t="str" cm="1">
        <f t="array" ref="A72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727" s="79" t="e">
        <f>'BKG Bank'!#REF!</f>
        <v>#REF!</v>
      </c>
      <c r="C727" s="108" t="e">
        <f>'BKG Bank'!#REF!</f>
        <v>#REF!</v>
      </c>
      <c r="D727" s="79" t="str" cm="1">
        <f t="array" ref="D72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727" s="79" t="str" cm="1">
        <f t="array" ref="E72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727" s="80" t="str" cm="1">
        <f t="array" ref="F72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727" s="80" t="str" cm="1">
        <f t="array" ref="G72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727" s="80" t="str" cm="1">
        <f t="array" ref="H72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727" s="78" t="str" cm="1">
        <f t="array" ref="I72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728" spans="1:9" hidden="1" x14ac:dyDescent="0.3">
      <c r="A728" s="82" t="str" cm="1">
        <f t="array" ref="A72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728" s="79" t="e">
        <f>'BKG Bank'!#REF!</f>
        <v>#REF!</v>
      </c>
      <c r="C728" s="108" t="e">
        <f>'BKG Bank'!#REF!</f>
        <v>#REF!</v>
      </c>
      <c r="D728" s="79" t="str" cm="1">
        <f t="array" ref="D72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728" s="79" t="str" cm="1">
        <f t="array" ref="E72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728" s="80" t="str" cm="1">
        <f t="array" ref="F72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728" s="80" t="str" cm="1">
        <f t="array" ref="G72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728" s="80" t="str" cm="1">
        <f t="array" ref="H72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728" s="78" t="str" cm="1">
        <f t="array" ref="I72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729" spans="1:9" hidden="1" x14ac:dyDescent="0.3">
      <c r="A729" s="82" t="str" cm="1">
        <f t="array" ref="A72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729" s="79" t="e">
        <f>'BKG Bank'!#REF!</f>
        <v>#REF!</v>
      </c>
      <c r="C729" s="108" t="e">
        <f>'BKG Bank'!#REF!</f>
        <v>#REF!</v>
      </c>
      <c r="D729" s="79" t="str" cm="1">
        <f t="array" ref="D72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729" s="79" t="str" cm="1">
        <f t="array" ref="E72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729" s="80" t="str" cm="1">
        <f t="array" ref="F72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729" s="80" t="str" cm="1">
        <f t="array" ref="G72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729" s="80" t="str" cm="1">
        <f t="array" ref="H72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729" s="78" t="str" cm="1">
        <f t="array" ref="I72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730" spans="1:9" hidden="1" x14ac:dyDescent="0.3">
      <c r="A730" s="82" t="str" cm="1">
        <f t="array" ref="A73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730" s="79" t="e">
        <f>'BKG Bank'!#REF!</f>
        <v>#REF!</v>
      </c>
      <c r="C730" s="108" t="e">
        <f>'BKG Bank'!#REF!</f>
        <v>#REF!</v>
      </c>
      <c r="D730" s="79" t="str" cm="1">
        <f t="array" ref="D73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730" s="79" t="str" cm="1">
        <f t="array" ref="E73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730" s="80" t="str" cm="1">
        <f t="array" ref="F73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730" s="80" t="str" cm="1">
        <f t="array" ref="G73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730" s="80" t="str" cm="1">
        <f t="array" ref="H73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730" s="78" t="str" cm="1">
        <f t="array" ref="I73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731" spans="1:9" hidden="1" x14ac:dyDescent="0.3">
      <c r="A731" s="82" t="str" cm="1">
        <f t="array" ref="A73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731" s="79" t="e">
        <f>'BKG Bank'!#REF!</f>
        <v>#REF!</v>
      </c>
      <c r="C731" s="108" t="e">
        <f>'BKG Bank'!#REF!</f>
        <v>#REF!</v>
      </c>
      <c r="D731" s="79" t="str" cm="1">
        <f t="array" ref="D73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731" s="79" t="str" cm="1">
        <f t="array" ref="E73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731" s="80" t="str" cm="1">
        <f t="array" ref="F73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731" s="80" t="str" cm="1">
        <f t="array" ref="G73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731" s="80" t="str" cm="1">
        <f t="array" ref="H73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731" s="78" t="str" cm="1">
        <f t="array" ref="I73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732" spans="1:9" hidden="1" x14ac:dyDescent="0.3">
      <c r="A732" s="82" t="str" cm="1">
        <f t="array" ref="A73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732" s="79" t="e">
        <f>'BKG Bank'!#REF!</f>
        <v>#REF!</v>
      </c>
      <c r="C732" s="108" t="e">
        <f>'BKG Bank'!#REF!</f>
        <v>#REF!</v>
      </c>
      <c r="D732" s="79" t="str" cm="1">
        <f t="array" ref="D73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732" s="79" t="str" cm="1">
        <f t="array" ref="E73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732" s="80" t="str" cm="1">
        <f t="array" ref="F73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732" s="80" t="str" cm="1">
        <f t="array" ref="G73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732" s="80" t="str" cm="1">
        <f t="array" ref="H73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732" s="78" t="str" cm="1">
        <f t="array" ref="I73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733" spans="1:9" hidden="1" x14ac:dyDescent="0.3">
      <c r="A733" s="82" t="str" cm="1">
        <f t="array" ref="A73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733" s="79" t="e">
        <f>'BKG Bank'!#REF!</f>
        <v>#REF!</v>
      </c>
      <c r="C733" s="108" t="e">
        <f>'BKG Bank'!#REF!</f>
        <v>#REF!</v>
      </c>
      <c r="D733" s="79" t="str" cm="1">
        <f t="array" ref="D73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733" s="79" t="str" cm="1">
        <f t="array" ref="E73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733" s="80" t="str" cm="1">
        <f t="array" ref="F73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733" s="80" t="str" cm="1">
        <f t="array" ref="G73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733" s="80" t="str" cm="1">
        <f t="array" ref="H73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733" s="78" t="str" cm="1">
        <f t="array" ref="I73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734" spans="1:9" hidden="1" x14ac:dyDescent="0.3">
      <c r="A734" s="82" t="str" cm="1">
        <f t="array" ref="A73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734" s="79" t="e">
        <f>'BKG Bank'!#REF!</f>
        <v>#REF!</v>
      </c>
      <c r="C734" s="108" t="e">
        <f>'BKG Bank'!#REF!</f>
        <v>#REF!</v>
      </c>
      <c r="D734" s="79" t="str" cm="1">
        <f t="array" ref="D73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734" s="79" t="str" cm="1">
        <f t="array" ref="E73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734" s="80" t="str" cm="1">
        <f t="array" ref="F73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734" s="80" t="str" cm="1">
        <f t="array" ref="G73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734" s="80" t="str" cm="1">
        <f t="array" ref="H73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734" s="78" t="str" cm="1">
        <f t="array" ref="I73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735" spans="1:9" hidden="1" x14ac:dyDescent="0.3">
      <c r="A735" s="82" t="str" cm="1">
        <f t="array" ref="A73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735" s="79" t="e">
        <f>'BKG Bank'!#REF!</f>
        <v>#REF!</v>
      </c>
      <c r="C735" s="108" t="e">
        <f>'BKG Bank'!#REF!</f>
        <v>#REF!</v>
      </c>
      <c r="D735" s="79" t="str" cm="1">
        <f t="array" ref="D73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735" s="79" t="str" cm="1">
        <f t="array" ref="E73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735" s="80" t="str" cm="1">
        <f t="array" ref="F73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735" s="80" t="str" cm="1">
        <f t="array" ref="G73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735" s="80" t="str" cm="1">
        <f t="array" ref="H73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735" s="78" t="str" cm="1">
        <f t="array" ref="I73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736" spans="1:9" hidden="1" x14ac:dyDescent="0.3">
      <c r="A736" s="82" t="str" cm="1">
        <f t="array" ref="A73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736" s="79" t="e">
        <f>'BKG Bank'!#REF!</f>
        <v>#REF!</v>
      </c>
      <c r="C736" s="108" t="e">
        <f>'BKG Bank'!#REF!</f>
        <v>#REF!</v>
      </c>
      <c r="D736" s="79" t="str" cm="1">
        <f t="array" ref="D73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736" s="79" t="str" cm="1">
        <f t="array" ref="E73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736" s="80" t="str" cm="1">
        <f t="array" ref="F73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736" s="80" t="str" cm="1">
        <f t="array" ref="G73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736" s="80" t="str" cm="1">
        <f t="array" ref="H73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736" s="78" t="str" cm="1">
        <f t="array" ref="I73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737" spans="1:9" hidden="1" x14ac:dyDescent="0.3">
      <c r="A737" s="82" t="str" cm="1">
        <f t="array" ref="A73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737" s="79" t="e">
        <f>'BKG Bank'!#REF!</f>
        <v>#REF!</v>
      </c>
      <c r="C737" s="108" t="e">
        <f>'BKG Bank'!#REF!</f>
        <v>#REF!</v>
      </c>
      <c r="D737" s="79" t="str" cm="1">
        <f t="array" ref="D73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737" s="79" t="str" cm="1">
        <f t="array" ref="E73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737" s="80" t="str" cm="1">
        <f t="array" ref="F73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737" s="80" t="str" cm="1">
        <f t="array" ref="G73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737" s="80" t="str" cm="1">
        <f t="array" ref="H73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737" s="78" t="str" cm="1">
        <f t="array" ref="I73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738" spans="1:9" hidden="1" x14ac:dyDescent="0.3">
      <c r="A738" s="82" t="str" cm="1">
        <f t="array" ref="A73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738" s="79" t="e">
        <f>'BKG Bank'!#REF!</f>
        <v>#REF!</v>
      </c>
      <c r="C738" s="108" t="e">
        <f>'BKG Bank'!#REF!</f>
        <v>#REF!</v>
      </c>
      <c r="D738" s="79" t="str" cm="1">
        <f t="array" ref="D73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738" s="79" t="str" cm="1">
        <f t="array" ref="E73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738" s="80" t="str" cm="1">
        <f t="array" ref="F73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738" s="80" t="str" cm="1">
        <f t="array" ref="G73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738" s="80" t="str" cm="1">
        <f t="array" ref="H73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738" s="78" t="str" cm="1">
        <f t="array" ref="I73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739" spans="1:9" hidden="1" x14ac:dyDescent="0.3">
      <c r="A739" s="82" t="str" cm="1">
        <f t="array" ref="A73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739" s="79" t="e">
        <f>'BKG Bank'!#REF!</f>
        <v>#REF!</v>
      </c>
      <c r="C739" s="108" t="e">
        <f>'BKG Bank'!#REF!</f>
        <v>#REF!</v>
      </c>
      <c r="D739" s="79" t="str" cm="1">
        <f t="array" ref="D73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739" s="79" t="str" cm="1">
        <f t="array" ref="E73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739" s="80" t="str" cm="1">
        <f t="array" ref="F73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739" s="80" t="str" cm="1">
        <f t="array" ref="G73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739" s="80" t="str" cm="1">
        <f t="array" ref="H73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739" s="78" t="str" cm="1">
        <f t="array" ref="I73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740" spans="1:9" hidden="1" x14ac:dyDescent="0.3">
      <c r="A740" s="82" t="str" cm="1">
        <f t="array" ref="A74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740" s="79" t="e">
        <f>'BKG Bank'!#REF!</f>
        <v>#REF!</v>
      </c>
      <c r="C740" s="108" t="e">
        <f>'BKG Bank'!#REF!</f>
        <v>#REF!</v>
      </c>
      <c r="D740" s="79" t="str" cm="1">
        <f t="array" ref="D74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740" s="79" t="str" cm="1">
        <f t="array" ref="E74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740" s="80" t="str" cm="1">
        <f t="array" ref="F74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740" s="80" t="str" cm="1">
        <f t="array" ref="G74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740" s="80" t="str" cm="1">
        <f t="array" ref="H74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740" s="78" t="str" cm="1">
        <f t="array" ref="I74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741" spans="1:9" hidden="1" x14ac:dyDescent="0.3">
      <c r="A741" s="82" t="str" cm="1">
        <f t="array" ref="A74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741" s="79" t="e">
        <f>'BKG Bank'!#REF!</f>
        <v>#REF!</v>
      </c>
      <c r="C741" s="108" t="e">
        <f>'BKG Bank'!#REF!</f>
        <v>#REF!</v>
      </c>
      <c r="D741" s="79" t="str" cm="1">
        <f t="array" ref="D74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741" s="79" t="str" cm="1">
        <f t="array" ref="E74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741" s="80" t="str" cm="1">
        <f t="array" ref="F74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741" s="80" t="str" cm="1">
        <f t="array" ref="G74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741" s="80" t="str" cm="1">
        <f t="array" ref="H74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741" s="78" t="str" cm="1">
        <f t="array" ref="I74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742" spans="1:9" hidden="1" x14ac:dyDescent="0.3">
      <c r="A742" s="82" t="str" cm="1">
        <f t="array" ref="A74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742" s="79" t="e">
        <f>'BKG Bank'!#REF!</f>
        <v>#REF!</v>
      </c>
      <c r="C742" s="108" t="e">
        <f>'BKG Bank'!#REF!</f>
        <v>#REF!</v>
      </c>
      <c r="D742" s="79" t="str" cm="1">
        <f t="array" ref="D74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742" s="79" t="str" cm="1">
        <f t="array" ref="E74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742" s="80" t="str" cm="1">
        <f t="array" ref="F74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742" s="80" t="str" cm="1">
        <f t="array" ref="G74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742" s="80" t="str" cm="1">
        <f t="array" ref="H74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742" s="78" t="str" cm="1">
        <f t="array" ref="I74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743" spans="1:9" hidden="1" x14ac:dyDescent="0.3">
      <c r="A743" s="82" t="str" cm="1">
        <f t="array" ref="A74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743" s="79" t="e">
        <f>'BKG Bank'!#REF!</f>
        <v>#REF!</v>
      </c>
      <c r="C743" s="108" t="e">
        <f>'BKG Bank'!#REF!</f>
        <v>#REF!</v>
      </c>
      <c r="D743" s="79" t="str" cm="1">
        <f t="array" ref="D74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743" s="79" t="str" cm="1">
        <f t="array" ref="E74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743" s="80" t="str" cm="1">
        <f t="array" ref="F74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743" s="80" t="str" cm="1">
        <f t="array" ref="G74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743" s="80" t="str" cm="1">
        <f t="array" ref="H74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743" s="78" t="str" cm="1">
        <f t="array" ref="I74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744" spans="1:9" hidden="1" x14ac:dyDescent="0.3">
      <c r="A744" s="82" t="str" cm="1">
        <f t="array" ref="A74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744" s="79" t="e">
        <f>'BKG Bank'!#REF!</f>
        <v>#REF!</v>
      </c>
      <c r="C744" s="108" t="e">
        <f>'BKG Bank'!#REF!</f>
        <v>#REF!</v>
      </c>
      <c r="D744" s="79" t="str" cm="1">
        <f t="array" ref="D74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744" s="79" t="str" cm="1">
        <f t="array" ref="E74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744" s="80" t="str" cm="1">
        <f t="array" ref="F74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744" s="80" t="str" cm="1">
        <f t="array" ref="G74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744" s="80" t="str" cm="1">
        <f t="array" ref="H74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744" s="78" t="str" cm="1">
        <f t="array" ref="I74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745" spans="1:9" hidden="1" x14ac:dyDescent="0.3">
      <c r="A745" s="82" t="str" cm="1">
        <f t="array" ref="A74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745" s="79" t="e">
        <f>'BKG Bank'!#REF!</f>
        <v>#REF!</v>
      </c>
      <c r="C745" s="108" t="e">
        <f>'BKG Bank'!#REF!</f>
        <v>#REF!</v>
      </c>
      <c r="D745" s="79" t="str" cm="1">
        <f t="array" ref="D74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745" s="79" t="str" cm="1">
        <f t="array" ref="E74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745" s="80" t="str" cm="1">
        <f t="array" ref="F74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745" s="80" t="str" cm="1">
        <f t="array" ref="G74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745" s="80" t="str" cm="1">
        <f t="array" ref="H74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745" s="78" t="str" cm="1">
        <f t="array" ref="I74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746" spans="1:9" hidden="1" x14ac:dyDescent="0.3">
      <c r="A746" s="82" t="str" cm="1">
        <f t="array" ref="A74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746" s="79" t="e">
        <f>'BKG Bank'!#REF!</f>
        <v>#REF!</v>
      </c>
      <c r="C746" s="108" t="e">
        <f>'BKG Bank'!#REF!</f>
        <v>#REF!</v>
      </c>
      <c r="D746" s="79" t="str" cm="1">
        <f t="array" ref="D74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746" s="79" t="str" cm="1">
        <f t="array" ref="E74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746" s="80" t="str" cm="1">
        <f t="array" ref="F74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746" s="80" t="str" cm="1">
        <f t="array" ref="G74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746" s="80" t="str" cm="1">
        <f t="array" ref="H74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746" s="78" t="str" cm="1">
        <f t="array" ref="I74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747" spans="1:9" hidden="1" x14ac:dyDescent="0.3">
      <c r="A747" s="82" t="str" cm="1">
        <f t="array" ref="A74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747" s="79" t="e">
        <f>'BKG Bank'!#REF!</f>
        <v>#REF!</v>
      </c>
      <c r="C747" s="108" t="e">
        <f>'BKG Bank'!#REF!</f>
        <v>#REF!</v>
      </c>
      <c r="D747" s="79" t="str" cm="1">
        <f t="array" ref="D74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747" s="79" t="str" cm="1">
        <f t="array" ref="E74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747" s="80" t="str" cm="1">
        <f t="array" ref="F74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747" s="80" t="str" cm="1">
        <f t="array" ref="G74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747" s="80" t="str" cm="1">
        <f t="array" ref="H74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747" s="78" t="str" cm="1">
        <f t="array" ref="I74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748" spans="1:9" hidden="1" x14ac:dyDescent="0.3">
      <c r="A748" s="82" t="str" cm="1">
        <f t="array" ref="A74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748" s="79" t="e">
        <f>'BKG Bank'!#REF!</f>
        <v>#REF!</v>
      </c>
      <c r="C748" s="108" t="e">
        <f>'BKG Bank'!#REF!</f>
        <v>#REF!</v>
      </c>
      <c r="D748" s="79" t="str" cm="1">
        <f t="array" ref="D74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748" s="79" t="str" cm="1">
        <f t="array" ref="E74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748" s="80" t="str" cm="1">
        <f t="array" ref="F74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748" s="80" t="str" cm="1">
        <f t="array" ref="G74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748" s="80" t="str" cm="1">
        <f t="array" ref="H74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748" s="78" t="str" cm="1">
        <f t="array" ref="I74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749" spans="1:9" hidden="1" x14ac:dyDescent="0.3">
      <c r="A749" s="82" t="str" cm="1">
        <f t="array" ref="A74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749" s="79" t="e">
        <f>'BKG Bank'!#REF!</f>
        <v>#REF!</v>
      </c>
      <c r="C749" s="108" t="e">
        <f>'BKG Bank'!#REF!</f>
        <v>#REF!</v>
      </c>
      <c r="D749" s="79" t="str" cm="1">
        <f t="array" ref="D74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749" s="79" t="str" cm="1">
        <f t="array" ref="E74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749" s="80" t="str" cm="1">
        <f t="array" ref="F74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749" s="80" t="str" cm="1">
        <f t="array" ref="G74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749" s="80" t="str" cm="1">
        <f t="array" ref="H74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749" s="78" t="str" cm="1">
        <f t="array" ref="I74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750" spans="1:9" hidden="1" x14ac:dyDescent="0.3">
      <c r="A750" s="82" t="str" cm="1">
        <f t="array" ref="A75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750" s="79" t="e">
        <f>'BKG Bank'!#REF!</f>
        <v>#REF!</v>
      </c>
      <c r="C750" s="108" t="e">
        <f>'BKG Bank'!#REF!</f>
        <v>#REF!</v>
      </c>
      <c r="D750" s="79" t="str" cm="1">
        <f t="array" ref="D75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750" s="79" t="str" cm="1">
        <f t="array" ref="E75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750" s="80" t="str" cm="1">
        <f t="array" ref="F75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750" s="80" t="str" cm="1">
        <f t="array" ref="G75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750" s="80" t="str" cm="1">
        <f t="array" ref="H75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750" s="78" t="str" cm="1">
        <f t="array" ref="I75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751" spans="1:9" hidden="1" x14ac:dyDescent="0.3">
      <c r="A751" s="82" t="str" cm="1">
        <f t="array" ref="A75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751" s="79" t="e">
        <f>'BKG Bank'!#REF!</f>
        <v>#REF!</v>
      </c>
      <c r="C751" s="108" t="e">
        <f>'BKG Bank'!#REF!</f>
        <v>#REF!</v>
      </c>
      <c r="D751" s="79" t="str" cm="1">
        <f t="array" ref="D75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751" s="79" t="str" cm="1">
        <f t="array" ref="E75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751" s="80" t="str" cm="1">
        <f t="array" ref="F75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751" s="80" t="str" cm="1">
        <f t="array" ref="G75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751" s="80" t="str" cm="1">
        <f t="array" ref="H75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751" s="78" t="str" cm="1">
        <f t="array" ref="I75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752" spans="1:9" hidden="1" x14ac:dyDescent="0.3">
      <c r="A752" s="82" t="str" cm="1">
        <f t="array" ref="A75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752" s="79" t="e">
        <f>'BKG Bank'!#REF!</f>
        <v>#REF!</v>
      </c>
      <c r="C752" s="108" t="e">
        <f>'BKG Bank'!#REF!</f>
        <v>#REF!</v>
      </c>
      <c r="D752" s="79" t="str" cm="1">
        <f t="array" ref="D75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752" s="79" t="str" cm="1">
        <f t="array" ref="E75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752" s="80" t="str" cm="1">
        <f t="array" ref="F75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752" s="80" t="str" cm="1">
        <f t="array" ref="G75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752" s="80" t="str" cm="1">
        <f t="array" ref="H75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752" s="78" t="str" cm="1">
        <f t="array" ref="I75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753" spans="1:9" hidden="1" x14ac:dyDescent="0.3">
      <c r="A753" s="82" t="str" cm="1">
        <f t="array" ref="A75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753" s="79" t="e">
        <f>'BKG Bank'!#REF!</f>
        <v>#REF!</v>
      </c>
      <c r="C753" s="108" t="e">
        <f>'BKG Bank'!#REF!</f>
        <v>#REF!</v>
      </c>
      <c r="D753" s="79" t="str" cm="1">
        <f t="array" ref="D75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753" s="79" t="str" cm="1">
        <f t="array" ref="E75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753" s="80" t="str" cm="1">
        <f t="array" ref="F75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753" s="80" t="str" cm="1">
        <f t="array" ref="G75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753" s="80" t="str" cm="1">
        <f t="array" ref="H75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753" s="78" t="str" cm="1">
        <f t="array" ref="I75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754" spans="1:9" hidden="1" x14ac:dyDescent="0.3">
      <c r="A754" s="82" t="str" cm="1">
        <f t="array" ref="A75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754" s="79" t="e">
        <f>'BKG Bank'!#REF!</f>
        <v>#REF!</v>
      </c>
      <c r="C754" s="108" t="e">
        <f>'BKG Bank'!#REF!</f>
        <v>#REF!</v>
      </c>
      <c r="D754" s="79" t="str" cm="1">
        <f t="array" ref="D75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754" s="79" t="str" cm="1">
        <f t="array" ref="E75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754" s="80" t="str" cm="1">
        <f t="array" ref="F75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754" s="80" t="str" cm="1">
        <f t="array" ref="G75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754" s="80" t="str" cm="1">
        <f t="array" ref="H75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754" s="78" t="str" cm="1">
        <f t="array" ref="I75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755" spans="1:9" hidden="1" x14ac:dyDescent="0.3">
      <c r="A755" s="82" t="str" cm="1">
        <f t="array" ref="A75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755" s="79" t="e">
        <f>'BKG Bank'!#REF!</f>
        <v>#REF!</v>
      </c>
      <c r="C755" s="108" t="e">
        <f>'BKG Bank'!#REF!</f>
        <v>#REF!</v>
      </c>
      <c r="D755" s="79" t="str" cm="1">
        <f t="array" ref="D75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755" s="79" t="str" cm="1">
        <f t="array" ref="E75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755" s="80" t="str" cm="1">
        <f t="array" ref="F75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755" s="80" t="str" cm="1">
        <f t="array" ref="G75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755" s="80" t="str" cm="1">
        <f t="array" ref="H75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755" s="78" t="str" cm="1">
        <f t="array" ref="I75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756" spans="1:9" hidden="1" x14ac:dyDescent="0.3">
      <c r="A756" s="82" t="str" cm="1">
        <f t="array" ref="A75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756" s="79" t="e">
        <f>'BKG Bank'!#REF!</f>
        <v>#REF!</v>
      </c>
      <c r="C756" s="108" t="e">
        <f>'BKG Bank'!#REF!</f>
        <v>#REF!</v>
      </c>
      <c r="D756" s="79" t="str" cm="1">
        <f t="array" ref="D75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756" s="79" t="str" cm="1">
        <f t="array" ref="E75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756" s="80" t="str" cm="1">
        <f t="array" ref="F75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756" s="80" t="str" cm="1">
        <f t="array" ref="G75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756" s="80" t="str" cm="1">
        <f t="array" ref="H75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756" s="78" t="str" cm="1">
        <f t="array" ref="I75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757" spans="1:9" hidden="1" x14ac:dyDescent="0.3">
      <c r="A757" s="82" t="str" cm="1">
        <f t="array" ref="A75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757" s="79" t="e">
        <f>'BKG Bank'!#REF!</f>
        <v>#REF!</v>
      </c>
      <c r="C757" s="108" t="e">
        <f>'BKG Bank'!#REF!</f>
        <v>#REF!</v>
      </c>
      <c r="D757" s="79" t="str" cm="1">
        <f t="array" ref="D75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757" s="79" t="str" cm="1">
        <f t="array" ref="E75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757" s="80" t="str" cm="1">
        <f t="array" ref="F75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757" s="80" t="str" cm="1">
        <f t="array" ref="G75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757" s="80" t="str" cm="1">
        <f t="array" ref="H75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757" s="78" t="str" cm="1">
        <f t="array" ref="I75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758" spans="1:9" hidden="1" x14ac:dyDescent="0.3">
      <c r="A758" s="82" t="str" cm="1">
        <f t="array" ref="A75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758" s="79" t="e">
        <f>'BKG Bank'!#REF!</f>
        <v>#REF!</v>
      </c>
      <c r="C758" s="108" t="e">
        <f>'BKG Bank'!#REF!</f>
        <v>#REF!</v>
      </c>
      <c r="D758" s="79" t="str" cm="1">
        <f t="array" ref="D75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758" s="79" t="str" cm="1">
        <f t="array" ref="E75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758" s="80" t="str" cm="1">
        <f t="array" ref="F75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758" s="80" t="str" cm="1">
        <f t="array" ref="G75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758" s="80" t="str" cm="1">
        <f t="array" ref="H75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758" s="78" t="str" cm="1">
        <f t="array" ref="I75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759" spans="1:9" hidden="1" x14ac:dyDescent="0.3">
      <c r="A759" s="82" t="str" cm="1">
        <f t="array" ref="A75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759" s="79" t="e">
        <f>'BKG Bank'!#REF!</f>
        <v>#REF!</v>
      </c>
      <c r="C759" s="108" t="e">
        <f>'BKG Bank'!#REF!</f>
        <v>#REF!</v>
      </c>
      <c r="D759" s="79" t="str" cm="1">
        <f t="array" ref="D75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759" s="79" t="str" cm="1">
        <f t="array" ref="E75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759" s="80" t="str" cm="1">
        <f t="array" ref="F75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759" s="80" t="str" cm="1">
        <f t="array" ref="G75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759" s="80" t="str" cm="1">
        <f t="array" ref="H75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759" s="78" t="str" cm="1">
        <f t="array" ref="I75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760" spans="1:9" hidden="1" x14ac:dyDescent="0.3">
      <c r="A760" s="82" t="str" cm="1">
        <f t="array" ref="A76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760" s="79" t="e">
        <f>'BKG Bank'!#REF!</f>
        <v>#REF!</v>
      </c>
      <c r="C760" s="108" t="e">
        <f>'BKG Bank'!#REF!</f>
        <v>#REF!</v>
      </c>
      <c r="D760" s="79" t="str" cm="1">
        <f t="array" ref="D76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760" s="79" t="str" cm="1">
        <f t="array" ref="E76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760" s="80" t="str" cm="1">
        <f t="array" ref="F76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760" s="80" t="str" cm="1">
        <f t="array" ref="G76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760" s="80" t="str" cm="1">
        <f t="array" ref="H76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760" s="78" t="str" cm="1">
        <f t="array" ref="I76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761" spans="1:9" hidden="1" x14ac:dyDescent="0.3">
      <c r="A761" s="82" t="str" cm="1">
        <f t="array" ref="A76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761" s="79" t="e">
        <f>'BKG Bank'!#REF!</f>
        <v>#REF!</v>
      </c>
      <c r="C761" s="108" t="e">
        <f>'BKG Bank'!#REF!</f>
        <v>#REF!</v>
      </c>
      <c r="D761" s="79" t="str" cm="1">
        <f t="array" ref="D76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761" s="79" t="str" cm="1">
        <f t="array" ref="E76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761" s="80" t="str" cm="1">
        <f t="array" ref="F76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761" s="80" t="str" cm="1">
        <f t="array" ref="G76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761" s="80" t="str" cm="1">
        <f t="array" ref="H76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761" s="78" t="str" cm="1">
        <f t="array" ref="I76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762" spans="1:9" hidden="1" x14ac:dyDescent="0.3">
      <c r="A762" s="82" t="str" cm="1">
        <f t="array" ref="A76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762" s="79" t="e">
        <f>'BKG Bank'!#REF!</f>
        <v>#REF!</v>
      </c>
      <c r="C762" s="108" t="e">
        <f>'BKG Bank'!#REF!</f>
        <v>#REF!</v>
      </c>
      <c r="D762" s="79" t="str" cm="1">
        <f t="array" ref="D76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762" s="79" t="str" cm="1">
        <f t="array" ref="E76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762" s="80" t="str" cm="1">
        <f t="array" ref="F76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762" s="80" t="str" cm="1">
        <f t="array" ref="G76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762" s="80" t="str" cm="1">
        <f t="array" ref="H76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762" s="78" t="str" cm="1">
        <f t="array" ref="I76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763" spans="1:9" hidden="1" x14ac:dyDescent="0.3">
      <c r="A763" s="82" t="str" cm="1">
        <f t="array" ref="A76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763" s="79" t="e">
        <f>'BKG Bank'!#REF!</f>
        <v>#REF!</v>
      </c>
      <c r="C763" s="108" t="e">
        <f>'BKG Bank'!#REF!</f>
        <v>#REF!</v>
      </c>
      <c r="D763" s="79" t="str" cm="1">
        <f t="array" ref="D76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763" s="79" t="str" cm="1">
        <f t="array" ref="E76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763" s="80" t="str" cm="1">
        <f t="array" ref="F76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763" s="80" t="str" cm="1">
        <f t="array" ref="G76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763" s="80" t="str" cm="1">
        <f t="array" ref="H76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763" s="78" t="str" cm="1">
        <f t="array" ref="I76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764" spans="1:9" hidden="1" x14ac:dyDescent="0.3">
      <c r="A764" s="82" t="str" cm="1">
        <f t="array" ref="A76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764" s="79" t="e">
        <f>'BKG Bank'!#REF!</f>
        <v>#REF!</v>
      </c>
      <c r="C764" s="108" t="e">
        <f>'BKG Bank'!#REF!</f>
        <v>#REF!</v>
      </c>
      <c r="D764" s="79" t="str" cm="1">
        <f t="array" ref="D76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764" s="79" t="str" cm="1">
        <f t="array" ref="E76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764" s="80" t="str" cm="1">
        <f t="array" ref="F76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764" s="80" t="str" cm="1">
        <f t="array" ref="G76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764" s="80" t="str" cm="1">
        <f t="array" ref="H76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764" s="78" t="str" cm="1">
        <f t="array" ref="I76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765" spans="1:9" hidden="1" x14ac:dyDescent="0.3">
      <c r="A765" s="82" t="str" cm="1">
        <f t="array" ref="A76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765" s="79" t="e">
        <f>'BKG Bank'!#REF!</f>
        <v>#REF!</v>
      </c>
      <c r="C765" s="108" t="e">
        <f>'BKG Bank'!#REF!</f>
        <v>#REF!</v>
      </c>
      <c r="D765" s="79" t="str" cm="1">
        <f t="array" ref="D76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765" s="79" t="str" cm="1">
        <f t="array" ref="E76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765" s="80" t="str" cm="1">
        <f t="array" ref="F76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765" s="80" t="str" cm="1">
        <f t="array" ref="G76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765" s="80" t="str" cm="1">
        <f t="array" ref="H76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765" s="78" t="str" cm="1">
        <f t="array" ref="I76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766" spans="1:9" hidden="1" x14ac:dyDescent="0.3">
      <c r="A766" s="82" t="str" cm="1">
        <f t="array" ref="A76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766" s="79" t="e">
        <f>'BKG Bank'!#REF!</f>
        <v>#REF!</v>
      </c>
      <c r="C766" s="108" t="e">
        <f>'BKG Bank'!#REF!</f>
        <v>#REF!</v>
      </c>
      <c r="D766" s="79" t="str" cm="1">
        <f t="array" ref="D76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766" s="79" t="str" cm="1">
        <f t="array" ref="E76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766" s="80" t="str" cm="1">
        <f t="array" ref="F76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766" s="80" t="str" cm="1">
        <f t="array" ref="G76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766" s="80" t="str" cm="1">
        <f t="array" ref="H76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766" s="78" t="str" cm="1">
        <f t="array" ref="I76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767" spans="1:9" hidden="1" x14ac:dyDescent="0.3">
      <c r="A767" s="82" t="str" cm="1">
        <f t="array" ref="A76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767" s="79" t="e">
        <f>'BKG Bank'!#REF!</f>
        <v>#REF!</v>
      </c>
      <c r="C767" s="108" t="e">
        <f>'BKG Bank'!#REF!</f>
        <v>#REF!</v>
      </c>
      <c r="D767" s="79" t="str" cm="1">
        <f t="array" ref="D76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767" s="79" t="str" cm="1">
        <f t="array" ref="E76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767" s="80" t="str" cm="1">
        <f t="array" ref="F76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767" s="80" t="str" cm="1">
        <f t="array" ref="G76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767" s="80" t="str" cm="1">
        <f t="array" ref="H76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767" s="78" t="str" cm="1">
        <f t="array" ref="I76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768" spans="1:9" hidden="1" x14ac:dyDescent="0.3">
      <c r="A768" s="82" t="str" cm="1">
        <f t="array" ref="A76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768" s="79" t="e">
        <f>'BKG Bank'!#REF!</f>
        <v>#REF!</v>
      </c>
      <c r="C768" s="108" t="e">
        <f>'BKG Bank'!#REF!</f>
        <v>#REF!</v>
      </c>
      <c r="D768" s="79" t="str" cm="1">
        <f t="array" ref="D76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768" s="79" t="str" cm="1">
        <f t="array" ref="E76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768" s="80" t="str" cm="1">
        <f t="array" ref="F76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768" s="80" t="str" cm="1">
        <f t="array" ref="G76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768" s="80" t="str" cm="1">
        <f t="array" ref="H76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768" s="78" t="str" cm="1">
        <f t="array" ref="I76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769" spans="1:9" hidden="1" x14ac:dyDescent="0.3">
      <c r="A769" s="82" t="str" cm="1">
        <f t="array" ref="A76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769" s="79" t="e">
        <f>'BKG Bank'!#REF!</f>
        <v>#REF!</v>
      </c>
      <c r="C769" s="108" t="e">
        <f>'BKG Bank'!#REF!</f>
        <v>#REF!</v>
      </c>
      <c r="D769" s="79" t="str" cm="1">
        <f t="array" ref="D76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769" s="79" t="str" cm="1">
        <f t="array" ref="E76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769" s="80" t="str" cm="1">
        <f t="array" ref="F76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769" s="80" t="str" cm="1">
        <f t="array" ref="G76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769" s="80" t="str" cm="1">
        <f t="array" ref="H76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769" s="78" t="str" cm="1">
        <f t="array" ref="I76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770" spans="1:9" hidden="1" x14ac:dyDescent="0.3">
      <c r="A770" s="82" t="str" cm="1">
        <f t="array" ref="A77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770" s="79" t="e">
        <f>'BKG Bank'!#REF!</f>
        <v>#REF!</v>
      </c>
      <c r="C770" s="108" t="e">
        <f>'BKG Bank'!#REF!</f>
        <v>#REF!</v>
      </c>
      <c r="D770" s="79" t="str" cm="1">
        <f t="array" ref="D77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770" s="79" t="str" cm="1">
        <f t="array" ref="E77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770" s="80" t="str" cm="1">
        <f t="array" ref="F77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770" s="80" t="str" cm="1">
        <f t="array" ref="G77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770" s="80" t="str" cm="1">
        <f t="array" ref="H77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770" s="78" t="str" cm="1">
        <f t="array" ref="I77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771" spans="1:9" hidden="1" x14ac:dyDescent="0.3">
      <c r="A771" s="82" t="str" cm="1">
        <f t="array" ref="A77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771" s="79" t="e">
        <f>'BKG Bank'!#REF!</f>
        <v>#REF!</v>
      </c>
      <c r="C771" s="108" t="e">
        <f>'BKG Bank'!#REF!</f>
        <v>#REF!</v>
      </c>
      <c r="D771" s="79" t="str" cm="1">
        <f t="array" ref="D77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771" s="79" t="str" cm="1">
        <f t="array" ref="E77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771" s="80" t="str" cm="1">
        <f t="array" ref="F77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771" s="80" t="str" cm="1">
        <f t="array" ref="G77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771" s="80" t="str" cm="1">
        <f t="array" ref="H77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771" s="78" t="str" cm="1">
        <f t="array" ref="I77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772" spans="1:9" hidden="1" x14ac:dyDescent="0.3">
      <c r="A772" s="82" t="str" cm="1">
        <f t="array" ref="A77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772" s="79" t="e">
        <f>'BKG Bank'!#REF!</f>
        <v>#REF!</v>
      </c>
      <c r="C772" s="108" t="e">
        <f>'BKG Bank'!#REF!</f>
        <v>#REF!</v>
      </c>
      <c r="D772" s="79" t="str" cm="1">
        <f t="array" ref="D77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772" s="79" t="str" cm="1">
        <f t="array" ref="E77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772" s="80" t="str" cm="1">
        <f t="array" ref="F77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772" s="80" t="str" cm="1">
        <f t="array" ref="G77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772" s="80" t="str" cm="1">
        <f t="array" ref="H77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772" s="78" t="str" cm="1">
        <f t="array" ref="I77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773" spans="1:9" hidden="1" x14ac:dyDescent="0.3">
      <c r="A773" s="82" t="str" cm="1">
        <f t="array" ref="A77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773" s="79" t="e">
        <f>'BKG Bank'!#REF!</f>
        <v>#REF!</v>
      </c>
      <c r="C773" s="108" t="e">
        <f>'BKG Bank'!#REF!</f>
        <v>#REF!</v>
      </c>
      <c r="D773" s="79" t="str" cm="1">
        <f t="array" ref="D77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773" s="79" t="str" cm="1">
        <f t="array" ref="E77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773" s="80" t="str" cm="1">
        <f t="array" ref="F77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773" s="80" t="str" cm="1">
        <f t="array" ref="G77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773" s="80" t="str" cm="1">
        <f t="array" ref="H77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773" s="78" t="str" cm="1">
        <f t="array" ref="I77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774" spans="1:9" hidden="1" x14ac:dyDescent="0.3">
      <c r="A774" s="82" t="str" cm="1">
        <f t="array" ref="A77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774" s="79" t="e">
        <f>'BKG Bank'!#REF!</f>
        <v>#REF!</v>
      </c>
      <c r="C774" s="108" t="e">
        <f>'BKG Bank'!#REF!</f>
        <v>#REF!</v>
      </c>
      <c r="D774" s="79" t="str" cm="1">
        <f t="array" ref="D77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774" s="79" t="str" cm="1">
        <f t="array" ref="E77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774" s="80" t="str" cm="1">
        <f t="array" ref="F77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774" s="80" t="str" cm="1">
        <f t="array" ref="G77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774" s="80" t="str" cm="1">
        <f t="array" ref="H77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774" s="78" t="str" cm="1">
        <f t="array" ref="I77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775" spans="1:9" hidden="1" x14ac:dyDescent="0.3">
      <c r="A775" s="82" t="str" cm="1">
        <f t="array" ref="A77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775" s="79" t="e">
        <f>'BKG Bank'!#REF!</f>
        <v>#REF!</v>
      </c>
      <c r="C775" s="108" t="e">
        <f>'BKG Bank'!#REF!</f>
        <v>#REF!</v>
      </c>
      <c r="D775" s="79" t="str" cm="1">
        <f t="array" ref="D77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775" s="79" t="str" cm="1">
        <f t="array" ref="E77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775" s="80" t="str" cm="1">
        <f t="array" ref="F77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775" s="80" t="str" cm="1">
        <f t="array" ref="G77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775" s="80" t="str" cm="1">
        <f t="array" ref="H77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775" s="78" t="str" cm="1">
        <f t="array" ref="I77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776" spans="1:9" hidden="1" x14ac:dyDescent="0.3">
      <c r="A776" s="82" t="str" cm="1">
        <f t="array" ref="A77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776" s="79" t="e">
        <f>'BKG Bank'!#REF!</f>
        <v>#REF!</v>
      </c>
      <c r="C776" s="108" t="e">
        <f>'BKG Bank'!#REF!</f>
        <v>#REF!</v>
      </c>
      <c r="D776" s="79" t="str" cm="1">
        <f t="array" ref="D77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776" s="79" t="str" cm="1">
        <f t="array" ref="E77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776" s="80" t="str" cm="1">
        <f t="array" ref="F77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776" s="80" t="str" cm="1">
        <f t="array" ref="G77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776" s="80" t="str" cm="1">
        <f t="array" ref="H77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776" s="78" t="str" cm="1">
        <f t="array" ref="I77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777" spans="1:9" hidden="1" x14ac:dyDescent="0.3">
      <c r="A777" s="82" t="str" cm="1">
        <f t="array" ref="A77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777" s="79" t="e">
        <f>'BKG Bank'!#REF!</f>
        <v>#REF!</v>
      </c>
      <c r="C777" s="108" t="e">
        <f>'BKG Bank'!#REF!</f>
        <v>#REF!</v>
      </c>
      <c r="D777" s="79" t="str" cm="1">
        <f t="array" ref="D77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777" s="79" t="str" cm="1">
        <f t="array" ref="E77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777" s="80" t="str" cm="1">
        <f t="array" ref="F77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777" s="80" t="str" cm="1">
        <f t="array" ref="G77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777" s="80" t="str" cm="1">
        <f t="array" ref="H77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777" s="78" t="str" cm="1">
        <f t="array" ref="I77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778" spans="1:9" hidden="1" x14ac:dyDescent="0.3">
      <c r="A778" s="82" t="str" cm="1">
        <f t="array" ref="A77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778" s="79" t="e">
        <f>'BKG Bank'!#REF!</f>
        <v>#REF!</v>
      </c>
      <c r="C778" s="108" t="e">
        <f>'BKG Bank'!#REF!</f>
        <v>#REF!</v>
      </c>
      <c r="D778" s="79" t="str" cm="1">
        <f t="array" ref="D77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778" s="79" t="str" cm="1">
        <f t="array" ref="E77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778" s="80" t="str" cm="1">
        <f t="array" ref="F77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778" s="80" t="str" cm="1">
        <f t="array" ref="G77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778" s="80" t="str" cm="1">
        <f t="array" ref="H77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778" s="78" t="str" cm="1">
        <f t="array" ref="I77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779" spans="1:9" hidden="1" x14ac:dyDescent="0.3">
      <c r="A779" s="82" t="str" cm="1">
        <f t="array" ref="A77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779" s="79" t="e">
        <f>'BKG Bank'!#REF!</f>
        <v>#REF!</v>
      </c>
      <c r="C779" s="108" t="e">
        <f>'BKG Bank'!#REF!</f>
        <v>#REF!</v>
      </c>
      <c r="D779" s="79" t="str" cm="1">
        <f t="array" ref="D77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779" s="79" t="str" cm="1">
        <f t="array" ref="E77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779" s="80" t="str" cm="1">
        <f t="array" ref="F77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779" s="80" t="str" cm="1">
        <f t="array" ref="G77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779" s="80" t="str" cm="1">
        <f t="array" ref="H77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779" s="78" t="str" cm="1">
        <f t="array" ref="I77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780" spans="1:9" hidden="1" x14ac:dyDescent="0.3">
      <c r="A780" s="82" t="str" cm="1">
        <f t="array" ref="A78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780" s="79" t="e">
        <f>'BKG Bank'!#REF!</f>
        <v>#REF!</v>
      </c>
      <c r="C780" s="108" t="e">
        <f>'BKG Bank'!#REF!</f>
        <v>#REF!</v>
      </c>
      <c r="D780" s="79" t="str" cm="1">
        <f t="array" ref="D78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780" s="79" t="str" cm="1">
        <f t="array" ref="E78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780" s="80" t="str" cm="1">
        <f t="array" ref="F78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780" s="80" t="str" cm="1">
        <f t="array" ref="G78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780" s="80" t="str" cm="1">
        <f t="array" ref="H78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780" s="78" t="str" cm="1">
        <f t="array" ref="I78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781" spans="1:9" hidden="1" x14ac:dyDescent="0.3">
      <c r="A781" s="82" t="str" cm="1">
        <f t="array" ref="A78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781" s="79" t="e">
        <f>'BKG Bank'!#REF!</f>
        <v>#REF!</v>
      </c>
      <c r="C781" s="108" t="e">
        <f>'BKG Bank'!#REF!</f>
        <v>#REF!</v>
      </c>
      <c r="D781" s="79" t="str" cm="1">
        <f t="array" ref="D78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781" s="79" t="str" cm="1">
        <f t="array" ref="E78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781" s="80" t="str" cm="1">
        <f t="array" ref="F78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781" s="80" t="str" cm="1">
        <f t="array" ref="G78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781" s="80" t="str" cm="1">
        <f t="array" ref="H78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781" s="78" t="str" cm="1">
        <f t="array" ref="I78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782" spans="1:9" hidden="1" x14ac:dyDescent="0.3">
      <c r="A782" s="82" t="str" cm="1">
        <f t="array" ref="A78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782" s="79" t="e">
        <f>'BKG Bank'!#REF!</f>
        <v>#REF!</v>
      </c>
      <c r="C782" s="108" t="e">
        <f>'BKG Bank'!#REF!</f>
        <v>#REF!</v>
      </c>
      <c r="D782" s="79" t="str" cm="1">
        <f t="array" ref="D78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782" s="79" t="str" cm="1">
        <f t="array" ref="E78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782" s="80" t="str" cm="1">
        <f t="array" ref="F78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782" s="80" t="str" cm="1">
        <f t="array" ref="G78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782" s="80" t="str" cm="1">
        <f t="array" ref="H78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782" s="78" t="str" cm="1">
        <f t="array" ref="I78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783" spans="1:9" hidden="1" x14ac:dyDescent="0.3">
      <c r="A783" s="82" t="str" cm="1">
        <f t="array" ref="A78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783" s="79" t="e">
        <f>'BKG Bank'!#REF!</f>
        <v>#REF!</v>
      </c>
      <c r="C783" s="108" t="e">
        <f>'BKG Bank'!#REF!</f>
        <v>#REF!</v>
      </c>
      <c r="D783" s="79" t="str" cm="1">
        <f t="array" ref="D78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783" s="79" t="str" cm="1">
        <f t="array" ref="E78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783" s="80" t="str" cm="1">
        <f t="array" ref="F78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783" s="80" t="str" cm="1">
        <f t="array" ref="G78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783" s="80" t="str" cm="1">
        <f t="array" ref="H78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783" s="78" t="str" cm="1">
        <f t="array" ref="I78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784" spans="1:9" hidden="1" x14ac:dyDescent="0.3">
      <c r="A784" s="82" t="str" cm="1">
        <f t="array" ref="A78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784" s="79" t="e">
        <f>'BKG Bank'!#REF!</f>
        <v>#REF!</v>
      </c>
      <c r="C784" s="108" t="e">
        <f>'BKG Bank'!#REF!</f>
        <v>#REF!</v>
      </c>
      <c r="D784" s="79" t="str" cm="1">
        <f t="array" ref="D78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784" s="79" t="str" cm="1">
        <f t="array" ref="E78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784" s="80" t="str" cm="1">
        <f t="array" ref="F78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784" s="80" t="str" cm="1">
        <f t="array" ref="G78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784" s="80" t="str" cm="1">
        <f t="array" ref="H78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784" s="78" t="str" cm="1">
        <f t="array" ref="I78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785" spans="1:9" hidden="1" x14ac:dyDescent="0.3">
      <c r="A785" s="82" t="str" cm="1">
        <f t="array" ref="A78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785" s="79" t="e">
        <f>'BKG Bank'!#REF!</f>
        <v>#REF!</v>
      </c>
      <c r="C785" s="108" t="e">
        <f>'BKG Bank'!#REF!</f>
        <v>#REF!</v>
      </c>
      <c r="D785" s="79" t="str" cm="1">
        <f t="array" ref="D78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785" s="79" t="str" cm="1">
        <f t="array" ref="E78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785" s="80" t="str" cm="1">
        <f t="array" ref="F78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785" s="80" t="str" cm="1">
        <f t="array" ref="G78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785" s="80" t="str" cm="1">
        <f t="array" ref="H78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785" s="78" t="str" cm="1">
        <f t="array" ref="I78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786" spans="1:9" hidden="1" x14ac:dyDescent="0.3">
      <c r="A786" s="82" t="str" cm="1">
        <f t="array" ref="A78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786" s="79" t="e">
        <f>'BKG Bank'!#REF!</f>
        <v>#REF!</v>
      </c>
      <c r="C786" s="108" t="e">
        <f>'BKG Bank'!#REF!</f>
        <v>#REF!</v>
      </c>
      <c r="D786" s="79" t="str" cm="1">
        <f t="array" ref="D78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786" s="79" t="str" cm="1">
        <f t="array" ref="E78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786" s="80" t="str" cm="1">
        <f t="array" ref="F78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786" s="80" t="str" cm="1">
        <f t="array" ref="G78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786" s="80" t="str" cm="1">
        <f t="array" ref="H78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786" s="78" t="str" cm="1">
        <f t="array" ref="I78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787" spans="1:9" hidden="1" x14ac:dyDescent="0.3">
      <c r="A787" s="82" t="str" cm="1">
        <f t="array" ref="A78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787" s="79" t="e">
        <f>'BKG Bank'!#REF!</f>
        <v>#REF!</v>
      </c>
      <c r="C787" s="108" t="e">
        <f>'BKG Bank'!#REF!</f>
        <v>#REF!</v>
      </c>
      <c r="D787" s="79" t="str" cm="1">
        <f t="array" ref="D78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787" s="79" t="str" cm="1">
        <f t="array" ref="E78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787" s="80" t="str" cm="1">
        <f t="array" ref="F78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787" s="80" t="str" cm="1">
        <f t="array" ref="G78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787" s="80" t="str" cm="1">
        <f t="array" ref="H78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787" s="78" t="str" cm="1">
        <f t="array" ref="I78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788" spans="1:9" hidden="1" x14ac:dyDescent="0.3">
      <c r="A788" s="82" t="str" cm="1">
        <f t="array" ref="A78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788" s="79" t="e">
        <f>'BKG Bank'!#REF!</f>
        <v>#REF!</v>
      </c>
      <c r="C788" s="108" t="e">
        <f>'BKG Bank'!#REF!</f>
        <v>#REF!</v>
      </c>
      <c r="D788" s="79" t="str" cm="1">
        <f t="array" ref="D78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788" s="79" t="str" cm="1">
        <f t="array" ref="E78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788" s="80" t="str" cm="1">
        <f t="array" ref="F78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788" s="80" t="str" cm="1">
        <f t="array" ref="G78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788" s="80" t="str" cm="1">
        <f t="array" ref="H78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788" s="78" t="str" cm="1">
        <f t="array" ref="I78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789" spans="1:9" hidden="1" x14ac:dyDescent="0.3">
      <c r="A789" s="82" t="str" cm="1">
        <f t="array" ref="A78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789" s="79" t="e">
        <f>'BKG Bank'!#REF!</f>
        <v>#REF!</v>
      </c>
      <c r="C789" s="108" t="e">
        <f>'BKG Bank'!#REF!</f>
        <v>#REF!</v>
      </c>
      <c r="D789" s="79" t="str" cm="1">
        <f t="array" ref="D78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789" s="79" t="str" cm="1">
        <f t="array" ref="E78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789" s="80" t="str" cm="1">
        <f t="array" ref="F78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789" s="80" t="str" cm="1">
        <f t="array" ref="G78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789" s="80" t="str" cm="1">
        <f t="array" ref="H78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789" s="78" t="str" cm="1">
        <f t="array" ref="I78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790" spans="1:9" hidden="1" x14ac:dyDescent="0.3">
      <c r="A790" s="82" t="str" cm="1">
        <f t="array" ref="A79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790" s="79" t="e">
        <f>'BKG Bank'!#REF!</f>
        <v>#REF!</v>
      </c>
      <c r="C790" s="108" t="e">
        <f>'BKG Bank'!#REF!</f>
        <v>#REF!</v>
      </c>
      <c r="D790" s="79" t="str" cm="1">
        <f t="array" ref="D79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790" s="79" t="str" cm="1">
        <f t="array" ref="E79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790" s="80" t="str" cm="1">
        <f t="array" ref="F79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790" s="80" t="str" cm="1">
        <f t="array" ref="G79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790" s="80" t="str" cm="1">
        <f t="array" ref="H79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790" s="78" t="str" cm="1">
        <f t="array" ref="I79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791" spans="1:9" hidden="1" x14ac:dyDescent="0.3">
      <c r="A791" s="82" t="str" cm="1">
        <f t="array" ref="A79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791" s="79" t="e">
        <f>'BKG Bank'!#REF!</f>
        <v>#REF!</v>
      </c>
      <c r="C791" s="108" t="e">
        <f>'BKG Bank'!#REF!</f>
        <v>#REF!</v>
      </c>
      <c r="D791" s="79" t="str" cm="1">
        <f t="array" ref="D79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791" s="79" t="str" cm="1">
        <f t="array" ref="E79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791" s="80" t="str" cm="1">
        <f t="array" ref="F79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791" s="80" t="str" cm="1">
        <f t="array" ref="G79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791" s="80" t="str" cm="1">
        <f t="array" ref="H79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791" s="78" t="str" cm="1">
        <f t="array" ref="I79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792" spans="1:9" hidden="1" x14ac:dyDescent="0.3">
      <c r="A792" s="82" t="str" cm="1">
        <f t="array" ref="A79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792" s="79" t="e">
        <f>'BKG Bank'!#REF!</f>
        <v>#REF!</v>
      </c>
      <c r="C792" s="108" t="e">
        <f>'BKG Bank'!#REF!</f>
        <v>#REF!</v>
      </c>
      <c r="D792" s="79" t="str" cm="1">
        <f t="array" ref="D79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792" s="79" t="str" cm="1">
        <f t="array" ref="E79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792" s="80" t="str" cm="1">
        <f t="array" ref="F79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792" s="80" t="str" cm="1">
        <f t="array" ref="G79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792" s="80" t="str" cm="1">
        <f t="array" ref="H79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792" s="78" t="str" cm="1">
        <f t="array" ref="I79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793" spans="1:9" hidden="1" x14ac:dyDescent="0.3">
      <c r="A793" s="82" t="str" cm="1">
        <f t="array" ref="A79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793" s="79" t="e">
        <f>'BKG Bank'!#REF!</f>
        <v>#REF!</v>
      </c>
      <c r="C793" s="108" t="e">
        <f>'BKG Bank'!#REF!</f>
        <v>#REF!</v>
      </c>
      <c r="D793" s="79" t="str" cm="1">
        <f t="array" ref="D79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793" s="79" t="str" cm="1">
        <f t="array" ref="E79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793" s="80" t="str" cm="1">
        <f t="array" ref="F79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793" s="80" t="str" cm="1">
        <f t="array" ref="G79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793" s="80" t="str" cm="1">
        <f t="array" ref="H79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793" s="78" t="str" cm="1">
        <f t="array" ref="I79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794" spans="1:9" hidden="1" x14ac:dyDescent="0.3">
      <c r="A794" s="82" t="str" cm="1">
        <f t="array" ref="A79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794" s="79" t="e">
        <f>'BKG Bank'!#REF!</f>
        <v>#REF!</v>
      </c>
      <c r="C794" s="108" t="e">
        <f>'BKG Bank'!#REF!</f>
        <v>#REF!</v>
      </c>
      <c r="D794" s="79" t="str" cm="1">
        <f t="array" ref="D79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794" s="79" t="str" cm="1">
        <f t="array" ref="E79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794" s="80" t="str" cm="1">
        <f t="array" ref="F79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794" s="80" t="str" cm="1">
        <f t="array" ref="G79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794" s="80" t="str" cm="1">
        <f t="array" ref="H79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794" s="78" t="str" cm="1">
        <f t="array" ref="I79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795" spans="1:9" hidden="1" x14ac:dyDescent="0.3">
      <c r="A795" s="82" t="str" cm="1">
        <f t="array" ref="A79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795" s="79" t="e">
        <f>'BKG Bank'!#REF!</f>
        <v>#REF!</v>
      </c>
      <c r="C795" s="108" t="e">
        <f>'BKG Bank'!#REF!</f>
        <v>#REF!</v>
      </c>
      <c r="D795" s="79" t="str" cm="1">
        <f t="array" ref="D79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795" s="79" t="str" cm="1">
        <f t="array" ref="E79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795" s="80" t="str" cm="1">
        <f t="array" ref="F79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795" s="80" t="str" cm="1">
        <f t="array" ref="G79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795" s="80" t="str" cm="1">
        <f t="array" ref="H79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795" s="78" t="str" cm="1">
        <f t="array" ref="I79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796" spans="1:9" hidden="1" x14ac:dyDescent="0.3">
      <c r="A796" s="82" t="str" cm="1">
        <f t="array" ref="A79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796" s="79" t="e">
        <f>'BKG Bank'!#REF!</f>
        <v>#REF!</v>
      </c>
      <c r="C796" s="108" t="e">
        <f>'BKG Bank'!#REF!</f>
        <v>#REF!</v>
      </c>
      <c r="D796" s="79" t="str" cm="1">
        <f t="array" ref="D79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796" s="79" t="str" cm="1">
        <f t="array" ref="E79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796" s="80" t="str" cm="1">
        <f t="array" ref="F79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796" s="80" t="str" cm="1">
        <f t="array" ref="G79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796" s="80" t="str" cm="1">
        <f t="array" ref="H79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796" s="78" t="str" cm="1">
        <f t="array" ref="I79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797" spans="1:9" hidden="1" x14ac:dyDescent="0.3">
      <c r="A797" s="82" t="str" cm="1">
        <f t="array" ref="A79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797" s="79" t="e">
        <f>'BKG Bank'!#REF!</f>
        <v>#REF!</v>
      </c>
      <c r="C797" s="108" t="e">
        <f>'BKG Bank'!#REF!</f>
        <v>#REF!</v>
      </c>
      <c r="D797" s="79" t="str" cm="1">
        <f t="array" ref="D79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797" s="79" t="str" cm="1">
        <f t="array" ref="E79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797" s="80" t="str" cm="1">
        <f t="array" ref="F79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797" s="80" t="str" cm="1">
        <f t="array" ref="G79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797" s="80" t="str" cm="1">
        <f t="array" ref="H79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797" s="78" t="str" cm="1">
        <f t="array" ref="I79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798" spans="1:9" hidden="1" x14ac:dyDescent="0.3">
      <c r="A798" s="82" t="str" cm="1">
        <f t="array" ref="A79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798" s="79" t="e">
        <f>'BKG Bank'!#REF!</f>
        <v>#REF!</v>
      </c>
      <c r="C798" s="108" t="e">
        <f>'BKG Bank'!#REF!</f>
        <v>#REF!</v>
      </c>
      <c r="D798" s="79" t="str" cm="1">
        <f t="array" ref="D79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798" s="79" t="str" cm="1">
        <f t="array" ref="E79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798" s="80" t="str" cm="1">
        <f t="array" ref="F79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798" s="80" t="str" cm="1">
        <f t="array" ref="G79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798" s="80" t="str" cm="1">
        <f t="array" ref="H79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798" s="78" t="str" cm="1">
        <f t="array" ref="I79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799" spans="1:9" hidden="1" x14ac:dyDescent="0.3">
      <c r="A799" s="82" t="str" cm="1">
        <f t="array" ref="A79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799" s="79" t="e">
        <f>'BKG Bank'!#REF!</f>
        <v>#REF!</v>
      </c>
      <c r="C799" s="108" t="e">
        <f>'BKG Bank'!#REF!</f>
        <v>#REF!</v>
      </c>
      <c r="D799" s="79" t="str" cm="1">
        <f t="array" ref="D79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799" s="79" t="str" cm="1">
        <f t="array" ref="E79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799" s="80" t="str" cm="1">
        <f t="array" ref="F79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799" s="80" t="str" cm="1">
        <f t="array" ref="G79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799" s="80" t="str" cm="1">
        <f t="array" ref="H79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799" s="78" t="str" cm="1">
        <f t="array" ref="I79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800" spans="1:9" hidden="1" x14ac:dyDescent="0.3">
      <c r="A800" s="82" t="str" cm="1">
        <f t="array" ref="A80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800" s="79" t="e">
        <f>'BKG Bank'!#REF!</f>
        <v>#REF!</v>
      </c>
      <c r="C800" s="108" t="e">
        <f>'BKG Bank'!#REF!</f>
        <v>#REF!</v>
      </c>
      <c r="D800" s="79" t="str" cm="1">
        <f t="array" ref="D80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800" s="79" t="str" cm="1">
        <f t="array" ref="E80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800" s="80" t="str" cm="1">
        <f t="array" ref="F80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800" s="80" t="str" cm="1">
        <f t="array" ref="G80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800" s="80" t="str" cm="1">
        <f t="array" ref="H80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800" s="78" t="str" cm="1">
        <f t="array" ref="I80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801" spans="1:9" hidden="1" x14ac:dyDescent="0.3">
      <c r="A801" s="82" t="str" cm="1">
        <f t="array" ref="A80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801" s="79" t="e">
        <f>'BKG Bank'!#REF!</f>
        <v>#REF!</v>
      </c>
      <c r="C801" s="108" t="e">
        <f>'BKG Bank'!#REF!</f>
        <v>#REF!</v>
      </c>
      <c r="D801" s="79" t="str" cm="1">
        <f t="array" ref="D80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801" s="79" t="str" cm="1">
        <f t="array" ref="E80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801" s="80" t="str" cm="1">
        <f t="array" ref="F80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801" s="80" t="str" cm="1">
        <f t="array" ref="G80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801" s="80" t="str" cm="1">
        <f t="array" ref="H80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801" s="78" t="str" cm="1">
        <f t="array" ref="I80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802" spans="1:9" hidden="1" x14ac:dyDescent="0.3">
      <c r="A802" s="82" t="str" cm="1">
        <f t="array" ref="A80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802" s="79" t="e">
        <f>'BKG Bank'!#REF!</f>
        <v>#REF!</v>
      </c>
      <c r="C802" s="108" t="e">
        <f>'BKG Bank'!#REF!</f>
        <v>#REF!</v>
      </c>
      <c r="D802" s="79" t="str" cm="1">
        <f t="array" ref="D80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802" s="79" t="str" cm="1">
        <f t="array" ref="E80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802" s="80" t="str" cm="1">
        <f t="array" ref="F80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802" s="80" t="str" cm="1">
        <f t="array" ref="G80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802" s="80" t="str" cm="1">
        <f t="array" ref="H80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802" s="78" t="str" cm="1">
        <f t="array" ref="I80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803" spans="1:9" hidden="1" x14ac:dyDescent="0.3">
      <c r="A803" s="82" t="str" cm="1">
        <f t="array" ref="A80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803" s="79" t="e">
        <f>'BKG Bank'!#REF!</f>
        <v>#REF!</v>
      </c>
      <c r="C803" s="108" t="e">
        <f>'BKG Bank'!#REF!</f>
        <v>#REF!</v>
      </c>
      <c r="D803" s="79" t="str" cm="1">
        <f t="array" ref="D80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803" s="79" t="str" cm="1">
        <f t="array" ref="E80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803" s="80" t="str" cm="1">
        <f t="array" ref="F80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803" s="80" t="str" cm="1">
        <f t="array" ref="G80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803" s="80" t="str" cm="1">
        <f t="array" ref="H80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803" s="78" t="str" cm="1">
        <f t="array" ref="I80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804" spans="1:9" hidden="1" x14ac:dyDescent="0.3">
      <c r="A804" s="82" t="str" cm="1">
        <f t="array" ref="A80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804" s="79" t="e">
        <f>'BKG Bank'!#REF!</f>
        <v>#REF!</v>
      </c>
      <c r="C804" s="108" t="e">
        <f>'BKG Bank'!#REF!</f>
        <v>#REF!</v>
      </c>
      <c r="D804" s="79" t="str" cm="1">
        <f t="array" ref="D80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804" s="79" t="str" cm="1">
        <f t="array" ref="E80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804" s="80" t="str" cm="1">
        <f t="array" ref="F80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804" s="80" t="str" cm="1">
        <f t="array" ref="G80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804" s="80" t="str" cm="1">
        <f t="array" ref="H80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804" s="78" t="str" cm="1">
        <f t="array" ref="I80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805" spans="1:9" hidden="1" x14ac:dyDescent="0.3">
      <c r="A805" s="82" t="str" cm="1">
        <f t="array" ref="A80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805" s="79" t="e">
        <f>'BKG Bank'!#REF!</f>
        <v>#REF!</v>
      </c>
      <c r="C805" s="108" t="e">
        <f>'BKG Bank'!#REF!</f>
        <v>#REF!</v>
      </c>
      <c r="D805" s="79" t="str" cm="1">
        <f t="array" ref="D80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805" s="79" t="str" cm="1">
        <f t="array" ref="E80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805" s="80" t="str" cm="1">
        <f t="array" ref="F80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805" s="80" t="str" cm="1">
        <f t="array" ref="G80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805" s="80" t="str" cm="1">
        <f t="array" ref="H80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805" s="78" t="str" cm="1">
        <f t="array" ref="I80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806" spans="1:9" hidden="1" x14ac:dyDescent="0.3">
      <c r="A806" s="82" t="str" cm="1">
        <f t="array" ref="A80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806" s="79" t="e">
        <f>'BKG Bank'!#REF!</f>
        <v>#REF!</v>
      </c>
      <c r="C806" s="108" t="e">
        <f>'BKG Bank'!#REF!</f>
        <v>#REF!</v>
      </c>
      <c r="D806" s="79" t="str" cm="1">
        <f t="array" ref="D80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806" s="79" t="str" cm="1">
        <f t="array" ref="E80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806" s="80" t="str" cm="1">
        <f t="array" ref="F80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806" s="80" t="str" cm="1">
        <f t="array" ref="G80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806" s="80" t="str" cm="1">
        <f t="array" ref="H80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806" s="78" t="str" cm="1">
        <f t="array" ref="I80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807" spans="1:9" hidden="1" x14ac:dyDescent="0.3">
      <c r="A807" s="82" t="str" cm="1">
        <f t="array" ref="A80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807" s="79" t="e">
        <f>'BKG Bank'!#REF!</f>
        <v>#REF!</v>
      </c>
      <c r="C807" s="108" t="e">
        <f>'BKG Bank'!#REF!</f>
        <v>#REF!</v>
      </c>
      <c r="D807" s="79" t="str" cm="1">
        <f t="array" ref="D80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807" s="79" t="str" cm="1">
        <f t="array" ref="E80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807" s="80" t="str" cm="1">
        <f t="array" ref="F80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807" s="80" t="str" cm="1">
        <f t="array" ref="G80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807" s="80" t="str" cm="1">
        <f t="array" ref="H80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807" s="78" t="str" cm="1">
        <f t="array" ref="I80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808" spans="1:9" hidden="1" x14ac:dyDescent="0.3">
      <c r="A808" s="82" t="str" cm="1">
        <f t="array" ref="A80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808" s="79" t="e">
        <f>'BKG Bank'!#REF!</f>
        <v>#REF!</v>
      </c>
      <c r="C808" s="108" t="e">
        <f>'BKG Bank'!#REF!</f>
        <v>#REF!</v>
      </c>
      <c r="D808" s="79" t="str" cm="1">
        <f t="array" ref="D80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808" s="79" t="str" cm="1">
        <f t="array" ref="E80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808" s="80" t="str" cm="1">
        <f t="array" ref="F80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808" s="80" t="str" cm="1">
        <f t="array" ref="G80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808" s="80" t="str" cm="1">
        <f t="array" ref="H80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808" s="78" t="str" cm="1">
        <f t="array" ref="I80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809" spans="1:9" hidden="1" x14ac:dyDescent="0.3">
      <c r="A809" s="82" t="str" cm="1">
        <f t="array" ref="A80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809" s="79" t="e">
        <f>'BKG Bank'!#REF!</f>
        <v>#REF!</v>
      </c>
      <c r="C809" s="108" t="e">
        <f>'BKG Bank'!#REF!</f>
        <v>#REF!</v>
      </c>
      <c r="D809" s="79" t="str" cm="1">
        <f t="array" ref="D80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809" s="79" t="str" cm="1">
        <f t="array" ref="E80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809" s="80" t="str" cm="1">
        <f t="array" ref="F80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809" s="80" t="str" cm="1">
        <f t="array" ref="G80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809" s="80" t="str" cm="1">
        <f t="array" ref="H80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809" s="78" t="str" cm="1">
        <f t="array" ref="I80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810" spans="1:9" hidden="1" x14ac:dyDescent="0.3">
      <c r="A810" s="82" t="str" cm="1">
        <f t="array" ref="A81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810" s="79" t="e">
        <f>'BKG Bank'!#REF!</f>
        <v>#REF!</v>
      </c>
      <c r="C810" s="108" t="e">
        <f>'BKG Bank'!#REF!</f>
        <v>#REF!</v>
      </c>
      <c r="D810" s="79" t="str" cm="1">
        <f t="array" ref="D81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810" s="79" t="str" cm="1">
        <f t="array" ref="E81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810" s="80" t="str" cm="1">
        <f t="array" ref="F81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810" s="80" t="str" cm="1">
        <f t="array" ref="G81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810" s="80" t="str" cm="1">
        <f t="array" ref="H81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810" s="78" t="str" cm="1">
        <f t="array" ref="I81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811" spans="1:9" hidden="1" x14ac:dyDescent="0.3">
      <c r="A811" s="82" t="str" cm="1">
        <f t="array" ref="A81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811" s="79" t="e">
        <f>'BKG Bank'!#REF!</f>
        <v>#REF!</v>
      </c>
      <c r="C811" s="108" t="e">
        <f>'BKG Bank'!#REF!</f>
        <v>#REF!</v>
      </c>
      <c r="D811" s="79" t="str" cm="1">
        <f t="array" ref="D81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811" s="79" t="str" cm="1">
        <f t="array" ref="E81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811" s="80" t="str" cm="1">
        <f t="array" ref="F81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811" s="80" t="str" cm="1">
        <f t="array" ref="G81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811" s="80" t="str" cm="1">
        <f t="array" ref="H81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811" s="78" t="str" cm="1">
        <f t="array" ref="I81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812" spans="1:9" hidden="1" x14ac:dyDescent="0.3">
      <c r="A812" s="82" t="str" cm="1">
        <f t="array" ref="A81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812" s="79" t="e">
        <f>'BKG Bank'!#REF!</f>
        <v>#REF!</v>
      </c>
      <c r="C812" s="108" t="e">
        <f>'BKG Bank'!#REF!</f>
        <v>#REF!</v>
      </c>
      <c r="D812" s="79" t="str" cm="1">
        <f t="array" ref="D81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812" s="79" t="str" cm="1">
        <f t="array" ref="E81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812" s="80" t="str" cm="1">
        <f t="array" ref="F81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812" s="80" t="str" cm="1">
        <f t="array" ref="G81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812" s="80" t="str" cm="1">
        <f t="array" ref="H81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812" s="78" t="str" cm="1">
        <f t="array" ref="I81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813" spans="1:9" hidden="1" x14ac:dyDescent="0.3">
      <c r="A813" s="82" t="str" cm="1">
        <f t="array" ref="A81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813" s="79" t="e">
        <f>'BKG Bank'!#REF!</f>
        <v>#REF!</v>
      </c>
      <c r="C813" s="108" t="e">
        <f>'BKG Bank'!#REF!</f>
        <v>#REF!</v>
      </c>
      <c r="D813" s="79" t="str" cm="1">
        <f t="array" ref="D81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813" s="79" t="str" cm="1">
        <f t="array" ref="E81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813" s="80" t="str" cm="1">
        <f t="array" ref="F81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813" s="80" t="str" cm="1">
        <f t="array" ref="G81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813" s="80" t="str" cm="1">
        <f t="array" ref="H81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813" s="78" t="str" cm="1">
        <f t="array" ref="I81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814" spans="1:9" hidden="1" x14ac:dyDescent="0.3">
      <c r="A814" s="82" t="str" cm="1">
        <f t="array" ref="A81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814" s="79" t="e">
        <f>'BKG Bank'!#REF!</f>
        <v>#REF!</v>
      </c>
      <c r="C814" s="108" t="e">
        <f>'BKG Bank'!#REF!</f>
        <v>#REF!</v>
      </c>
      <c r="D814" s="79" t="str" cm="1">
        <f t="array" ref="D81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814" s="79" t="str" cm="1">
        <f t="array" ref="E81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814" s="80" t="str" cm="1">
        <f t="array" ref="F81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814" s="80" t="str" cm="1">
        <f t="array" ref="G81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814" s="80" t="str" cm="1">
        <f t="array" ref="H81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814" s="78" t="str" cm="1">
        <f t="array" ref="I81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815" spans="1:9" hidden="1" x14ac:dyDescent="0.3">
      <c r="A815" s="82" t="str" cm="1">
        <f t="array" ref="A81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815" s="79" t="e">
        <f>'BKG Bank'!#REF!</f>
        <v>#REF!</v>
      </c>
      <c r="C815" s="108" t="e">
        <f>'BKG Bank'!#REF!</f>
        <v>#REF!</v>
      </c>
      <c r="D815" s="79" t="str" cm="1">
        <f t="array" ref="D81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815" s="79" t="str" cm="1">
        <f t="array" ref="E81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815" s="80" t="str" cm="1">
        <f t="array" ref="F81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815" s="80" t="str" cm="1">
        <f t="array" ref="G81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815" s="80" t="str" cm="1">
        <f t="array" ref="H81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815" s="78" t="str" cm="1">
        <f t="array" ref="I81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816" spans="1:9" hidden="1" x14ac:dyDescent="0.3">
      <c r="A816" s="82" t="str" cm="1">
        <f t="array" ref="A81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816" s="79" t="e">
        <f>'BKG Bank'!#REF!</f>
        <v>#REF!</v>
      </c>
      <c r="C816" s="108" t="e">
        <f>'BKG Bank'!#REF!</f>
        <v>#REF!</v>
      </c>
      <c r="D816" s="79" t="str" cm="1">
        <f t="array" ref="D81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816" s="79" t="str" cm="1">
        <f t="array" ref="E81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816" s="80" t="str" cm="1">
        <f t="array" ref="F81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816" s="80" t="str" cm="1">
        <f t="array" ref="G81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816" s="80" t="str" cm="1">
        <f t="array" ref="H81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816" s="78" t="str" cm="1">
        <f t="array" ref="I81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817" spans="1:9" hidden="1" x14ac:dyDescent="0.3">
      <c r="A817" s="82" t="str" cm="1">
        <f t="array" ref="A81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817" s="79" t="e">
        <f>'BKG Bank'!#REF!</f>
        <v>#REF!</v>
      </c>
      <c r="C817" s="108" t="e">
        <f>'BKG Bank'!#REF!</f>
        <v>#REF!</v>
      </c>
      <c r="D817" s="79" t="str" cm="1">
        <f t="array" ref="D81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817" s="79" t="str" cm="1">
        <f t="array" ref="E81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817" s="80" t="str" cm="1">
        <f t="array" ref="F81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817" s="80" t="str" cm="1">
        <f t="array" ref="G81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817" s="80" t="str" cm="1">
        <f t="array" ref="H81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817" s="78" t="str" cm="1">
        <f t="array" ref="I81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818" spans="1:9" hidden="1" x14ac:dyDescent="0.3">
      <c r="A818" s="82" t="str" cm="1">
        <f t="array" ref="A81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818" s="79" t="e">
        <f>'BKG Bank'!#REF!</f>
        <v>#REF!</v>
      </c>
      <c r="C818" s="108" t="e">
        <f>'BKG Bank'!#REF!</f>
        <v>#REF!</v>
      </c>
      <c r="D818" s="79" t="str" cm="1">
        <f t="array" ref="D81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818" s="79" t="str" cm="1">
        <f t="array" ref="E81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818" s="80" t="str" cm="1">
        <f t="array" ref="F81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818" s="80" t="str" cm="1">
        <f t="array" ref="G81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818" s="80" t="str" cm="1">
        <f t="array" ref="H81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818" s="78" t="str" cm="1">
        <f t="array" ref="I81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819" spans="1:9" hidden="1" x14ac:dyDescent="0.3">
      <c r="A819" s="82" t="str" cm="1">
        <f t="array" ref="A81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819" s="79" t="e">
        <f>'BKG Bank'!#REF!</f>
        <v>#REF!</v>
      </c>
      <c r="C819" s="108" t="e">
        <f>'BKG Bank'!#REF!</f>
        <v>#REF!</v>
      </c>
      <c r="D819" s="79" t="str" cm="1">
        <f t="array" ref="D81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819" s="79" t="str" cm="1">
        <f t="array" ref="E81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819" s="80" t="str" cm="1">
        <f t="array" ref="F81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819" s="80" t="str" cm="1">
        <f t="array" ref="G81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819" s="80" t="str" cm="1">
        <f t="array" ref="H81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819" s="78" t="str" cm="1">
        <f t="array" ref="I81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820" spans="1:9" hidden="1" x14ac:dyDescent="0.3">
      <c r="A820" s="82" t="str" cm="1">
        <f t="array" ref="A82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820" s="79" t="e">
        <f>'BKG Bank'!#REF!</f>
        <v>#REF!</v>
      </c>
      <c r="C820" s="108" t="e">
        <f>'BKG Bank'!#REF!</f>
        <v>#REF!</v>
      </c>
      <c r="D820" s="79" t="str" cm="1">
        <f t="array" ref="D82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820" s="79" t="str" cm="1">
        <f t="array" ref="E82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820" s="80" t="str" cm="1">
        <f t="array" ref="F82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820" s="80" t="str" cm="1">
        <f t="array" ref="G82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820" s="80" t="str" cm="1">
        <f t="array" ref="H82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820" s="78" t="str" cm="1">
        <f t="array" ref="I82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821" spans="1:9" hidden="1" x14ac:dyDescent="0.3">
      <c r="A821" s="82" t="str" cm="1">
        <f t="array" ref="A82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821" s="79" t="e">
        <f>'BKG Bank'!#REF!</f>
        <v>#REF!</v>
      </c>
      <c r="C821" s="108" t="e">
        <f>'BKG Bank'!#REF!</f>
        <v>#REF!</v>
      </c>
      <c r="D821" s="79" t="str" cm="1">
        <f t="array" ref="D82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821" s="79" t="str" cm="1">
        <f t="array" ref="E82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821" s="80" t="str" cm="1">
        <f t="array" ref="F82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821" s="80" t="str" cm="1">
        <f t="array" ref="G82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821" s="80" t="str" cm="1">
        <f t="array" ref="H82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821" s="78" t="str" cm="1">
        <f t="array" ref="I82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822" spans="1:9" hidden="1" x14ac:dyDescent="0.3">
      <c r="A822" s="82" t="str" cm="1">
        <f t="array" ref="A82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822" s="79" t="e">
        <f>'BKG Bank'!#REF!</f>
        <v>#REF!</v>
      </c>
      <c r="C822" s="108" t="e">
        <f>'BKG Bank'!#REF!</f>
        <v>#REF!</v>
      </c>
      <c r="D822" s="79" t="str" cm="1">
        <f t="array" ref="D82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822" s="79" t="str" cm="1">
        <f t="array" ref="E82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822" s="80" t="str" cm="1">
        <f t="array" ref="F82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822" s="80" t="str" cm="1">
        <f t="array" ref="G82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822" s="80" t="str" cm="1">
        <f t="array" ref="H82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822" s="78" t="str" cm="1">
        <f t="array" ref="I82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823" spans="1:9" hidden="1" x14ac:dyDescent="0.3">
      <c r="A823" s="82" t="str" cm="1">
        <f t="array" ref="A82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823" s="79" t="e">
        <f>'BKG Bank'!#REF!</f>
        <v>#REF!</v>
      </c>
      <c r="C823" s="108" t="e">
        <f>'BKG Bank'!#REF!</f>
        <v>#REF!</v>
      </c>
      <c r="D823" s="79" t="str" cm="1">
        <f t="array" ref="D82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823" s="79" t="str" cm="1">
        <f t="array" ref="E82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823" s="80" t="str" cm="1">
        <f t="array" ref="F82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823" s="80" t="str" cm="1">
        <f t="array" ref="G82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823" s="80" t="str" cm="1">
        <f t="array" ref="H82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823" s="78" t="str" cm="1">
        <f t="array" ref="I82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824" spans="1:9" hidden="1" x14ac:dyDescent="0.3">
      <c r="A824" s="82" t="str" cm="1">
        <f t="array" ref="A82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824" s="79" t="e">
        <f>'BKG Bank'!#REF!</f>
        <v>#REF!</v>
      </c>
      <c r="C824" s="108" t="e">
        <f>'BKG Bank'!#REF!</f>
        <v>#REF!</v>
      </c>
      <c r="D824" s="79" t="str" cm="1">
        <f t="array" ref="D82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824" s="79" t="str" cm="1">
        <f t="array" ref="E82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824" s="80" t="str" cm="1">
        <f t="array" ref="F82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824" s="80" t="str" cm="1">
        <f t="array" ref="G82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824" s="80" t="str" cm="1">
        <f t="array" ref="H82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824" s="78" t="str" cm="1">
        <f t="array" ref="I82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825" spans="1:9" hidden="1" x14ac:dyDescent="0.3">
      <c r="A825" s="82" t="str" cm="1">
        <f t="array" ref="A82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825" s="79" t="e">
        <f>'BKG Bank'!#REF!</f>
        <v>#REF!</v>
      </c>
      <c r="C825" s="108" t="e">
        <f>'BKG Bank'!#REF!</f>
        <v>#REF!</v>
      </c>
      <c r="D825" s="79" t="str" cm="1">
        <f t="array" ref="D82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825" s="79" t="str" cm="1">
        <f t="array" ref="E82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825" s="80" t="str" cm="1">
        <f t="array" ref="F82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825" s="80" t="str" cm="1">
        <f t="array" ref="G82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825" s="80" t="str" cm="1">
        <f t="array" ref="H82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825" s="78" t="str" cm="1">
        <f t="array" ref="I82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826" spans="1:9" hidden="1" x14ac:dyDescent="0.3">
      <c r="A826" s="82" t="str" cm="1">
        <f t="array" ref="A82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826" s="79" t="e">
        <f>'BKG Bank'!#REF!</f>
        <v>#REF!</v>
      </c>
      <c r="C826" s="108" t="e">
        <f>'BKG Bank'!#REF!</f>
        <v>#REF!</v>
      </c>
      <c r="D826" s="79" t="str" cm="1">
        <f t="array" ref="D82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826" s="79" t="str" cm="1">
        <f t="array" ref="E82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826" s="80" t="str" cm="1">
        <f t="array" ref="F82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826" s="80" t="str" cm="1">
        <f t="array" ref="G82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826" s="80" t="str" cm="1">
        <f t="array" ref="H82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826" s="78" t="str" cm="1">
        <f t="array" ref="I82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827" spans="1:9" hidden="1" x14ac:dyDescent="0.3">
      <c r="A827" s="82" t="str" cm="1">
        <f t="array" ref="A82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827" s="79" t="e">
        <f>'BKG Bank'!#REF!</f>
        <v>#REF!</v>
      </c>
      <c r="C827" s="108" t="e">
        <f>'BKG Bank'!#REF!</f>
        <v>#REF!</v>
      </c>
      <c r="D827" s="79" t="str" cm="1">
        <f t="array" ref="D82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827" s="79" t="str" cm="1">
        <f t="array" ref="E82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827" s="80" t="str" cm="1">
        <f t="array" ref="F82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827" s="80" t="str" cm="1">
        <f t="array" ref="G82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827" s="80" t="str" cm="1">
        <f t="array" ref="H82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827" s="78" t="str" cm="1">
        <f t="array" ref="I82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828" spans="1:9" hidden="1" x14ac:dyDescent="0.3">
      <c r="A828" s="82" t="str" cm="1">
        <f t="array" ref="A82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828" s="79" t="e">
        <f>'BKG Bank'!#REF!</f>
        <v>#REF!</v>
      </c>
      <c r="C828" s="108" t="e">
        <f>'BKG Bank'!#REF!</f>
        <v>#REF!</v>
      </c>
      <c r="D828" s="79" t="str" cm="1">
        <f t="array" ref="D82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828" s="79" t="str" cm="1">
        <f t="array" ref="E82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828" s="80" t="str" cm="1">
        <f t="array" ref="F82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828" s="80" t="str" cm="1">
        <f t="array" ref="G82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828" s="80" t="str" cm="1">
        <f t="array" ref="H82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828" s="78" t="str" cm="1">
        <f t="array" ref="I82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829" spans="1:9" hidden="1" x14ac:dyDescent="0.3">
      <c r="A829" s="82" t="str" cm="1">
        <f t="array" ref="A82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829" s="79" t="e">
        <f>'BKG Bank'!#REF!</f>
        <v>#REF!</v>
      </c>
      <c r="C829" s="108" t="e">
        <f>'BKG Bank'!#REF!</f>
        <v>#REF!</v>
      </c>
      <c r="D829" s="79" t="str" cm="1">
        <f t="array" ref="D82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829" s="79" t="str" cm="1">
        <f t="array" ref="E82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829" s="80" t="str" cm="1">
        <f t="array" ref="F82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829" s="80" t="str" cm="1">
        <f t="array" ref="G82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829" s="80" t="str" cm="1">
        <f t="array" ref="H82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829" s="78" t="str" cm="1">
        <f t="array" ref="I82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830" spans="1:9" hidden="1" x14ac:dyDescent="0.3">
      <c r="A830" s="82" t="str" cm="1">
        <f t="array" ref="A83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830" s="79" t="e">
        <f>'BKG Bank'!#REF!</f>
        <v>#REF!</v>
      </c>
      <c r="C830" s="108" t="e">
        <f>'BKG Bank'!#REF!</f>
        <v>#REF!</v>
      </c>
      <c r="D830" s="79" t="str" cm="1">
        <f t="array" ref="D83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830" s="79" t="str" cm="1">
        <f t="array" ref="E83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830" s="80" t="str" cm="1">
        <f t="array" ref="F83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830" s="80" t="str" cm="1">
        <f t="array" ref="G83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830" s="80" t="str" cm="1">
        <f t="array" ref="H83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830" s="78" t="str" cm="1">
        <f t="array" ref="I83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831" spans="1:9" hidden="1" x14ac:dyDescent="0.3">
      <c r="A831" s="82" t="str" cm="1">
        <f t="array" ref="A83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831" s="79" t="e">
        <f>'BKG Bank'!#REF!</f>
        <v>#REF!</v>
      </c>
      <c r="C831" s="108" t="e">
        <f>'BKG Bank'!#REF!</f>
        <v>#REF!</v>
      </c>
      <c r="D831" s="79" t="str" cm="1">
        <f t="array" ref="D83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831" s="79" t="str" cm="1">
        <f t="array" ref="E83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831" s="80" t="str" cm="1">
        <f t="array" ref="F83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831" s="80" t="str" cm="1">
        <f t="array" ref="G83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831" s="80" t="str" cm="1">
        <f t="array" ref="H83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831" s="78" t="str" cm="1">
        <f t="array" ref="I83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832" spans="1:9" hidden="1" x14ac:dyDescent="0.3">
      <c r="A832" s="82" t="str" cm="1">
        <f t="array" ref="A83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832" s="79" t="e">
        <f>'BKG Bank'!#REF!</f>
        <v>#REF!</v>
      </c>
      <c r="C832" s="108" t="e">
        <f>'BKG Bank'!#REF!</f>
        <v>#REF!</v>
      </c>
      <c r="D832" s="79" t="str" cm="1">
        <f t="array" ref="D83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832" s="79" t="str" cm="1">
        <f t="array" ref="E83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832" s="80" t="str" cm="1">
        <f t="array" ref="F83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832" s="80" t="str" cm="1">
        <f t="array" ref="G83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832" s="80" t="str" cm="1">
        <f t="array" ref="H83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832" s="78" t="str" cm="1">
        <f t="array" ref="I83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833" spans="1:9" hidden="1" x14ac:dyDescent="0.3">
      <c r="A833" s="82" t="str" cm="1">
        <f t="array" ref="A83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833" s="79" t="e">
        <f>'BKG Bank'!#REF!</f>
        <v>#REF!</v>
      </c>
      <c r="C833" s="108" t="e">
        <f>'BKG Bank'!#REF!</f>
        <v>#REF!</v>
      </c>
      <c r="D833" s="79" t="str" cm="1">
        <f t="array" ref="D83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833" s="79" t="str" cm="1">
        <f t="array" ref="E83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833" s="80" t="str" cm="1">
        <f t="array" ref="F83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833" s="80" t="str" cm="1">
        <f t="array" ref="G83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833" s="80" t="str" cm="1">
        <f t="array" ref="H83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833" s="78" t="str" cm="1">
        <f t="array" ref="I83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834" spans="1:9" hidden="1" x14ac:dyDescent="0.3">
      <c r="A834" s="82" t="str" cm="1">
        <f t="array" ref="A83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834" s="79" t="e">
        <f>'BKG Bank'!#REF!</f>
        <v>#REF!</v>
      </c>
      <c r="C834" s="108" t="e">
        <f>'BKG Bank'!#REF!</f>
        <v>#REF!</v>
      </c>
      <c r="D834" s="79" t="str" cm="1">
        <f t="array" ref="D83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834" s="79" t="str" cm="1">
        <f t="array" ref="E83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834" s="80" t="str" cm="1">
        <f t="array" ref="F83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834" s="80" t="str" cm="1">
        <f t="array" ref="G83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834" s="80" t="str" cm="1">
        <f t="array" ref="H83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834" s="78" t="str" cm="1">
        <f t="array" ref="I83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835" spans="1:9" hidden="1" x14ac:dyDescent="0.3">
      <c r="A835" s="82" t="str" cm="1">
        <f t="array" ref="A83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835" s="79" t="e">
        <f>'BKG Bank'!#REF!</f>
        <v>#REF!</v>
      </c>
      <c r="C835" s="108" t="e">
        <f>'BKG Bank'!#REF!</f>
        <v>#REF!</v>
      </c>
      <c r="D835" s="79" t="str" cm="1">
        <f t="array" ref="D83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835" s="79" t="str" cm="1">
        <f t="array" ref="E83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835" s="80" t="str" cm="1">
        <f t="array" ref="F83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835" s="80" t="str" cm="1">
        <f t="array" ref="G83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835" s="80" t="str" cm="1">
        <f t="array" ref="H83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835" s="78" t="str" cm="1">
        <f t="array" ref="I83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836" spans="1:9" hidden="1" x14ac:dyDescent="0.3">
      <c r="A836" s="82" t="str" cm="1">
        <f t="array" ref="A83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836" s="79" t="e">
        <f>'BKG Bank'!#REF!</f>
        <v>#REF!</v>
      </c>
      <c r="C836" s="108" t="e">
        <f>'BKG Bank'!#REF!</f>
        <v>#REF!</v>
      </c>
      <c r="D836" s="79" t="str" cm="1">
        <f t="array" ref="D83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836" s="79" t="str" cm="1">
        <f t="array" ref="E83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836" s="80" t="str" cm="1">
        <f t="array" ref="F83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836" s="80" t="str" cm="1">
        <f t="array" ref="G83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836" s="80" t="str" cm="1">
        <f t="array" ref="H83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836" s="78" t="str" cm="1">
        <f t="array" ref="I83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837" spans="1:9" hidden="1" x14ac:dyDescent="0.3">
      <c r="A837" s="82" t="str" cm="1">
        <f t="array" ref="A83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837" s="79" t="e">
        <f>'BKG Bank'!#REF!</f>
        <v>#REF!</v>
      </c>
      <c r="C837" s="108" t="e">
        <f>'BKG Bank'!#REF!</f>
        <v>#REF!</v>
      </c>
      <c r="D837" s="79" t="str" cm="1">
        <f t="array" ref="D83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837" s="79" t="str" cm="1">
        <f t="array" ref="E83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837" s="80" t="str" cm="1">
        <f t="array" ref="F83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837" s="80" t="str" cm="1">
        <f t="array" ref="G83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837" s="80" t="str" cm="1">
        <f t="array" ref="H83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837" s="78" t="str" cm="1">
        <f t="array" ref="I83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838" spans="1:9" hidden="1" x14ac:dyDescent="0.3">
      <c r="A838" s="82" t="str" cm="1">
        <f t="array" ref="A83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838" s="79" t="e">
        <f>'BKG Bank'!#REF!</f>
        <v>#REF!</v>
      </c>
      <c r="C838" s="108" t="e">
        <f>'BKG Bank'!#REF!</f>
        <v>#REF!</v>
      </c>
      <c r="D838" s="79" t="str" cm="1">
        <f t="array" ref="D83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838" s="79" t="str" cm="1">
        <f t="array" ref="E83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838" s="80" t="str" cm="1">
        <f t="array" ref="F83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838" s="80" t="str" cm="1">
        <f t="array" ref="G83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838" s="80" t="str" cm="1">
        <f t="array" ref="H83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838" s="78" t="str" cm="1">
        <f t="array" ref="I83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839" spans="1:9" hidden="1" x14ac:dyDescent="0.3">
      <c r="A839" s="82" t="str" cm="1">
        <f t="array" ref="A83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839" s="79" t="e">
        <f>'BKG Bank'!#REF!</f>
        <v>#REF!</v>
      </c>
      <c r="C839" s="108" t="e">
        <f>'BKG Bank'!#REF!</f>
        <v>#REF!</v>
      </c>
      <c r="D839" s="79" t="str" cm="1">
        <f t="array" ref="D83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839" s="79" t="str" cm="1">
        <f t="array" ref="E83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839" s="80" t="str" cm="1">
        <f t="array" ref="F83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839" s="80" t="str" cm="1">
        <f t="array" ref="G83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839" s="80" t="str" cm="1">
        <f t="array" ref="H83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839" s="78" t="str" cm="1">
        <f t="array" ref="I83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840" spans="1:9" hidden="1" x14ac:dyDescent="0.3">
      <c r="A840" s="82" t="str" cm="1">
        <f t="array" ref="A84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840" s="79" t="e">
        <f>'BKG Bank'!#REF!</f>
        <v>#REF!</v>
      </c>
      <c r="C840" s="108" t="e">
        <f>'BKG Bank'!#REF!</f>
        <v>#REF!</v>
      </c>
      <c r="D840" s="79" t="str" cm="1">
        <f t="array" ref="D84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840" s="79" t="str" cm="1">
        <f t="array" ref="E84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840" s="80" t="str" cm="1">
        <f t="array" ref="F84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840" s="80" t="str" cm="1">
        <f t="array" ref="G84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840" s="80" t="str" cm="1">
        <f t="array" ref="H84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840" s="78" t="str" cm="1">
        <f t="array" ref="I84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841" spans="1:9" hidden="1" x14ac:dyDescent="0.3">
      <c r="A841" s="82" t="str" cm="1">
        <f t="array" ref="A84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841" s="79" t="e">
        <f>'BKG Bank'!#REF!</f>
        <v>#REF!</v>
      </c>
      <c r="C841" s="108" t="e">
        <f>'BKG Bank'!#REF!</f>
        <v>#REF!</v>
      </c>
      <c r="D841" s="79" t="str" cm="1">
        <f t="array" ref="D84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841" s="79" t="str" cm="1">
        <f t="array" ref="E84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841" s="80" t="str" cm="1">
        <f t="array" ref="F84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841" s="80" t="str" cm="1">
        <f t="array" ref="G84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841" s="80" t="str" cm="1">
        <f t="array" ref="H84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841" s="78" t="str" cm="1">
        <f t="array" ref="I84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842" spans="1:9" hidden="1" x14ac:dyDescent="0.3">
      <c r="A842" s="82" t="str" cm="1">
        <f t="array" ref="A84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842" s="79" t="e">
        <f>'BKG Bank'!#REF!</f>
        <v>#REF!</v>
      </c>
      <c r="C842" s="108" t="e">
        <f>'BKG Bank'!#REF!</f>
        <v>#REF!</v>
      </c>
      <c r="D842" s="79" t="str" cm="1">
        <f t="array" ref="D84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842" s="79" t="str" cm="1">
        <f t="array" ref="E84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842" s="80" t="str" cm="1">
        <f t="array" ref="F84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842" s="80" t="str" cm="1">
        <f t="array" ref="G84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842" s="80" t="str" cm="1">
        <f t="array" ref="H84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842" s="78" t="str" cm="1">
        <f t="array" ref="I84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843" spans="1:9" hidden="1" x14ac:dyDescent="0.3">
      <c r="A843" s="82" t="str" cm="1">
        <f t="array" ref="A84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843" s="79" t="e">
        <f>'BKG Bank'!#REF!</f>
        <v>#REF!</v>
      </c>
      <c r="C843" s="108" t="e">
        <f>'BKG Bank'!#REF!</f>
        <v>#REF!</v>
      </c>
      <c r="D843" s="79" t="str" cm="1">
        <f t="array" ref="D84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843" s="79" t="str" cm="1">
        <f t="array" ref="E84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843" s="80" t="str" cm="1">
        <f t="array" ref="F84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843" s="80" t="str" cm="1">
        <f t="array" ref="G84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843" s="80" t="str" cm="1">
        <f t="array" ref="H84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843" s="78" t="str" cm="1">
        <f t="array" ref="I84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844" spans="1:9" hidden="1" x14ac:dyDescent="0.3">
      <c r="A844" s="82" t="str" cm="1">
        <f t="array" ref="A84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844" s="79" t="e">
        <f>'BKG Bank'!#REF!</f>
        <v>#REF!</v>
      </c>
      <c r="C844" s="108" t="e">
        <f>'BKG Bank'!#REF!</f>
        <v>#REF!</v>
      </c>
      <c r="D844" s="79" t="str" cm="1">
        <f t="array" ref="D84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844" s="79" t="str" cm="1">
        <f t="array" ref="E84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844" s="80" t="str" cm="1">
        <f t="array" ref="F84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844" s="80" t="str" cm="1">
        <f t="array" ref="G84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844" s="80" t="str" cm="1">
        <f t="array" ref="H84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844" s="78" t="str" cm="1">
        <f t="array" ref="I84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845" spans="1:9" hidden="1" x14ac:dyDescent="0.3">
      <c r="A845" s="82" t="str" cm="1">
        <f t="array" ref="A84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845" s="79" t="e">
        <f>'BKG Bank'!#REF!</f>
        <v>#REF!</v>
      </c>
      <c r="C845" s="108" t="e">
        <f>'BKG Bank'!#REF!</f>
        <v>#REF!</v>
      </c>
      <c r="D845" s="79" t="str" cm="1">
        <f t="array" ref="D84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845" s="79" t="str" cm="1">
        <f t="array" ref="E84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845" s="80" t="str" cm="1">
        <f t="array" ref="F84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845" s="80" t="str" cm="1">
        <f t="array" ref="G84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845" s="80" t="str" cm="1">
        <f t="array" ref="H84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845" s="78" t="str" cm="1">
        <f t="array" ref="I84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846" spans="1:9" hidden="1" x14ac:dyDescent="0.3">
      <c r="A846" s="82" t="str" cm="1">
        <f t="array" ref="A84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846" s="79" t="e">
        <f>'BKG Bank'!#REF!</f>
        <v>#REF!</v>
      </c>
      <c r="C846" s="108" t="e">
        <f>'BKG Bank'!#REF!</f>
        <v>#REF!</v>
      </c>
      <c r="D846" s="79" t="str" cm="1">
        <f t="array" ref="D84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846" s="79" t="str" cm="1">
        <f t="array" ref="E84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846" s="80" t="str" cm="1">
        <f t="array" ref="F84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846" s="80" t="str" cm="1">
        <f t="array" ref="G84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846" s="80" t="str" cm="1">
        <f t="array" ref="H84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846" s="78" t="str" cm="1">
        <f t="array" ref="I84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847" spans="1:9" hidden="1" x14ac:dyDescent="0.3">
      <c r="A847" s="82" t="str" cm="1">
        <f t="array" ref="A84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847" s="79" t="e">
        <f>'BKG Bank'!#REF!</f>
        <v>#REF!</v>
      </c>
      <c r="C847" s="108" t="e">
        <f>'BKG Bank'!#REF!</f>
        <v>#REF!</v>
      </c>
      <c r="D847" s="79" t="str" cm="1">
        <f t="array" ref="D84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847" s="79" t="str" cm="1">
        <f t="array" ref="E84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847" s="80" t="str" cm="1">
        <f t="array" ref="F84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847" s="80" t="str" cm="1">
        <f t="array" ref="G84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847" s="80" t="str" cm="1">
        <f t="array" ref="H84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847" s="78" t="str" cm="1">
        <f t="array" ref="I84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848" spans="1:9" hidden="1" x14ac:dyDescent="0.3">
      <c r="A848" s="82" t="str" cm="1">
        <f t="array" ref="A84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848" s="79" t="e">
        <f>'BKG Bank'!#REF!</f>
        <v>#REF!</v>
      </c>
      <c r="C848" s="108" t="e">
        <f>'BKG Bank'!#REF!</f>
        <v>#REF!</v>
      </c>
      <c r="D848" s="79" t="str" cm="1">
        <f t="array" ref="D84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848" s="79" t="str" cm="1">
        <f t="array" ref="E84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848" s="80" t="str" cm="1">
        <f t="array" ref="F84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848" s="80" t="str" cm="1">
        <f t="array" ref="G84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848" s="80" t="str" cm="1">
        <f t="array" ref="H84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848" s="78" t="str" cm="1">
        <f t="array" ref="I84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849" spans="1:9" hidden="1" x14ac:dyDescent="0.3">
      <c r="A849" s="82" t="str" cm="1">
        <f t="array" ref="A84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849" s="79" t="e">
        <f>'BKG Bank'!#REF!</f>
        <v>#REF!</v>
      </c>
      <c r="C849" s="108" t="e">
        <f>'BKG Bank'!#REF!</f>
        <v>#REF!</v>
      </c>
      <c r="D849" s="79" t="str" cm="1">
        <f t="array" ref="D84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849" s="79" t="str" cm="1">
        <f t="array" ref="E84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849" s="80" t="str" cm="1">
        <f t="array" ref="F84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849" s="80" t="str" cm="1">
        <f t="array" ref="G84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849" s="80" t="str" cm="1">
        <f t="array" ref="H84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849" s="78" t="str" cm="1">
        <f t="array" ref="I84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850" spans="1:9" hidden="1" x14ac:dyDescent="0.3">
      <c r="A850" s="82" t="str" cm="1">
        <f t="array" ref="A85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850" s="79" t="e">
        <f>'BKG Bank'!#REF!</f>
        <v>#REF!</v>
      </c>
      <c r="C850" s="108" t="e">
        <f>'BKG Bank'!#REF!</f>
        <v>#REF!</v>
      </c>
      <c r="D850" s="79" t="str" cm="1">
        <f t="array" ref="D85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850" s="79" t="str" cm="1">
        <f t="array" ref="E85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850" s="80" t="str" cm="1">
        <f t="array" ref="F85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850" s="80" t="str" cm="1">
        <f t="array" ref="G85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850" s="80" t="str" cm="1">
        <f t="array" ref="H85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850" s="78" t="str" cm="1">
        <f t="array" ref="I85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851" spans="1:9" hidden="1" x14ac:dyDescent="0.3">
      <c r="A851" s="82" t="str" cm="1">
        <f t="array" ref="A85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851" s="79" t="e">
        <f>'BKG Bank'!#REF!</f>
        <v>#REF!</v>
      </c>
      <c r="C851" s="108" t="e">
        <f>'BKG Bank'!#REF!</f>
        <v>#REF!</v>
      </c>
      <c r="D851" s="79" t="str" cm="1">
        <f t="array" ref="D85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851" s="79" t="str" cm="1">
        <f t="array" ref="E85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851" s="80" t="str" cm="1">
        <f t="array" ref="F85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851" s="80" t="str" cm="1">
        <f t="array" ref="G85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851" s="80" t="str" cm="1">
        <f t="array" ref="H85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851" s="78" t="str" cm="1">
        <f t="array" ref="I85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852" spans="1:9" hidden="1" x14ac:dyDescent="0.3">
      <c r="A852" s="82" t="str" cm="1">
        <f t="array" ref="A85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852" s="79" t="e">
        <f>'BKG Bank'!#REF!</f>
        <v>#REF!</v>
      </c>
      <c r="C852" s="108" t="e">
        <f>'BKG Bank'!#REF!</f>
        <v>#REF!</v>
      </c>
      <c r="D852" s="79" t="str" cm="1">
        <f t="array" ref="D85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852" s="79" t="str" cm="1">
        <f t="array" ref="E85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852" s="80" t="str" cm="1">
        <f t="array" ref="F85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852" s="80" t="str" cm="1">
        <f t="array" ref="G85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852" s="80" t="str" cm="1">
        <f t="array" ref="H85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852" s="78" t="str" cm="1">
        <f t="array" ref="I85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853" spans="1:9" hidden="1" x14ac:dyDescent="0.3">
      <c r="A853" s="82" t="str" cm="1">
        <f t="array" ref="A85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853" s="79" t="e">
        <f>'BKG Bank'!#REF!</f>
        <v>#REF!</v>
      </c>
      <c r="C853" s="108" t="e">
        <f>'BKG Bank'!#REF!</f>
        <v>#REF!</v>
      </c>
      <c r="D853" s="79" t="str" cm="1">
        <f t="array" ref="D85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853" s="79" t="str" cm="1">
        <f t="array" ref="E85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853" s="80" t="str" cm="1">
        <f t="array" ref="F85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853" s="80" t="str" cm="1">
        <f t="array" ref="G85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853" s="80" t="str" cm="1">
        <f t="array" ref="H85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853" s="78" t="str" cm="1">
        <f t="array" ref="I85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854" spans="1:9" hidden="1" x14ac:dyDescent="0.3">
      <c r="A854" s="82" t="str" cm="1">
        <f t="array" ref="A85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854" s="79" t="e">
        <f>'BKG Bank'!#REF!</f>
        <v>#REF!</v>
      </c>
      <c r="C854" s="108" t="e">
        <f>'BKG Bank'!#REF!</f>
        <v>#REF!</v>
      </c>
      <c r="D854" s="79" t="str" cm="1">
        <f t="array" ref="D85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854" s="79" t="str" cm="1">
        <f t="array" ref="E85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854" s="80" t="str" cm="1">
        <f t="array" ref="F85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854" s="80" t="str" cm="1">
        <f t="array" ref="G85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854" s="80" t="str" cm="1">
        <f t="array" ref="H85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854" s="78" t="str" cm="1">
        <f t="array" ref="I85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855" spans="1:9" hidden="1" x14ac:dyDescent="0.3">
      <c r="A855" s="82" t="str" cm="1">
        <f t="array" ref="A85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855" s="79" t="e">
        <f>'BKG Bank'!#REF!</f>
        <v>#REF!</v>
      </c>
      <c r="C855" s="108" t="e">
        <f>'BKG Bank'!#REF!</f>
        <v>#REF!</v>
      </c>
      <c r="D855" s="79" t="str" cm="1">
        <f t="array" ref="D85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855" s="79" t="str" cm="1">
        <f t="array" ref="E85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855" s="80" t="str" cm="1">
        <f t="array" ref="F85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855" s="80" t="str" cm="1">
        <f t="array" ref="G85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855" s="80" t="str" cm="1">
        <f t="array" ref="H85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855" s="78" t="str" cm="1">
        <f t="array" ref="I85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856" spans="1:9" hidden="1" x14ac:dyDescent="0.3">
      <c r="A856" s="82" t="str" cm="1">
        <f t="array" ref="A85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856" s="79" t="e">
        <f>'BKG Bank'!#REF!</f>
        <v>#REF!</v>
      </c>
      <c r="C856" s="108" t="e">
        <f>'BKG Bank'!#REF!</f>
        <v>#REF!</v>
      </c>
      <c r="D856" s="79" t="str" cm="1">
        <f t="array" ref="D85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856" s="79" t="str" cm="1">
        <f t="array" ref="E85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856" s="80" t="str" cm="1">
        <f t="array" ref="F85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856" s="80" t="str" cm="1">
        <f t="array" ref="G85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856" s="80" t="str" cm="1">
        <f t="array" ref="H85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856" s="78" t="str" cm="1">
        <f t="array" ref="I85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857" spans="1:9" hidden="1" x14ac:dyDescent="0.3">
      <c r="A857" s="82" t="str" cm="1">
        <f t="array" ref="A85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857" s="79" t="e">
        <f>'BKG Bank'!#REF!</f>
        <v>#REF!</v>
      </c>
      <c r="C857" s="108" t="e">
        <f>'BKG Bank'!#REF!</f>
        <v>#REF!</v>
      </c>
      <c r="D857" s="79" t="str" cm="1">
        <f t="array" ref="D85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857" s="79" t="str" cm="1">
        <f t="array" ref="E85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857" s="80" t="str" cm="1">
        <f t="array" ref="F85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857" s="80" t="str" cm="1">
        <f t="array" ref="G85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857" s="80" t="str" cm="1">
        <f t="array" ref="H85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857" s="78" t="str" cm="1">
        <f t="array" ref="I85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858" spans="1:9" hidden="1" x14ac:dyDescent="0.3">
      <c r="A858" s="82" t="str" cm="1">
        <f t="array" ref="A85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858" s="79" t="e">
        <f>'BKG Bank'!#REF!</f>
        <v>#REF!</v>
      </c>
      <c r="C858" s="108" t="e">
        <f>'BKG Bank'!#REF!</f>
        <v>#REF!</v>
      </c>
      <c r="D858" s="79" t="str" cm="1">
        <f t="array" ref="D85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858" s="79" t="str" cm="1">
        <f t="array" ref="E85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858" s="80" t="str" cm="1">
        <f t="array" ref="F85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858" s="80" t="str" cm="1">
        <f t="array" ref="G85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858" s="80" t="str" cm="1">
        <f t="array" ref="H85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858" s="78" t="str" cm="1">
        <f t="array" ref="I85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859" spans="1:9" hidden="1" x14ac:dyDescent="0.3">
      <c r="A859" s="82" t="str" cm="1">
        <f t="array" ref="A85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859" s="79" t="e">
        <f>'BKG Bank'!#REF!</f>
        <v>#REF!</v>
      </c>
      <c r="C859" s="108" t="e">
        <f>'BKG Bank'!#REF!</f>
        <v>#REF!</v>
      </c>
      <c r="D859" s="79" t="str" cm="1">
        <f t="array" ref="D85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859" s="79" t="str" cm="1">
        <f t="array" ref="E85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859" s="80" t="str" cm="1">
        <f t="array" ref="F85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859" s="80" t="str" cm="1">
        <f t="array" ref="G85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859" s="80" t="str" cm="1">
        <f t="array" ref="H85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859" s="78" t="str" cm="1">
        <f t="array" ref="I85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860" spans="1:9" hidden="1" x14ac:dyDescent="0.3">
      <c r="A860" s="82" t="str" cm="1">
        <f t="array" ref="A86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860" s="79" t="e">
        <f>'BKG Bank'!#REF!</f>
        <v>#REF!</v>
      </c>
      <c r="C860" s="108" t="e">
        <f>'BKG Bank'!#REF!</f>
        <v>#REF!</v>
      </c>
      <c r="D860" s="79" t="str" cm="1">
        <f t="array" ref="D86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860" s="79" t="str" cm="1">
        <f t="array" ref="E86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860" s="80" t="str" cm="1">
        <f t="array" ref="F86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860" s="80" t="str" cm="1">
        <f t="array" ref="G86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860" s="80" t="str" cm="1">
        <f t="array" ref="H86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860" s="78" t="str" cm="1">
        <f t="array" ref="I86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861" spans="1:9" hidden="1" x14ac:dyDescent="0.3">
      <c r="A861" s="82" t="str" cm="1">
        <f t="array" ref="A86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861" s="79" t="e">
        <f>'BKG Bank'!#REF!</f>
        <v>#REF!</v>
      </c>
      <c r="C861" s="108" t="e">
        <f>'BKG Bank'!#REF!</f>
        <v>#REF!</v>
      </c>
      <c r="D861" s="79" t="str" cm="1">
        <f t="array" ref="D86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861" s="79" t="str" cm="1">
        <f t="array" ref="E86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861" s="80" t="str" cm="1">
        <f t="array" ref="F86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861" s="80" t="str" cm="1">
        <f t="array" ref="G86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861" s="80" t="str" cm="1">
        <f t="array" ref="H86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861" s="78" t="str" cm="1">
        <f t="array" ref="I86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862" spans="1:9" hidden="1" x14ac:dyDescent="0.3">
      <c r="A862" s="82" t="str" cm="1">
        <f t="array" ref="A86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862" s="79" t="e">
        <f>'BKG Bank'!#REF!</f>
        <v>#REF!</v>
      </c>
      <c r="C862" s="108" t="e">
        <f>'BKG Bank'!#REF!</f>
        <v>#REF!</v>
      </c>
      <c r="D862" s="79" t="str" cm="1">
        <f t="array" ref="D86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862" s="79" t="str" cm="1">
        <f t="array" ref="E86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862" s="80" t="str" cm="1">
        <f t="array" ref="F86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862" s="80" t="str" cm="1">
        <f t="array" ref="G86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862" s="80" t="str" cm="1">
        <f t="array" ref="H86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862" s="78" t="str" cm="1">
        <f t="array" ref="I86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863" spans="1:9" hidden="1" x14ac:dyDescent="0.3">
      <c r="A863" s="82" t="str" cm="1">
        <f t="array" ref="A86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863" s="79" t="e">
        <f>'BKG Bank'!#REF!</f>
        <v>#REF!</v>
      </c>
      <c r="C863" s="108" t="e">
        <f>'BKG Bank'!#REF!</f>
        <v>#REF!</v>
      </c>
      <c r="D863" s="79" t="str" cm="1">
        <f t="array" ref="D86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863" s="79" t="str" cm="1">
        <f t="array" ref="E86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863" s="80" t="str" cm="1">
        <f t="array" ref="F86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863" s="80" t="str" cm="1">
        <f t="array" ref="G86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863" s="80" t="str" cm="1">
        <f t="array" ref="H86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863" s="78" t="str" cm="1">
        <f t="array" ref="I86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864" spans="1:9" hidden="1" x14ac:dyDescent="0.3">
      <c r="A864" s="82" t="str" cm="1">
        <f t="array" ref="A86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864" s="79" t="e">
        <f>'BKG Bank'!#REF!</f>
        <v>#REF!</v>
      </c>
      <c r="C864" s="108" t="e">
        <f>'BKG Bank'!#REF!</f>
        <v>#REF!</v>
      </c>
      <c r="D864" s="79" t="str" cm="1">
        <f t="array" ref="D86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864" s="79" t="str" cm="1">
        <f t="array" ref="E86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864" s="80" t="str" cm="1">
        <f t="array" ref="F86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864" s="80" t="str" cm="1">
        <f t="array" ref="G86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864" s="80" t="str" cm="1">
        <f t="array" ref="H86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864" s="78" t="str" cm="1">
        <f t="array" ref="I86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865" spans="1:9" hidden="1" x14ac:dyDescent="0.3">
      <c r="A865" s="82" t="str" cm="1">
        <f t="array" ref="A86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865" s="79" t="e">
        <f>'BKG Bank'!#REF!</f>
        <v>#REF!</v>
      </c>
      <c r="C865" s="108" t="e">
        <f>'BKG Bank'!#REF!</f>
        <v>#REF!</v>
      </c>
      <c r="D865" s="79" t="str" cm="1">
        <f t="array" ref="D86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865" s="79" t="str" cm="1">
        <f t="array" ref="E86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865" s="80" t="str" cm="1">
        <f t="array" ref="F86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865" s="80" t="str" cm="1">
        <f t="array" ref="G86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865" s="80" t="str" cm="1">
        <f t="array" ref="H86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865" s="78" t="str" cm="1">
        <f t="array" ref="I86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866" spans="1:9" hidden="1" x14ac:dyDescent="0.3">
      <c r="A866" s="82" t="str" cm="1">
        <f t="array" ref="A86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866" s="79" t="e">
        <f>'BKG Bank'!#REF!</f>
        <v>#REF!</v>
      </c>
      <c r="C866" s="108" t="e">
        <f>'BKG Bank'!#REF!</f>
        <v>#REF!</v>
      </c>
      <c r="D866" s="79" t="str" cm="1">
        <f t="array" ref="D86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866" s="79" t="str" cm="1">
        <f t="array" ref="E86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866" s="80" t="str" cm="1">
        <f t="array" ref="F86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866" s="80" t="str" cm="1">
        <f t="array" ref="G86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866" s="80" t="str" cm="1">
        <f t="array" ref="H86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866" s="78" t="str" cm="1">
        <f t="array" ref="I86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867" spans="1:9" hidden="1" x14ac:dyDescent="0.3">
      <c r="A867" s="82" t="str" cm="1">
        <f t="array" ref="A86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867" s="79" t="e">
        <f>'BKG Bank'!#REF!</f>
        <v>#REF!</v>
      </c>
      <c r="C867" s="108" t="e">
        <f>'BKG Bank'!#REF!</f>
        <v>#REF!</v>
      </c>
      <c r="D867" s="79" t="str" cm="1">
        <f t="array" ref="D86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867" s="79" t="str" cm="1">
        <f t="array" ref="E86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867" s="80" t="str" cm="1">
        <f t="array" ref="F86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867" s="80" t="str" cm="1">
        <f t="array" ref="G86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867" s="80" t="str" cm="1">
        <f t="array" ref="H86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867" s="78" t="str" cm="1">
        <f t="array" ref="I86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868" spans="1:9" hidden="1" x14ac:dyDescent="0.3">
      <c r="A868" s="82" t="str" cm="1">
        <f t="array" ref="A86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868" s="79" t="e">
        <f>'BKG Bank'!#REF!</f>
        <v>#REF!</v>
      </c>
      <c r="C868" s="108" t="e">
        <f>'BKG Bank'!#REF!</f>
        <v>#REF!</v>
      </c>
      <c r="D868" s="79" t="str" cm="1">
        <f t="array" ref="D86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868" s="79" t="str" cm="1">
        <f t="array" ref="E86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868" s="80" t="str" cm="1">
        <f t="array" ref="F86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868" s="80" t="str" cm="1">
        <f t="array" ref="G86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868" s="80" t="str" cm="1">
        <f t="array" ref="H86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868" s="78" t="str" cm="1">
        <f t="array" ref="I86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869" spans="1:9" hidden="1" x14ac:dyDescent="0.3">
      <c r="A869" s="82" t="str" cm="1">
        <f t="array" ref="A86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869" s="79" t="e">
        <f>'BKG Bank'!#REF!</f>
        <v>#REF!</v>
      </c>
      <c r="C869" s="108" t="e">
        <f>'BKG Bank'!#REF!</f>
        <v>#REF!</v>
      </c>
      <c r="D869" s="79" t="str" cm="1">
        <f t="array" ref="D86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869" s="79" t="str" cm="1">
        <f t="array" ref="E86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869" s="80" t="str" cm="1">
        <f t="array" ref="F86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869" s="80" t="str" cm="1">
        <f t="array" ref="G86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869" s="80" t="str" cm="1">
        <f t="array" ref="H86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869" s="78" t="str" cm="1">
        <f t="array" ref="I86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870" spans="1:9" hidden="1" x14ac:dyDescent="0.3">
      <c r="A870" s="82" t="str" cm="1">
        <f t="array" ref="A87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870" s="79" t="e">
        <f>'BKG Bank'!#REF!</f>
        <v>#REF!</v>
      </c>
      <c r="C870" s="108" t="e">
        <f>'BKG Bank'!#REF!</f>
        <v>#REF!</v>
      </c>
      <c r="D870" s="79" t="str" cm="1">
        <f t="array" ref="D87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870" s="79" t="str" cm="1">
        <f t="array" ref="E87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870" s="80" t="str" cm="1">
        <f t="array" ref="F87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870" s="80" t="str" cm="1">
        <f t="array" ref="G87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870" s="80" t="str" cm="1">
        <f t="array" ref="H87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870" s="78" t="str" cm="1">
        <f t="array" ref="I87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871" spans="1:9" hidden="1" x14ac:dyDescent="0.3">
      <c r="A871" s="82" t="str" cm="1">
        <f t="array" ref="A87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871" s="79" t="e">
        <f>'BKG Bank'!#REF!</f>
        <v>#REF!</v>
      </c>
      <c r="C871" s="108" t="e">
        <f>'BKG Bank'!#REF!</f>
        <v>#REF!</v>
      </c>
      <c r="D871" s="79" t="str" cm="1">
        <f t="array" ref="D87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871" s="79" t="str" cm="1">
        <f t="array" ref="E87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871" s="80" t="str" cm="1">
        <f t="array" ref="F87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871" s="80" t="str" cm="1">
        <f t="array" ref="G87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871" s="80" t="str" cm="1">
        <f t="array" ref="H87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871" s="78" t="str" cm="1">
        <f t="array" ref="I87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872" spans="1:9" hidden="1" x14ac:dyDescent="0.3">
      <c r="A872" s="82" t="str" cm="1">
        <f t="array" ref="A87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872" s="79" t="e">
        <f>'BKG Bank'!#REF!</f>
        <v>#REF!</v>
      </c>
      <c r="C872" s="108" t="e">
        <f>'BKG Bank'!#REF!</f>
        <v>#REF!</v>
      </c>
      <c r="D872" s="79" t="str" cm="1">
        <f t="array" ref="D87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872" s="79" t="str" cm="1">
        <f t="array" ref="E87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872" s="80" t="str" cm="1">
        <f t="array" ref="F87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872" s="80" t="str" cm="1">
        <f t="array" ref="G87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872" s="80" t="str" cm="1">
        <f t="array" ref="H87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872" s="78" t="str" cm="1">
        <f t="array" ref="I87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873" spans="1:9" hidden="1" x14ac:dyDescent="0.3">
      <c r="A873" s="82" t="str" cm="1">
        <f t="array" ref="A87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873" s="79" t="e">
        <f>'BKG Bank'!#REF!</f>
        <v>#REF!</v>
      </c>
      <c r="C873" s="108" t="e">
        <f>'BKG Bank'!#REF!</f>
        <v>#REF!</v>
      </c>
      <c r="D873" s="79" t="str" cm="1">
        <f t="array" ref="D87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873" s="79" t="str" cm="1">
        <f t="array" ref="E87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873" s="80" t="str" cm="1">
        <f t="array" ref="F87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873" s="80" t="str" cm="1">
        <f t="array" ref="G87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873" s="80" t="str" cm="1">
        <f t="array" ref="H87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873" s="78" t="str" cm="1">
        <f t="array" ref="I87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874" spans="1:9" hidden="1" x14ac:dyDescent="0.3">
      <c r="A874" s="82" t="str" cm="1">
        <f t="array" ref="A87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874" s="79" t="e">
        <f>'BKG Bank'!#REF!</f>
        <v>#REF!</v>
      </c>
      <c r="C874" s="108" t="e">
        <f>'BKG Bank'!#REF!</f>
        <v>#REF!</v>
      </c>
      <c r="D874" s="79" t="str" cm="1">
        <f t="array" ref="D87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874" s="79" t="str" cm="1">
        <f t="array" ref="E87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874" s="80" t="str" cm="1">
        <f t="array" ref="F87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874" s="80" t="str" cm="1">
        <f t="array" ref="G87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874" s="80" t="str" cm="1">
        <f t="array" ref="H87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874" s="78" t="str" cm="1">
        <f t="array" ref="I87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875" spans="1:9" hidden="1" x14ac:dyDescent="0.3">
      <c r="A875" s="82" t="str" cm="1">
        <f t="array" ref="A87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875" s="79" t="e">
        <f>'BKG Bank'!#REF!</f>
        <v>#REF!</v>
      </c>
      <c r="C875" s="108" t="e">
        <f>'BKG Bank'!#REF!</f>
        <v>#REF!</v>
      </c>
      <c r="D875" s="79" t="str" cm="1">
        <f t="array" ref="D87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875" s="79" t="str" cm="1">
        <f t="array" ref="E87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875" s="80" t="str" cm="1">
        <f t="array" ref="F87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875" s="80" t="str" cm="1">
        <f t="array" ref="G87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875" s="80" t="str" cm="1">
        <f t="array" ref="H87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875" s="78" t="str" cm="1">
        <f t="array" ref="I87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876" spans="1:9" hidden="1" x14ac:dyDescent="0.3">
      <c r="A876" s="82" t="str" cm="1">
        <f t="array" ref="A87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876" s="79" t="e">
        <f>'BKG Bank'!#REF!</f>
        <v>#REF!</v>
      </c>
      <c r="C876" s="108" t="e">
        <f>'BKG Bank'!#REF!</f>
        <v>#REF!</v>
      </c>
      <c r="D876" s="79" t="str" cm="1">
        <f t="array" ref="D87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876" s="79" t="str" cm="1">
        <f t="array" ref="E87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876" s="80" t="str" cm="1">
        <f t="array" ref="F87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876" s="80" t="str" cm="1">
        <f t="array" ref="G87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876" s="80" t="str" cm="1">
        <f t="array" ref="H87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876" s="78" t="str" cm="1">
        <f t="array" ref="I87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877" spans="1:9" hidden="1" x14ac:dyDescent="0.3">
      <c r="A877" s="82" t="str" cm="1">
        <f t="array" ref="A87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877" s="79" t="e">
        <f>'BKG Bank'!#REF!</f>
        <v>#REF!</v>
      </c>
      <c r="C877" s="108" t="e">
        <f>'BKG Bank'!#REF!</f>
        <v>#REF!</v>
      </c>
      <c r="D877" s="79" t="str" cm="1">
        <f t="array" ref="D87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877" s="79" t="str" cm="1">
        <f t="array" ref="E87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877" s="80" t="str" cm="1">
        <f t="array" ref="F87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877" s="80" t="str" cm="1">
        <f t="array" ref="G87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877" s="80" t="str" cm="1">
        <f t="array" ref="H87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877" s="78" t="str" cm="1">
        <f t="array" ref="I87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878" spans="1:9" hidden="1" x14ac:dyDescent="0.3">
      <c r="A878" s="82" t="str" cm="1">
        <f t="array" ref="A87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878" s="79" t="e">
        <f>'BKG Bank'!#REF!</f>
        <v>#REF!</v>
      </c>
      <c r="C878" s="108" t="e">
        <f>'BKG Bank'!#REF!</f>
        <v>#REF!</v>
      </c>
      <c r="D878" s="79" t="str" cm="1">
        <f t="array" ref="D87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878" s="79" t="str" cm="1">
        <f t="array" ref="E87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878" s="80" t="str" cm="1">
        <f t="array" ref="F87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878" s="80" t="str" cm="1">
        <f t="array" ref="G87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878" s="80" t="str" cm="1">
        <f t="array" ref="H87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878" s="78" t="str" cm="1">
        <f t="array" ref="I87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879" spans="1:9" hidden="1" x14ac:dyDescent="0.3">
      <c r="A879" s="82" t="str" cm="1">
        <f t="array" ref="A87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879" s="79" t="e">
        <f>'BKG Bank'!#REF!</f>
        <v>#REF!</v>
      </c>
      <c r="C879" s="108" t="e">
        <f>'BKG Bank'!#REF!</f>
        <v>#REF!</v>
      </c>
      <c r="D879" s="79" t="str" cm="1">
        <f t="array" ref="D87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879" s="79" t="str" cm="1">
        <f t="array" ref="E87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879" s="80" t="str" cm="1">
        <f t="array" ref="F87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879" s="80" t="str" cm="1">
        <f t="array" ref="G87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879" s="80" t="str" cm="1">
        <f t="array" ref="H87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879" s="78" t="str" cm="1">
        <f t="array" ref="I87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880" spans="1:9" hidden="1" x14ac:dyDescent="0.3">
      <c r="A880" s="82" t="str" cm="1">
        <f t="array" ref="A88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880" s="79" t="e">
        <f>'BKG Bank'!#REF!</f>
        <v>#REF!</v>
      </c>
      <c r="C880" s="108" t="e">
        <f>'BKG Bank'!#REF!</f>
        <v>#REF!</v>
      </c>
      <c r="D880" s="79" t="str" cm="1">
        <f t="array" ref="D88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880" s="79" t="str" cm="1">
        <f t="array" ref="E88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880" s="80" t="str" cm="1">
        <f t="array" ref="F88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880" s="80" t="str" cm="1">
        <f t="array" ref="G88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880" s="80" t="str" cm="1">
        <f t="array" ref="H88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880" s="78" t="str" cm="1">
        <f t="array" ref="I88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881" spans="1:9" hidden="1" x14ac:dyDescent="0.3">
      <c r="A881" s="82" t="str" cm="1">
        <f t="array" ref="A88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881" s="79" t="e">
        <f>'BKG Bank'!#REF!</f>
        <v>#REF!</v>
      </c>
      <c r="C881" s="108" t="e">
        <f>'BKG Bank'!#REF!</f>
        <v>#REF!</v>
      </c>
      <c r="D881" s="79" t="str" cm="1">
        <f t="array" ref="D88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881" s="79" t="str" cm="1">
        <f t="array" ref="E88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881" s="80" t="str" cm="1">
        <f t="array" ref="F88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881" s="80" t="str" cm="1">
        <f t="array" ref="G88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881" s="80" t="str" cm="1">
        <f t="array" ref="H88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881" s="78" t="str" cm="1">
        <f t="array" ref="I88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882" spans="1:9" hidden="1" x14ac:dyDescent="0.3">
      <c r="A882" s="82" t="str" cm="1">
        <f t="array" ref="A88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882" s="79" t="e">
        <f>'BKG Bank'!#REF!</f>
        <v>#REF!</v>
      </c>
      <c r="C882" s="108" t="e">
        <f>'BKG Bank'!#REF!</f>
        <v>#REF!</v>
      </c>
      <c r="D882" s="79" t="str" cm="1">
        <f t="array" ref="D88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882" s="79" t="str" cm="1">
        <f t="array" ref="E88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882" s="80" t="str" cm="1">
        <f t="array" ref="F88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882" s="80" t="str" cm="1">
        <f t="array" ref="G88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882" s="80" t="str" cm="1">
        <f t="array" ref="H88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882" s="78" t="str" cm="1">
        <f t="array" ref="I88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883" spans="1:9" hidden="1" x14ac:dyDescent="0.3">
      <c r="A883" s="82" t="str" cm="1">
        <f t="array" ref="A88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883" s="79" t="e">
        <f>'BKG Bank'!#REF!</f>
        <v>#REF!</v>
      </c>
      <c r="C883" s="108" t="e">
        <f>'BKG Bank'!#REF!</f>
        <v>#REF!</v>
      </c>
      <c r="D883" s="79" t="str" cm="1">
        <f t="array" ref="D88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883" s="79" t="str" cm="1">
        <f t="array" ref="E88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883" s="80" t="str" cm="1">
        <f t="array" ref="F88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883" s="80" t="str" cm="1">
        <f t="array" ref="G88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883" s="80" t="str" cm="1">
        <f t="array" ref="H88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883" s="78" t="str" cm="1">
        <f t="array" ref="I88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884" spans="1:9" hidden="1" x14ac:dyDescent="0.3">
      <c r="A884" s="82" t="str" cm="1">
        <f t="array" ref="A88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884" s="79" t="e">
        <f>'BKG Bank'!#REF!</f>
        <v>#REF!</v>
      </c>
      <c r="C884" s="108" t="e">
        <f>'BKG Bank'!#REF!</f>
        <v>#REF!</v>
      </c>
      <c r="D884" s="79" t="str" cm="1">
        <f t="array" ref="D88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884" s="79" t="str" cm="1">
        <f t="array" ref="E88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884" s="80" t="str" cm="1">
        <f t="array" ref="F88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884" s="80" t="str" cm="1">
        <f t="array" ref="G88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884" s="80" t="str" cm="1">
        <f t="array" ref="H88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884" s="78" t="str" cm="1">
        <f t="array" ref="I88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885" spans="1:9" hidden="1" x14ac:dyDescent="0.3">
      <c r="A885" s="82" t="str" cm="1">
        <f t="array" ref="A88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885" s="79" t="e">
        <f>'BKG Bank'!#REF!</f>
        <v>#REF!</v>
      </c>
      <c r="C885" s="108" t="e">
        <f>'BKG Bank'!#REF!</f>
        <v>#REF!</v>
      </c>
      <c r="D885" s="79" t="str" cm="1">
        <f t="array" ref="D88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885" s="79" t="str" cm="1">
        <f t="array" ref="E88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885" s="80" t="str" cm="1">
        <f t="array" ref="F88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885" s="80" t="str" cm="1">
        <f t="array" ref="G88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885" s="80" t="str" cm="1">
        <f t="array" ref="H88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885" s="78" t="str" cm="1">
        <f t="array" ref="I88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886" spans="1:9" hidden="1" x14ac:dyDescent="0.3">
      <c r="A886" s="82" t="str" cm="1">
        <f t="array" ref="A88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886" s="79" t="e">
        <f>'BKG Bank'!#REF!</f>
        <v>#REF!</v>
      </c>
      <c r="C886" s="108" t="e">
        <f>'BKG Bank'!#REF!</f>
        <v>#REF!</v>
      </c>
      <c r="D886" s="79" t="str" cm="1">
        <f t="array" ref="D88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886" s="79" t="str" cm="1">
        <f t="array" ref="E88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886" s="80" t="str" cm="1">
        <f t="array" ref="F88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886" s="80" t="str" cm="1">
        <f t="array" ref="G88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886" s="80" t="str" cm="1">
        <f t="array" ref="H88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886" s="78" t="str" cm="1">
        <f t="array" ref="I88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887" spans="1:9" hidden="1" x14ac:dyDescent="0.3">
      <c r="A887" s="82" t="str" cm="1">
        <f t="array" ref="A88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887" s="79" t="e">
        <f>'BKG Bank'!#REF!</f>
        <v>#REF!</v>
      </c>
      <c r="C887" s="108" t="e">
        <f>'BKG Bank'!#REF!</f>
        <v>#REF!</v>
      </c>
      <c r="D887" s="79" t="str" cm="1">
        <f t="array" ref="D88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887" s="79" t="str" cm="1">
        <f t="array" ref="E88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887" s="80" t="str" cm="1">
        <f t="array" ref="F88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887" s="80" t="str" cm="1">
        <f t="array" ref="G88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887" s="80" t="str" cm="1">
        <f t="array" ref="H88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887" s="78" t="str" cm="1">
        <f t="array" ref="I88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888" spans="1:9" hidden="1" x14ac:dyDescent="0.3">
      <c r="A888" s="82" t="str" cm="1">
        <f t="array" ref="A88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888" s="79" t="e">
        <f>'BKG Bank'!#REF!</f>
        <v>#REF!</v>
      </c>
      <c r="C888" s="108" t="e">
        <f>'BKG Bank'!#REF!</f>
        <v>#REF!</v>
      </c>
      <c r="D888" s="79" t="str" cm="1">
        <f t="array" ref="D88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888" s="79" t="str" cm="1">
        <f t="array" ref="E88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888" s="80" t="str" cm="1">
        <f t="array" ref="F88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888" s="80" t="str" cm="1">
        <f t="array" ref="G88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888" s="80" t="str" cm="1">
        <f t="array" ref="H88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888" s="78" t="str" cm="1">
        <f t="array" ref="I88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889" spans="1:9" hidden="1" x14ac:dyDescent="0.3">
      <c r="A889" s="82" t="str" cm="1">
        <f t="array" ref="A88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889" s="79" t="e">
        <f>'BKG Bank'!#REF!</f>
        <v>#REF!</v>
      </c>
      <c r="C889" s="108" t="e">
        <f>'BKG Bank'!#REF!</f>
        <v>#REF!</v>
      </c>
      <c r="D889" s="79" t="str" cm="1">
        <f t="array" ref="D88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889" s="79" t="str" cm="1">
        <f t="array" ref="E88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889" s="80" t="str" cm="1">
        <f t="array" ref="F88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889" s="80" t="str" cm="1">
        <f t="array" ref="G88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889" s="80" t="str" cm="1">
        <f t="array" ref="H88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889" s="78" t="str" cm="1">
        <f t="array" ref="I88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890" spans="1:9" hidden="1" x14ac:dyDescent="0.3">
      <c r="A890" s="82" t="str" cm="1">
        <f t="array" ref="A89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890" s="79" t="e">
        <f>'BKG Bank'!#REF!</f>
        <v>#REF!</v>
      </c>
      <c r="C890" s="108" t="e">
        <f>'BKG Bank'!#REF!</f>
        <v>#REF!</v>
      </c>
      <c r="D890" s="79" t="str" cm="1">
        <f t="array" ref="D89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890" s="79" t="str" cm="1">
        <f t="array" ref="E89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890" s="80" t="str" cm="1">
        <f t="array" ref="F89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890" s="80" t="str" cm="1">
        <f t="array" ref="G89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890" s="80" t="str" cm="1">
        <f t="array" ref="H89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890" s="78" t="str" cm="1">
        <f t="array" ref="I89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891" spans="1:9" hidden="1" x14ac:dyDescent="0.3">
      <c r="A891" s="82" t="str" cm="1">
        <f t="array" ref="A89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891" s="79" t="e">
        <f>'BKG Bank'!#REF!</f>
        <v>#REF!</v>
      </c>
      <c r="C891" s="108" t="e">
        <f>'BKG Bank'!#REF!</f>
        <v>#REF!</v>
      </c>
      <c r="D891" s="79" t="str" cm="1">
        <f t="array" ref="D89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891" s="79" t="str" cm="1">
        <f t="array" ref="E89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891" s="80" t="str" cm="1">
        <f t="array" ref="F89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891" s="80" t="str" cm="1">
        <f t="array" ref="G89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891" s="80" t="str" cm="1">
        <f t="array" ref="H89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891" s="78" t="str" cm="1">
        <f t="array" ref="I89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892" spans="1:9" hidden="1" x14ac:dyDescent="0.3">
      <c r="A892" s="82" t="str" cm="1">
        <f t="array" ref="A89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892" s="79" t="e">
        <f>'BKG Bank'!#REF!</f>
        <v>#REF!</v>
      </c>
      <c r="C892" s="108" t="e">
        <f>'BKG Bank'!#REF!</f>
        <v>#REF!</v>
      </c>
      <c r="D892" s="79" t="str" cm="1">
        <f t="array" ref="D89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892" s="79" t="str" cm="1">
        <f t="array" ref="E89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892" s="80" t="str" cm="1">
        <f t="array" ref="F89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892" s="80" t="str" cm="1">
        <f t="array" ref="G89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892" s="80" t="str" cm="1">
        <f t="array" ref="H89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892" s="78" t="str" cm="1">
        <f t="array" ref="I89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893" spans="1:9" hidden="1" x14ac:dyDescent="0.3">
      <c r="A893" s="82" t="str" cm="1">
        <f t="array" ref="A89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893" s="79" t="e">
        <f>'BKG Bank'!#REF!</f>
        <v>#REF!</v>
      </c>
      <c r="C893" s="108" t="e">
        <f>'BKG Bank'!#REF!</f>
        <v>#REF!</v>
      </c>
      <c r="D893" s="79" t="str" cm="1">
        <f t="array" ref="D89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893" s="79" t="str" cm="1">
        <f t="array" ref="E89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893" s="80" t="str" cm="1">
        <f t="array" ref="F89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893" s="80" t="str" cm="1">
        <f t="array" ref="G89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893" s="80" t="str" cm="1">
        <f t="array" ref="H89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893" s="78" t="str" cm="1">
        <f t="array" ref="I89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894" spans="1:9" hidden="1" x14ac:dyDescent="0.3">
      <c r="A894" s="82" t="str" cm="1">
        <f t="array" ref="A89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894" s="79" t="e">
        <f>'BKG Bank'!#REF!</f>
        <v>#REF!</v>
      </c>
      <c r="C894" s="108" t="e">
        <f>'BKG Bank'!#REF!</f>
        <v>#REF!</v>
      </c>
      <c r="D894" s="79" t="str" cm="1">
        <f t="array" ref="D89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894" s="79" t="str" cm="1">
        <f t="array" ref="E89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894" s="80" t="str" cm="1">
        <f t="array" ref="F89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894" s="80" t="str" cm="1">
        <f t="array" ref="G89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894" s="80" t="str" cm="1">
        <f t="array" ref="H89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894" s="78" t="str" cm="1">
        <f t="array" ref="I89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895" spans="1:9" hidden="1" x14ac:dyDescent="0.3">
      <c r="A895" s="82" t="str" cm="1">
        <f t="array" ref="A89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895" s="79" t="e">
        <f>'BKG Bank'!#REF!</f>
        <v>#REF!</v>
      </c>
      <c r="C895" s="108" t="e">
        <f>'BKG Bank'!#REF!</f>
        <v>#REF!</v>
      </c>
      <c r="D895" s="79" t="str" cm="1">
        <f t="array" ref="D89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895" s="79" t="str" cm="1">
        <f t="array" ref="E89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895" s="80" t="str" cm="1">
        <f t="array" ref="F89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895" s="80" t="str" cm="1">
        <f t="array" ref="G89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895" s="80" t="str" cm="1">
        <f t="array" ref="H89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895" s="78" t="str" cm="1">
        <f t="array" ref="I89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896" spans="1:9" hidden="1" x14ac:dyDescent="0.3">
      <c r="A896" s="82" t="str" cm="1">
        <f t="array" ref="A89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896" s="79" t="e">
        <f>'BKG Bank'!#REF!</f>
        <v>#REF!</v>
      </c>
      <c r="C896" s="108" t="e">
        <f>'BKG Bank'!#REF!</f>
        <v>#REF!</v>
      </c>
      <c r="D896" s="79" t="str" cm="1">
        <f t="array" ref="D89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896" s="79" t="str" cm="1">
        <f t="array" ref="E89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896" s="80" t="str" cm="1">
        <f t="array" ref="F89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896" s="80" t="str" cm="1">
        <f t="array" ref="G89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896" s="80" t="str" cm="1">
        <f t="array" ref="H89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896" s="78" t="str" cm="1">
        <f t="array" ref="I89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897" spans="1:9" hidden="1" x14ac:dyDescent="0.3">
      <c r="A897" s="82" t="str" cm="1">
        <f t="array" ref="A89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897" s="79" t="e">
        <f>'BKG Bank'!#REF!</f>
        <v>#REF!</v>
      </c>
      <c r="C897" s="108" t="e">
        <f>'BKG Bank'!#REF!</f>
        <v>#REF!</v>
      </c>
      <c r="D897" s="79" t="str" cm="1">
        <f t="array" ref="D89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897" s="79" t="str" cm="1">
        <f t="array" ref="E89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897" s="80" t="str" cm="1">
        <f t="array" ref="F89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897" s="80" t="str" cm="1">
        <f t="array" ref="G89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897" s="80" t="str" cm="1">
        <f t="array" ref="H89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897" s="78" t="str" cm="1">
        <f t="array" ref="I89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898" spans="1:9" hidden="1" x14ac:dyDescent="0.3">
      <c r="A898" s="82" t="str" cm="1">
        <f t="array" ref="A89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898" s="79" t="e">
        <f>'BKG Bank'!#REF!</f>
        <v>#REF!</v>
      </c>
      <c r="C898" s="108" t="e">
        <f>'BKG Bank'!#REF!</f>
        <v>#REF!</v>
      </c>
      <c r="D898" s="79" t="str" cm="1">
        <f t="array" ref="D89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898" s="79" t="str" cm="1">
        <f t="array" ref="E89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898" s="80" t="str" cm="1">
        <f t="array" ref="F89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898" s="80" t="str" cm="1">
        <f t="array" ref="G89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898" s="80" t="str" cm="1">
        <f t="array" ref="H89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898" s="78" t="str" cm="1">
        <f t="array" ref="I89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899" spans="1:9" hidden="1" x14ac:dyDescent="0.3">
      <c r="A899" s="82" t="str" cm="1">
        <f t="array" ref="A89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899" s="79" t="e">
        <f>'BKG Bank'!#REF!</f>
        <v>#REF!</v>
      </c>
      <c r="C899" s="108" t="e">
        <f>'BKG Bank'!#REF!</f>
        <v>#REF!</v>
      </c>
      <c r="D899" s="79" t="str" cm="1">
        <f t="array" ref="D89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899" s="79" t="str" cm="1">
        <f t="array" ref="E89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899" s="80" t="str" cm="1">
        <f t="array" ref="F89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899" s="80" t="str" cm="1">
        <f t="array" ref="G89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899" s="80" t="str" cm="1">
        <f t="array" ref="H89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899" s="78" t="str" cm="1">
        <f t="array" ref="I89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900" spans="1:9" hidden="1" x14ac:dyDescent="0.3">
      <c r="A900" s="82" t="str" cm="1">
        <f t="array" ref="A90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900" s="79" t="e">
        <f>'BKG Bank'!#REF!</f>
        <v>#REF!</v>
      </c>
      <c r="C900" s="108" t="e">
        <f>'BKG Bank'!#REF!</f>
        <v>#REF!</v>
      </c>
      <c r="D900" s="79" t="str" cm="1">
        <f t="array" ref="D90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900" s="79" t="str" cm="1">
        <f t="array" ref="E90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900" s="80" t="str" cm="1">
        <f t="array" ref="F90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900" s="80" t="str" cm="1">
        <f t="array" ref="G90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900" s="80" t="str" cm="1">
        <f t="array" ref="H90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900" s="78" t="str" cm="1">
        <f t="array" ref="I90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901" spans="1:9" hidden="1" x14ac:dyDescent="0.3">
      <c r="A901" s="82" t="str" cm="1">
        <f t="array" ref="A90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901" s="79" t="e">
        <f>'BKG Bank'!#REF!</f>
        <v>#REF!</v>
      </c>
      <c r="C901" s="108" t="e">
        <f>'BKG Bank'!#REF!</f>
        <v>#REF!</v>
      </c>
      <c r="D901" s="79" t="str" cm="1">
        <f t="array" ref="D90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901" s="79" t="str" cm="1">
        <f t="array" ref="E90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901" s="80" t="str" cm="1">
        <f t="array" ref="F90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901" s="80" t="str" cm="1">
        <f t="array" ref="G90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901" s="80" t="str" cm="1">
        <f t="array" ref="H90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901" s="78" t="str" cm="1">
        <f t="array" ref="I90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902" spans="1:9" hidden="1" x14ac:dyDescent="0.3">
      <c r="A902" s="82" t="str" cm="1">
        <f t="array" ref="A90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902" s="79" t="e">
        <f>'BKG Bank'!#REF!</f>
        <v>#REF!</v>
      </c>
      <c r="C902" s="108" t="e">
        <f>'BKG Bank'!#REF!</f>
        <v>#REF!</v>
      </c>
      <c r="D902" s="79" t="str" cm="1">
        <f t="array" ref="D90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902" s="79" t="str" cm="1">
        <f t="array" ref="E90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902" s="80" t="str" cm="1">
        <f t="array" ref="F90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902" s="80" t="str" cm="1">
        <f t="array" ref="G90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902" s="80" t="str" cm="1">
        <f t="array" ref="H90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902" s="78" t="str" cm="1">
        <f t="array" ref="I90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903" spans="1:9" hidden="1" x14ac:dyDescent="0.3">
      <c r="A903" s="82" t="str" cm="1">
        <f t="array" ref="A90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903" s="79">
        <f>'BKG Bank'!AK3</f>
        <v>0</v>
      </c>
      <c r="C903" s="108">
        <f>'BKG Bank'!AL3</f>
        <v>0</v>
      </c>
      <c r="D903" s="79" t="str" cm="1">
        <f t="array" ref="D90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903" s="79" t="str" cm="1">
        <f t="array" ref="E90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903" s="80" t="str" cm="1">
        <f t="array" ref="F90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903" s="80" t="str" cm="1">
        <f t="array" ref="G90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903" s="80" t="str" cm="1">
        <f t="array" ref="H90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903" s="78" t="str" cm="1">
        <f t="array" ref="I90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904" spans="1:9" hidden="1" x14ac:dyDescent="0.3">
      <c r="A904" s="82" t="str" cm="1">
        <f t="array" ref="A90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904" s="79">
        <f>'BKG Bank'!AK4</f>
        <v>0</v>
      </c>
      <c r="C904" s="108">
        <f>'BKG Bank'!AL4</f>
        <v>0</v>
      </c>
      <c r="D904" s="79" t="str" cm="1">
        <f t="array" ref="D90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904" s="79" t="str" cm="1">
        <f t="array" ref="E90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904" s="80" t="str" cm="1">
        <f t="array" ref="F90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904" s="80" t="str" cm="1">
        <f t="array" ref="G90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904" s="80" t="str" cm="1">
        <f t="array" ref="H90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904" s="78" t="str" cm="1">
        <f t="array" ref="I90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905" spans="1:9" hidden="1" x14ac:dyDescent="0.3">
      <c r="A905" s="82" t="str" cm="1">
        <f t="array" ref="A90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905" s="79">
        <f>'BKG Bank'!AK5</f>
        <v>0</v>
      </c>
      <c r="C905" s="108">
        <f>'BKG Bank'!AL5</f>
        <v>0</v>
      </c>
      <c r="D905" s="79" t="str" cm="1">
        <f t="array" ref="D90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905" s="79" t="str" cm="1">
        <f t="array" ref="E90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905" s="80" t="str" cm="1">
        <f t="array" ref="F90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905" s="80" t="str" cm="1">
        <f t="array" ref="G90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905" s="80" t="str" cm="1">
        <f t="array" ref="H90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905" s="78" t="str" cm="1">
        <f t="array" ref="I90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906" spans="1:9" hidden="1" x14ac:dyDescent="0.3">
      <c r="A906" s="82" t="str" cm="1">
        <f t="array" ref="A90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906" s="79">
        <f>'BKG Bank'!AK6</f>
        <v>0</v>
      </c>
      <c r="C906" s="108">
        <f>'BKG Bank'!AL6</f>
        <v>0</v>
      </c>
      <c r="D906" s="79" t="str" cm="1">
        <f t="array" ref="D90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906" s="79" t="str" cm="1">
        <f t="array" ref="E90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906" s="80" t="str" cm="1">
        <f t="array" ref="F90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906" s="80" t="str" cm="1">
        <f t="array" ref="G90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906" s="80" t="str" cm="1">
        <f t="array" ref="H90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906" s="78" t="str" cm="1">
        <f t="array" ref="I90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907" spans="1:9" hidden="1" x14ac:dyDescent="0.3">
      <c r="A907" s="82" t="str" cm="1">
        <f t="array" ref="A90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907" s="79">
        <f>'BKG Bank'!AK7</f>
        <v>0</v>
      </c>
      <c r="C907" s="108">
        <f>'BKG Bank'!AL7</f>
        <v>0</v>
      </c>
      <c r="D907" s="79" t="str" cm="1">
        <f t="array" ref="D90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907" s="79" t="str" cm="1">
        <f t="array" ref="E90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907" s="80" t="str" cm="1">
        <f t="array" ref="F90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907" s="80" t="str" cm="1">
        <f t="array" ref="G90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907" s="80" t="str" cm="1">
        <f t="array" ref="H90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907" s="78" t="str" cm="1">
        <f t="array" ref="I90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908" spans="1:9" hidden="1" x14ac:dyDescent="0.3">
      <c r="A908" s="82" t="str" cm="1">
        <f t="array" ref="A90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908" s="79">
        <f>'BKG Bank'!AK8</f>
        <v>0</v>
      </c>
      <c r="C908" s="108">
        <f>'BKG Bank'!AL8</f>
        <v>0</v>
      </c>
      <c r="D908" s="79" t="str" cm="1">
        <f t="array" ref="D90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908" s="79" t="str" cm="1">
        <f t="array" ref="E90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908" s="80" t="str" cm="1">
        <f t="array" ref="F90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908" s="80" t="str" cm="1">
        <f t="array" ref="G90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908" s="80" t="str" cm="1">
        <f t="array" ref="H90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908" s="78" t="str" cm="1">
        <f t="array" ref="I90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909" spans="1:9" hidden="1" x14ac:dyDescent="0.3">
      <c r="A909" s="82" t="str" cm="1">
        <f t="array" ref="A90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909" s="79">
        <f>'BKG Bank'!AK9</f>
        <v>0</v>
      </c>
      <c r="C909" s="108">
        <f>'BKG Bank'!AL9</f>
        <v>0</v>
      </c>
      <c r="D909" s="79" t="str" cm="1">
        <f t="array" ref="D90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909" s="79" t="str" cm="1">
        <f t="array" ref="E90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909" s="80" t="str" cm="1">
        <f t="array" ref="F90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909" s="80" t="str" cm="1">
        <f t="array" ref="G90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909" s="80" t="str" cm="1">
        <f t="array" ref="H90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909" s="78" t="str" cm="1">
        <f t="array" ref="I90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910" spans="1:9" hidden="1" x14ac:dyDescent="0.3">
      <c r="A910" s="82" t="str" cm="1">
        <f t="array" ref="A91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910" s="79">
        <f>'BKG Bank'!AK10</f>
        <v>0</v>
      </c>
      <c r="C910" s="108">
        <f>'BKG Bank'!AL10</f>
        <v>0</v>
      </c>
      <c r="D910" s="79" t="str" cm="1">
        <f t="array" ref="D91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910" s="79" t="str" cm="1">
        <f t="array" ref="E91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910" s="80" t="str" cm="1">
        <f t="array" ref="F91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910" s="80" t="str" cm="1">
        <f t="array" ref="G91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910" s="80" t="str" cm="1">
        <f t="array" ref="H91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910" s="78" t="str" cm="1">
        <f t="array" ref="I91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911" spans="1:9" hidden="1" x14ac:dyDescent="0.3">
      <c r="A911" s="82" t="str" cm="1">
        <f t="array" ref="A91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911" s="79">
        <f>'BKG Bank'!AK11</f>
        <v>0</v>
      </c>
      <c r="C911" s="108">
        <f>'BKG Bank'!AL11</f>
        <v>0</v>
      </c>
      <c r="D911" s="79" t="str" cm="1">
        <f t="array" ref="D91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911" s="79" t="str" cm="1">
        <f t="array" ref="E91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911" s="80" t="str" cm="1">
        <f t="array" ref="F91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911" s="80" t="str" cm="1">
        <f t="array" ref="G91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911" s="80" t="str" cm="1">
        <f t="array" ref="H91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911" s="78" t="str" cm="1">
        <f t="array" ref="I91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912" spans="1:9" hidden="1" x14ac:dyDescent="0.3">
      <c r="A912" s="82" t="str" cm="1">
        <f t="array" ref="A91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912" s="79">
        <f>'BKG Bank'!AK12</f>
        <v>0</v>
      </c>
      <c r="C912" s="108">
        <f>'BKG Bank'!AL12</f>
        <v>0</v>
      </c>
      <c r="D912" s="79" t="str" cm="1">
        <f t="array" ref="D91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912" s="79" t="str" cm="1">
        <f t="array" ref="E91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912" s="80" t="str" cm="1">
        <f t="array" ref="F91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912" s="80" t="str" cm="1">
        <f t="array" ref="G91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912" s="80" t="str" cm="1">
        <f t="array" ref="H91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912" s="78" t="str" cm="1">
        <f t="array" ref="I91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913" spans="1:9" hidden="1" x14ac:dyDescent="0.3">
      <c r="A913" s="82" t="str" cm="1">
        <f t="array" ref="A91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913" s="79">
        <f>'BKG Bank'!AK13</f>
        <v>0</v>
      </c>
      <c r="C913" s="108">
        <f>'BKG Bank'!AL13</f>
        <v>0</v>
      </c>
      <c r="D913" s="79" t="str" cm="1">
        <f t="array" ref="D91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913" s="79" t="str" cm="1">
        <f t="array" ref="E91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913" s="80" t="str" cm="1">
        <f t="array" ref="F91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913" s="80" t="str" cm="1">
        <f t="array" ref="G91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913" s="80" t="str" cm="1">
        <f t="array" ref="H91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913" s="78" t="str" cm="1">
        <f t="array" ref="I91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914" spans="1:9" hidden="1" x14ac:dyDescent="0.3">
      <c r="A914" s="82" t="str" cm="1">
        <f t="array" ref="A91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914" s="79">
        <f>'BKG Bank'!AK14</f>
        <v>0</v>
      </c>
      <c r="C914" s="108">
        <f>'BKG Bank'!AL14</f>
        <v>0</v>
      </c>
      <c r="D914" s="79" t="str" cm="1">
        <f t="array" ref="D91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914" s="79" t="str" cm="1">
        <f t="array" ref="E91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914" s="80" t="str" cm="1">
        <f t="array" ref="F91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914" s="80" t="str" cm="1">
        <f t="array" ref="G91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914" s="80" t="str" cm="1">
        <f t="array" ref="H91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914" s="78" t="str" cm="1">
        <f t="array" ref="I91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915" spans="1:9" hidden="1" x14ac:dyDescent="0.3">
      <c r="A915" s="82" t="str" cm="1">
        <f t="array" ref="A91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915" s="79" t="str">
        <f>'BKG Bank'!AK15</f>
        <v>U27978</v>
      </c>
      <c r="C915" s="108">
        <f>'BKG Bank'!AL15</f>
        <v>0.625</v>
      </c>
      <c r="D915" s="79" t="str" cm="1">
        <f t="array" ref="D91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915" s="79" t="str" cm="1">
        <f t="array" ref="E91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915" s="80" t="str" cm="1">
        <f t="array" ref="F91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915" s="80" t="str" cm="1">
        <f t="array" ref="G91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915" s="80" t="str" cm="1">
        <f t="array" ref="H91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915" s="78" t="str" cm="1">
        <f t="array" ref="I91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916" spans="1:9" hidden="1" x14ac:dyDescent="0.3">
      <c r="A916" s="82" t="str" cm="1">
        <f t="array" ref="A91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916" s="79">
        <f>'BKG Bank'!AK16</f>
        <v>0</v>
      </c>
      <c r="C916" s="108">
        <f>'BKG Bank'!AL16</f>
        <v>0</v>
      </c>
      <c r="D916" s="79" t="str" cm="1">
        <f t="array" ref="D91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916" s="79" t="str" cm="1">
        <f t="array" ref="E91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916" s="80" t="str" cm="1">
        <f t="array" ref="F91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916" s="80" t="str" cm="1">
        <f t="array" ref="G91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916" s="80" t="str" cm="1">
        <f t="array" ref="H91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916" s="78" t="str" cm="1">
        <f t="array" ref="I91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917" spans="1:9" hidden="1" x14ac:dyDescent="0.3">
      <c r="A917" s="82" t="str" cm="1">
        <f t="array" ref="A91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917" s="79">
        <f>'BKG Bank'!AK17</f>
        <v>0</v>
      </c>
      <c r="C917" s="108">
        <f>'BKG Bank'!AL17</f>
        <v>0</v>
      </c>
      <c r="D917" s="79" t="str" cm="1">
        <f t="array" ref="D91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917" s="79" t="str" cm="1">
        <f t="array" ref="E91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917" s="80" t="str" cm="1">
        <f t="array" ref="F91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917" s="80" t="str" cm="1">
        <f t="array" ref="G91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917" s="80" t="str" cm="1">
        <f t="array" ref="H91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917" s="78" t="str" cm="1">
        <f t="array" ref="I91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918" spans="1:9" hidden="1" x14ac:dyDescent="0.3">
      <c r="A918" s="82" t="str" cm="1">
        <f t="array" ref="A91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918" s="79">
        <f>'BKG Bank'!AK18</f>
        <v>0</v>
      </c>
      <c r="C918" s="108">
        <f>'BKG Bank'!AL18</f>
        <v>0</v>
      </c>
      <c r="D918" s="79" t="str" cm="1">
        <f t="array" ref="D91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918" s="79" t="str" cm="1">
        <f t="array" ref="E91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918" s="80" t="str" cm="1">
        <f t="array" ref="F91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918" s="80" t="str" cm="1">
        <f t="array" ref="G91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918" s="80" t="str" cm="1">
        <f t="array" ref="H91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918" s="78" t="str" cm="1">
        <f t="array" ref="I91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919" spans="1:9" hidden="1" x14ac:dyDescent="0.3">
      <c r="A919" s="82" t="str" cm="1">
        <f t="array" ref="A91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919" s="79">
        <f>'BKG Bank'!AK19</f>
        <v>0</v>
      </c>
      <c r="C919" s="108">
        <f>'BKG Bank'!AL19</f>
        <v>0</v>
      </c>
      <c r="D919" s="79" t="str" cm="1">
        <f t="array" ref="D91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919" s="79" t="str" cm="1">
        <f t="array" ref="E91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919" s="80" t="str" cm="1">
        <f t="array" ref="F91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919" s="80" t="str" cm="1">
        <f t="array" ref="G91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919" s="80" t="str" cm="1">
        <f t="array" ref="H91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919" s="78" t="str" cm="1">
        <f t="array" ref="I91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920" spans="1:9" hidden="1" x14ac:dyDescent="0.3">
      <c r="A920" s="82" t="str" cm="1">
        <f t="array" ref="A92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920" s="79">
        <f>'BKG Bank'!AK20</f>
        <v>0</v>
      </c>
      <c r="C920" s="108">
        <f>'BKG Bank'!AL20</f>
        <v>0</v>
      </c>
      <c r="D920" s="79" t="str" cm="1">
        <f t="array" ref="D92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920" s="79" t="str" cm="1">
        <f t="array" ref="E92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920" s="80" t="str" cm="1">
        <f t="array" ref="F92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920" s="80" t="str" cm="1">
        <f t="array" ref="G92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920" s="80" t="str" cm="1">
        <f t="array" ref="H92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920" s="78" t="str" cm="1">
        <f t="array" ref="I92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921" spans="1:9" hidden="1" x14ac:dyDescent="0.3">
      <c r="A921" s="82" t="str" cm="1">
        <f t="array" ref="A92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921" s="79">
        <f>'BKG Bank'!AK21</f>
        <v>0</v>
      </c>
      <c r="C921" s="108">
        <f>'BKG Bank'!AL21</f>
        <v>0</v>
      </c>
      <c r="D921" s="79" t="str" cm="1">
        <f t="array" ref="D92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921" s="79" t="str" cm="1">
        <f t="array" ref="E92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921" s="80" t="str" cm="1">
        <f t="array" ref="F92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921" s="80" t="str" cm="1">
        <f t="array" ref="G92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921" s="80" t="str" cm="1">
        <f t="array" ref="H92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921" s="78" t="str" cm="1">
        <f t="array" ref="I92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922" spans="1:9" hidden="1" x14ac:dyDescent="0.3">
      <c r="A922" s="82" t="str" cm="1">
        <f t="array" ref="A92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922" s="79">
        <f>'BKG Bank'!AK22</f>
        <v>0</v>
      </c>
      <c r="C922" s="108">
        <f>'BKG Bank'!AL22</f>
        <v>0</v>
      </c>
      <c r="D922" s="79" t="str" cm="1">
        <f t="array" ref="D92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922" s="79" t="str" cm="1">
        <f t="array" ref="E92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922" s="80" t="str" cm="1">
        <f t="array" ref="F92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922" s="80" t="str" cm="1">
        <f t="array" ref="G92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922" s="80" t="str" cm="1">
        <f t="array" ref="H92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922" s="78" t="str" cm="1">
        <f t="array" ref="I92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923" spans="1:9" hidden="1" x14ac:dyDescent="0.3">
      <c r="A923" s="82" t="str" cm="1">
        <f t="array" ref="A92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923" s="79">
        <f>'BKG Bank'!AK23</f>
        <v>0</v>
      </c>
      <c r="C923" s="108">
        <f>'BKG Bank'!AL23</f>
        <v>0</v>
      </c>
      <c r="D923" s="79" t="str" cm="1">
        <f t="array" ref="D92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923" s="79" t="str" cm="1">
        <f t="array" ref="E92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923" s="80" t="str" cm="1">
        <f t="array" ref="F92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923" s="80" t="str" cm="1">
        <f t="array" ref="G92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923" s="80" t="str" cm="1">
        <f t="array" ref="H92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923" s="78" t="str" cm="1">
        <f t="array" ref="I92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924" spans="1:9" hidden="1" x14ac:dyDescent="0.3">
      <c r="A924" s="82" t="str" cm="1">
        <f t="array" ref="A92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924" s="79">
        <f>'BKG Bank'!AK24</f>
        <v>0</v>
      </c>
      <c r="C924" s="108">
        <f>'BKG Bank'!AL24</f>
        <v>0</v>
      </c>
      <c r="D924" s="79" t="str" cm="1">
        <f t="array" ref="D92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924" s="79" t="str" cm="1">
        <f t="array" ref="E92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924" s="80" t="str" cm="1">
        <f t="array" ref="F92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924" s="80" t="str" cm="1">
        <f t="array" ref="G92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924" s="80" t="str" cm="1">
        <f t="array" ref="H92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924" s="78" t="str" cm="1">
        <f t="array" ref="I92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925" spans="1:9" hidden="1" x14ac:dyDescent="0.3">
      <c r="A925" s="82" t="str" cm="1">
        <f t="array" ref="A92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925" s="79">
        <f>'BKG Bank'!AK25</f>
        <v>0</v>
      </c>
      <c r="C925" s="108">
        <f>'BKG Bank'!AL25</f>
        <v>0</v>
      </c>
      <c r="D925" s="79" t="str" cm="1">
        <f t="array" ref="D92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925" s="79" t="str" cm="1">
        <f t="array" ref="E92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925" s="80" t="str" cm="1">
        <f t="array" ref="F92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925" s="80" t="str" cm="1">
        <f t="array" ref="G92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925" s="80" t="str" cm="1">
        <f t="array" ref="H92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925" s="78" t="str" cm="1">
        <f t="array" ref="I92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926" spans="1:9" hidden="1" x14ac:dyDescent="0.3">
      <c r="A926" s="82" t="str" cm="1">
        <f t="array" ref="A92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926" s="79">
        <f>'BKG Bank'!AK26</f>
        <v>0</v>
      </c>
      <c r="C926" s="108">
        <f>'BKG Bank'!AL26</f>
        <v>0</v>
      </c>
      <c r="D926" s="79" t="str" cm="1">
        <f t="array" ref="D92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926" s="79" t="str" cm="1">
        <f t="array" ref="E92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926" s="80" t="str" cm="1">
        <f t="array" ref="F92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926" s="80" t="str" cm="1">
        <f t="array" ref="G92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926" s="80" t="str" cm="1">
        <f t="array" ref="H92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926" s="78" t="str" cm="1">
        <f t="array" ref="I92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927" spans="1:9" hidden="1" x14ac:dyDescent="0.3">
      <c r="A927" s="82" t="str" cm="1">
        <f t="array" ref="A92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927" s="79">
        <f>'BKG Bank'!AK27</f>
        <v>0</v>
      </c>
      <c r="C927" s="108">
        <f>'BKG Bank'!AL27</f>
        <v>0</v>
      </c>
      <c r="D927" s="79" t="str" cm="1">
        <f t="array" ref="D92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927" s="79" t="str" cm="1">
        <f t="array" ref="E92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927" s="80" t="str" cm="1">
        <f t="array" ref="F92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927" s="80" t="str" cm="1">
        <f t="array" ref="G92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927" s="80" t="str" cm="1">
        <f t="array" ref="H92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927" s="78" t="str" cm="1">
        <f t="array" ref="I92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928" spans="1:9" hidden="1" x14ac:dyDescent="0.3">
      <c r="A928" s="82" t="str" cm="1">
        <f t="array" ref="A92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928" s="79">
        <f>'BKG Bank'!AK28</f>
        <v>0</v>
      </c>
      <c r="C928" s="108">
        <f>'BKG Bank'!AL28</f>
        <v>0</v>
      </c>
      <c r="D928" s="79" t="str" cm="1">
        <f t="array" ref="D92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928" s="79" t="str" cm="1">
        <f t="array" ref="E92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928" s="80" t="str" cm="1">
        <f t="array" ref="F92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928" s="80" t="str" cm="1">
        <f t="array" ref="G92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928" s="80" t="str" cm="1">
        <f t="array" ref="H92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928" s="78" t="str" cm="1">
        <f t="array" ref="I92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929" spans="1:9" hidden="1" x14ac:dyDescent="0.3">
      <c r="A929" s="82" t="str" cm="1">
        <f t="array" ref="A92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929" s="79">
        <f>'BKG Bank'!AK29</f>
        <v>0</v>
      </c>
      <c r="C929" s="108">
        <f>'BKG Bank'!AL29</f>
        <v>0</v>
      </c>
      <c r="D929" s="79" t="str" cm="1">
        <f t="array" ref="D92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929" s="79" t="str" cm="1">
        <f t="array" ref="E92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929" s="80" t="str" cm="1">
        <f t="array" ref="F92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929" s="80" t="str" cm="1">
        <f t="array" ref="G92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929" s="80" t="str" cm="1">
        <f t="array" ref="H92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929" s="78" t="str" cm="1">
        <f t="array" ref="I92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930" spans="1:9" hidden="1" x14ac:dyDescent="0.3">
      <c r="A930" s="82" t="str" cm="1">
        <f t="array" ref="A93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930" s="79">
        <f>'BKG Bank'!AK30</f>
        <v>0</v>
      </c>
      <c r="C930" s="108">
        <f>'BKG Bank'!AL30</f>
        <v>0</v>
      </c>
      <c r="D930" s="79" t="str" cm="1">
        <f t="array" ref="D93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930" s="79" t="str" cm="1">
        <f t="array" ref="E93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930" s="80" t="str" cm="1">
        <f t="array" ref="F93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930" s="80" t="str" cm="1">
        <f t="array" ref="G93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930" s="80" t="str" cm="1">
        <f t="array" ref="H93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930" s="78" t="str" cm="1">
        <f t="array" ref="I93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931" spans="1:9" hidden="1" x14ac:dyDescent="0.3">
      <c r="A931" s="82" t="str" cm="1">
        <f t="array" ref="A93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931" s="79">
        <f>'BKG Bank'!AK31</f>
        <v>0</v>
      </c>
      <c r="C931" s="108">
        <f>'BKG Bank'!AL31</f>
        <v>0</v>
      </c>
      <c r="D931" s="79" t="str" cm="1">
        <f t="array" ref="D93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931" s="79" t="str" cm="1">
        <f t="array" ref="E93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931" s="80" t="str" cm="1">
        <f t="array" ref="F93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931" s="80" t="str" cm="1">
        <f t="array" ref="G93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931" s="80" t="str" cm="1">
        <f t="array" ref="H93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931" s="78" t="str" cm="1">
        <f t="array" ref="I93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932" spans="1:9" hidden="1" x14ac:dyDescent="0.3">
      <c r="A932" s="82" t="str" cm="1">
        <f t="array" ref="A93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932" s="79">
        <f>'BKG Bank'!AK32</f>
        <v>0</v>
      </c>
      <c r="C932" s="108">
        <f>'BKG Bank'!AL32</f>
        <v>0</v>
      </c>
      <c r="D932" s="79" t="str" cm="1">
        <f t="array" ref="D93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932" s="79" t="str" cm="1">
        <f t="array" ref="E93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932" s="80" t="str" cm="1">
        <f t="array" ref="F93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932" s="80" t="str" cm="1">
        <f t="array" ref="G93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932" s="80" t="str" cm="1">
        <f t="array" ref="H93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932" s="78" t="str" cm="1">
        <f t="array" ref="I93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933" spans="1:9" hidden="1" x14ac:dyDescent="0.3">
      <c r="A933" s="82" t="str" cm="1">
        <f t="array" ref="A93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933" s="79">
        <f>'BKG Bank'!AK33</f>
        <v>0</v>
      </c>
      <c r="C933" s="108">
        <f>'BKG Bank'!AL33</f>
        <v>0</v>
      </c>
      <c r="D933" s="79" t="str" cm="1">
        <f t="array" ref="D93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933" s="79" t="str" cm="1">
        <f t="array" ref="E93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933" s="80" t="str" cm="1">
        <f t="array" ref="F93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933" s="80" t="str" cm="1">
        <f t="array" ref="G93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933" s="80" t="str" cm="1">
        <f t="array" ref="H93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933" s="78" t="str" cm="1">
        <f t="array" ref="I93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934" spans="1:9" hidden="1" x14ac:dyDescent="0.3">
      <c r="A934" s="82" t="str" cm="1">
        <f t="array" ref="A93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934" s="79">
        <f>'BKG Bank'!AK34</f>
        <v>0</v>
      </c>
      <c r="C934" s="108">
        <f>'BKG Bank'!AL34</f>
        <v>0</v>
      </c>
      <c r="D934" s="79" t="str" cm="1">
        <f t="array" ref="D93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934" s="79" t="str" cm="1">
        <f t="array" ref="E93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934" s="80" t="str" cm="1">
        <f t="array" ref="F93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934" s="80" t="str" cm="1">
        <f t="array" ref="G93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934" s="80" t="str" cm="1">
        <f t="array" ref="H93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934" s="78" t="str" cm="1">
        <f t="array" ref="I93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935" spans="1:9" hidden="1" x14ac:dyDescent="0.3">
      <c r="A935" s="82" t="str" cm="1">
        <f t="array" ref="A93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935" s="79">
        <f>'BKG Bank'!AK35</f>
        <v>0</v>
      </c>
      <c r="C935" s="108">
        <f>'BKG Bank'!AL35</f>
        <v>0</v>
      </c>
      <c r="D935" s="79" t="str" cm="1">
        <f t="array" ref="D93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935" s="79" t="str" cm="1">
        <f t="array" ref="E93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935" s="80" t="str" cm="1">
        <f t="array" ref="F93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935" s="80" t="str" cm="1">
        <f t="array" ref="G93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935" s="80" t="str" cm="1">
        <f t="array" ref="H93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935" s="78" t="str" cm="1">
        <f t="array" ref="I93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936" spans="1:9" hidden="1" x14ac:dyDescent="0.3">
      <c r="A936" s="82" t="str" cm="1">
        <f t="array" ref="A93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936" s="79">
        <f>'BKG Bank'!AK36</f>
        <v>0</v>
      </c>
      <c r="C936" s="108">
        <f>'BKG Bank'!AL36</f>
        <v>0</v>
      </c>
      <c r="D936" s="79" t="str" cm="1">
        <f t="array" ref="D93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936" s="79" t="str" cm="1">
        <f t="array" ref="E93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936" s="80" t="str" cm="1">
        <f t="array" ref="F93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936" s="80" t="str" cm="1">
        <f t="array" ref="G93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936" s="80" t="str" cm="1">
        <f t="array" ref="H93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936" s="78" t="str" cm="1">
        <f t="array" ref="I93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937" spans="1:9" hidden="1" x14ac:dyDescent="0.3">
      <c r="A937" s="82" t="str" cm="1">
        <f t="array" ref="A93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937" s="79">
        <f>'BKG Bank'!AK37</f>
        <v>0</v>
      </c>
      <c r="C937" s="108">
        <f>'BKG Bank'!AL37</f>
        <v>0</v>
      </c>
      <c r="D937" s="79" t="str" cm="1">
        <f t="array" ref="D93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937" s="79" t="str" cm="1">
        <f t="array" ref="E93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937" s="80" t="str" cm="1">
        <f t="array" ref="F93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937" s="80" t="str" cm="1">
        <f t="array" ref="G93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937" s="80" t="str" cm="1">
        <f t="array" ref="H93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937" s="78" t="str" cm="1">
        <f t="array" ref="I93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938" spans="1:9" hidden="1" x14ac:dyDescent="0.3">
      <c r="A938" s="82" t="str" cm="1">
        <f t="array" ref="A93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938" s="79">
        <f>'BKG Bank'!AK38</f>
        <v>0</v>
      </c>
      <c r="C938" s="108">
        <f>'BKG Bank'!AL38</f>
        <v>0</v>
      </c>
      <c r="D938" s="79" t="str" cm="1">
        <f t="array" ref="D93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938" s="79" t="str" cm="1">
        <f t="array" ref="E93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938" s="80" t="str" cm="1">
        <f t="array" ref="F93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938" s="80" t="str" cm="1">
        <f t="array" ref="G93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938" s="80" t="str" cm="1">
        <f t="array" ref="H93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938" s="78" t="str" cm="1">
        <f t="array" ref="I93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939" spans="1:9" hidden="1" x14ac:dyDescent="0.3">
      <c r="A939" s="82" t="str" cm="1">
        <f t="array" ref="A93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939" s="79">
        <f>'BKG Bank'!AK39</f>
        <v>0</v>
      </c>
      <c r="C939" s="108">
        <f>'BKG Bank'!AL39</f>
        <v>0</v>
      </c>
      <c r="D939" s="79" t="str" cm="1">
        <f t="array" ref="D93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939" s="79" t="str" cm="1">
        <f t="array" ref="E93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939" s="80" t="str" cm="1">
        <f t="array" ref="F93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939" s="80" t="str" cm="1">
        <f t="array" ref="G93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939" s="80" t="str" cm="1">
        <f t="array" ref="H93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939" s="78" t="str" cm="1">
        <f t="array" ref="I93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940" spans="1:9" hidden="1" x14ac:dyDescent="0.3">
      <c r="A940" s="82" t="str" cm="1">
        <f t="array" ref="A94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940" s="79">
        <f>'BKG Bank'!AK40</f>
        <v>0</v>
      </c>
      <c r="C940" s="108">
        <f>'BKG Bank'!AL40</f>
        <v>0</v>
      </c>
      <c r="D940" s="79" t="str" cm="1">
        <f t="array" ref="D94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940" s="79" t="str" cm="1">
        <f t="array" ref="E94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940" s="80" t="str" cm="1">
        <f t="array" ref="F94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940" s="80" t="str" cm="1">
        <f t="array" ref="G94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940" s="80" t="str" cm="1">
        <f t="array" ref="H94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940" s="78" t="str" cm="1">
        <f t="array" ref="I94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941" spans="1:9" hidden="1" x14ac:dyDescent="0.3">
      <c r="A941" s="82" t="str" cm="1">
        <f t="array" ref="A94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941" s="79">
        <f>'BKG Bank'!AK41</f>
        <v>0</v>
      </c>
      <c r="C941" s="108">
        <f>'BKG Bank'!AL41</f>
        <v>0</v>
      </c>
      <c r="D941" s="79" t="str" cm="1">
        <f t="array" ref="D94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941" s="79" t="str" cm="1">
        <f t="array" ref="E94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941" s="80" t="str" cm="1">
        <f t="array" ref="F94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941" s="80" t="str" cm="1">
        <f t="array" ref="G94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941" s="80" t="str" cm="1">
        <f t="array" ref="H94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941" s="78" t="str" cm="1">
        <f t="array" ref="I94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942" spans="1:9" hidden="1" x14ac:dyDescent="0.3">
      <c r="A942" s="82" t="str" cm="1">
        <f t="array" ref="A94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942" s="79">
        <f>'BKG Bank'!AK42</f>
        <v>0</v>
      </c>
      <c r="C942" s="108">
        <f>'BKG Bank'!AL42</f>
        <v>0</v>
      </c>
      <c r="D942" s="79" t="str" cm="1">
        <f t="array" ref="D94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942" s="79" t="str" cm="1">
        <f t="array" ref="E94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942" s="80" t="str" cm="1">
        <f t="array" ref="F94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942" s="80" t="str" cm="1">
        <f t="array" ref="G94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942" s="80" t="str" cm="1">
        <f t="array" ref="H94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942" s="78" t="str" cm="1">
        <f t="array" ref="I94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943" spans="1:9" hidden="1" x14ac:dyDescent="0.3">
      <c r="A943" s="82" t="str" cm="1">
        <f t="array" ref="A94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943" s="79">
        <f>'BKG Bank'!AK43</f>
        <v>0</v>
      </c>
      <c r="C943" s="108">
        <f>'BKG Bank'!AL43</f>
        <v>0</v>
      </c>
      <c r="D943" s="79" t="str" cm="1">
        <f t="array" ref="D94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943" s="79" t="str" cm="1">
        <f t="array" ref="E94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943" s="80" t="str" cm="1">
        <f t="array" ref="F94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943" s="80" t="str" cm="1">
        <f t="array" ref="G94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943" s="80" t="str" cm="1">
        <f t="array" ref="H94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943" s="78" t="str" cm="1">
        <f t="array" ref="I94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944" spans="1:9" hidden="1" x14ac:dyDescent="0.3">
      <c r="A944" s="82" t="str" cm="1">
        <f t="array" ref="A94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944" s="79">
        <f>'BKG Bank'!AK44</f>
        <v>0</v>
      </c>
      <c r="C944" s="108">
        <f>'BKG Bank'!AL44</f>
        <v>0</v>
      </c>
      <c r="D944" s="79" t="str" cm="1">
        <f t="array" ref="D94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944" s="79" t="str" cm="1">
        <f t="array" ref="E94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944" s="80" t="str" cm="1">
        <f t="array" ref="F94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944" s="80" t="str" cm="1">
        <f t="array" ref="G94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944" s="80" t="str" cm="1">
        <f t="array" ref="H94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944" s="78" t="str" cm="1">
        <f t="array" ref="I94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945" spans="1:9" hidden="1" x14ac:dyDescent="0.3">
      <c r="A945" s="82" t="str" cm="1">
        <f t="array" ref="A94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945" s="79">
        <f>'BKG Bank'!AK45</f>
        <v>0</v>
      </c>
      <c r="C945" s="108">
        <f>'BKG Bank'!AL45</f>
        <v>0</v>
      </c>
      <c r="D945" s="79" t="str" cm="1">
        <f t="array" ref="D94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945" s="79" t="str" cm="1">
        <f t="array" ref="E94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945" s="80" t="str" cm="1">
        <f t="array" ref="F94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945" s="80" t="str" cm="1">
        <f t="array" ref="G94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945" s="80" t="str" cm="1">
        <f t="array" ref="H94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945" s="78" t="str" cm="1">
        <f t="array" ref="I94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946" spans="1:9" hidden="1" x14ac:dyDescent="0.3">
      <c r="A946" s="82" t="str" cm="1">
        <f t="array" ref="A94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946" s="79">
        <f>'BKG Bank'!AK46</f>
        <v>0</v>
      </c>
      <c r="C946" s="108">
        <f>'BKG Bank'!AL46</f>
        <v>0</v>
      </c>
      <c r="D946" s="79" t="str" cm="1">
        <f t="array" ref="D94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946" s="79" t="str" cm="1">
        <f t="array" ref="E94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946" s="80" t="str" cm="1">
        <f t="array" ref="F94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946" s="80" t="str" cm="1">
        <f t="array" ref="G94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946" s="80" t="str" cm="1">
        <f t="array" ref="H94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946" s="78" t="str" cm="1">
        <f t="array" ref="I94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947" spans="1:9" hidden="1" x14ac:dyDescent="0.3">
      <c r="A947" s="82" t="str" cm="1">
        <f t="array" ref="A94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947" s="79">
        <f>'BKG Bank'!AK47</f>
        <v>0</v>
      </c>
      <c r="C947" s="108">
        <f>'BKG Bank'!AL47</f>
        <v>0</v>
      </c>
      <c r="D947" s="79" t="str" cm="1">
        <f t="array" ref="D94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947" s="79" t="str" cm="1">
        <f t="array" ref="E94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947" s="80" t="str" cm="1">
        <f t="array" ref="F94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947" s="80" t="str" cm="1">
        <f t="array" ref="G94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947" s="80" t="str" cm="1">
        <f t="array" ref="H94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947" s="78" t="str" cm="1">
        <f t="array" ref="I94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948" spans="1:9" hidden="1" x14ac:dyDescent="0.3">
      <c r="A948" s="82" t="str" cm="1">
        <f t="array" ref="A94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948" s="79">
        <f>'BKG Bank'!AK48</f>
        <v>0</v>
      </c>
      <c r="C948" s="108">
        <f>'BKG Bank'!AL48</f>
        <v>0</v>
      </c>
      <c r="D948" s="79" t="str" cm="1">
        <f t="array" ref="D94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948" s="79" t="str" cm="1">
        <f t="array" ref="E94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948" s="80" t="str" cm="1">
        <f t="array" ref="F94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948" s="80" t="str" cm="1">
        <f t="array" ref="G94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948" s="80" t="str" cm="1">
        <f t="array" ref="H94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948" s="78" t="str" cm="1">
        <f t="array" ref="I94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949" spans="1:9" hidden="1" x14ac:dyDescent="0.3">
      <c r="A949" s="82" t="str" cm="1">
        <f t="array" ref="A94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949" s="79">
        <f>'BKG Bank'!AK49</f>
        <v>0</v>
      </c>
      <c r="C949" s="108">
        <f>'BKG Bank'!AL49</f>
        <v>0</v>
      </c>
      <c r="D949" s="79" t="str" cm="1">
        <f t="array" ref="D94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949" s="79" t="str" cm="1">
        <f t="array" ref="E94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949" s="80" t="str" cm="1">
        <f t="array" ref="F94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949" s="80" t="str" cm="1">
        <f t="array" ref="G94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949" s="80" t="str" cm="1">
        <f t="array" ref="H94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949" s="78" t="str" cm="1">
        <f t="array" ref="I94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950" spans="1:9" hidden="1" x14ac:dyDescent="0.3">
      <c r="A950" s="82" t="str" cm="1">
        <f t="array" ref="A95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950" s="79">
        <f>'BKG Bank'!AK50</f>
        <v>0</v>
      </c>
      <c r="C950" s="108">
        <f>'BKG Bank'!AL50</f>
        <v>0</v>
      </c>
      <c r="D950" s="79" t="str" cm="1">
        <f t="array" ref="D95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950" s="79" t="str" cm="1">
        <f t="array" ref="E95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950" s="80" t="str" cm="1">
        <f t="array" ref="F95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950" s="80" t="str" cm="1">
        <f t="array" ref="G95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950" s="80" t="str" cm="1">
        <f t="array" ref="H95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950" s="78" t="str" cm="1">
        <f t="array" ref="I95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951" spans="1:9" hidden="1" x14ac:dyDescent="0.3">
      <c r="A951" s="82" t="str" cm="1">
        <f t="array" ref="A95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951" s="79">
        <f>'BKG Bank'!AK51</f>
        <v>0</v>
      </c>
      <c r="C951" s="108">
        <f>'BKG Bank'!AL51</f>
        <v>0</v>
      </c>
      <c r="D951" s="79" t="str" cm="1">
        <f t="array" ref="D95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951" s="79" t="str" cm="1">
        <f t="array" ref="E95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951" s="80" t="str" cm="1">
        <f t="array" ref="F95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951" s="80" t="str" cm="1">
        <f t="array" ref="G95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951" s="80" t="str" cm="1">
        <f t="array" ref="H95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951" s="78" t="str" cm="1">
        <f t="array" ref="I95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952" spans="1:9" hidden="1" x14ac:dyDescent="0.3">
      <c r="A952" s="82" t="str" cm="1">
        <f t="array" ref="A95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952" s="79">
        <f>'BKG Bank'!AK52</f>
        <v>0</v>
      </c>
      <c r="C952" s="108">
        <f>'BKG Bank'!AL52</f>
        <v>0</v>
      </c>
      <c r="D952" s="79" t="str" cm="1">
        <f t="array" ref="D95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952" s="79" t="str" cm="1">
        <f t="array" ref="E95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952" s="80" t="str" cm="1">
        <f t="array" ref="F95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952" s="80" t="str" cm="1">
        <f t="array" ref="G95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952" s="80" t="str" cm="1">
        <f t="array" ref="H95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952" s="78" t="str" cm="1">
        <f t="array" ref="I95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953" spans="1:9" hidden="1" x14ac:dyDescent="0.3">
      <c r="A953" s="82" t="str" cm="1">
        <f t="array" ref="A95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953" s="79">
        <f>'BKG Bank'!AK53</f>
        <v>0</v>
      </c>
      <c r="C953" s="108">
        <f>'BKG Bank'!AL53</f>
        <v>0</v>
      </c>
      <c r="D953" s="79" t="str" cm="1">
        <f t="array" ref="D95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953" s="79" t="str" cm="1">
        <f t="array" ref="E95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953" s="80" t="str" cm="1">
        <f t="array" ref="F95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953" s="80" t="str" cm="1">
        <f t="array" ref="G95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953" s="80" t="str" cm="1">
        <f t="array" ref="H95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953" s="78" t="str" cm="1">
        <f t="array" ref="I95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954" spans="1:9" hidden="1" x14ac:dyDescent="0.3">
      <c r="A954" s="82" t="str" cm="1">
        <f t="array" ref="A95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954" s="79">
        <f>'BKG Bank'!AK54</f>
        <v>0</v>
      </c>
      <c r="C954" s="108">
        <f>'BKG Bank'!AL54</f>
        <v>0</v>
      </c>
      <c r="D954" s="79" t="str" cm="1">
        <f t="array" ref="D95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954" s="79" t="str" cm="1">
        <f t="array" ref="E95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954" s="80" t="str" cm="1">
        <f t="array" ref="F95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954" s="80" t="str" cm="1">
        <f t="array" ref="G95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954" s="80" t="str" cm="1">
        <f t="array" ref="H95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954" s="78" t="str" cm="1">
        <f t="array" ref="I95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955" spans="1:9" hidden="1" x14ac:dyDescent="0.3">
      <c r="A955" s="82" t="str" cm="1">
        <f t="array" ref="A95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955" s="79">
        <f>'BKG Bank'!AK55</f>
        <v>0</v>
      </c>
      <c r="C955" s="108">
        <f>'BKG Bank'!AL55</f>
        <v>0</v>
      </c>
      <c r="D955" s="79" t="str" cm="1">
        <f t="array" ref="D95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955" s="79" t="str" cm="1">
        <f t="array" ref="E95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955" s="80" t="str" cm="1">
        <f t="array" ref="F95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955" s="80" t="str" cm="1">
        <f t="array" ref="G95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955" s="80" t="str" cm="1">
        <f t="array" ref="H95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955" s="78" t="str" cm="1">
        <f t="array" ref="I95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956" spans="1:9" hidden="1" x14ac:dyDescent="0.3">
      <c r="A956" s="82" t="str" cm="1">
        <f t="array" ref="A95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956" s="79">
        <f>'BKG Bank'!AK56</f>
        <v>0</v>
      </c>
      <c r="C956" s="108">
        <f>'BKG Bank'!AL56</f>
        <v>0</v>
      </c>
      <c r="D956" s="79" t="str" cm="1">
        <f t="array" ref="D95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956" s="79" t="str" cm="1">
        <f t="array" ref="E95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956" s="80" t="str" cm="1">
        <f t="array" ref="F95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956" s="80" t="str" cm="1">
        <f t="array" ref="G95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956" s="80" t="str" cm="1">
        <f t="array" ref="H95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956" s="78" t="str" cm="1">
        <f t="array" ref="I95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957" spans="1:9" hidden="1" x14ac:dyDescent="0.3">
      <c r="A957" s="82" t="str" cm="1">
        <f t="array" ref="A95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957" s="79">
        <f>'BKG Bank'!AK57</f>
        <v>0</v>
      </c>
      <c r="C957" s="108">
        <f>'BKG Bank'!AL57</f>
        <v>0</v>
      </c>
      <c r="D957" s="79" t="str" cm="1">
        <f t="array" ref="D95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957" s="79" t="str" cm="1">
        <f t="array" ref="E95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957" s="80" t="str" cm="1">
        <f t="array" ref="F95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957" s="80" t="str" cm="1">
        <f t="array" ref="G95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957" s="80" t="str" cm="1">
        <f t="array" ref="H95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957" s="78" t="str" cm="1">
        <f t="array" ref="I95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958" spans="1:9" hidden="1" x14ac:dyDescent="0.3">
      <c r="A958" s="82" t="str" cm="1">
        <f t="array" ref="A95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958" s="79">
        <f>'BKG Bank'!AK58</f>
        <v>0</v>
      </c>
      <c r="C958" s="108">
        <f>'BKG Bank'!AL58</f>
        <v>0</v>
      </c>
      <c r="D958" s="79" t="str" cm="1">
        <f t="array" ref="D95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958" s="79" t="str" cm="1">
        <f t="array" ref="E95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958" s="80" t="str" cm="1">
        <f t="array" ref="F95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958" s="80" t="str" cm="1">
        <f t="array" ref="G95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958" s="80" t="str" cm="1">
        <f t="array" ref="H95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958" s="78" t="str" cm="1">
        <f t="array" ref="I95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959" spans="1:9" hidden="1" x14ac:dyDescent="0.3">
      <c r="A959" s="82" t="str" cm="1">
        <f t="array" ref="A95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959" s="79">
        <f>'BKG Bank'!AK59</f>
        <v>0</v>
      </c>
      <c r="C959" s="108">
        <f>'BKG Bank'!AL59</f>
        <v>0</v>
      </c>
      <c r="D959" s="79" t="str" cm="1">
        <f t="array" ref="D95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959" s="79" t="str" cm="1">
        <f t="array" ref="E95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959" s="80" t="str" cm="1">
        <f t="array" ref="F95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959" s="80" t="str" cm="1">
        <f t="array" ref="G95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959" s="80" t="str" cm="1">
        <f t="array" ref="H95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959" s="78" t="str" cm="1">
        <f t="array" ref="I95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960" spans="1:9" hidden="1" x14ac:dyDescent="0.3">
      <c r="A960" s="82" t="str" cm="1">
        <f t="array" ref="A96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960" s="79">
        <f>'BKG Bank'!AK60</f>
        <v>0</v>
      </c>
      <c r="C960" s="108">
        <f>'BKG Bank'!AL60</f>
        <v>0</v>
      </c>
      <c r="D960" s="79" t="str" cm="1">
        <f t="array" ref="D96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960" s="79" t="str" cm="1">
        <f t="array" ref="E96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960" s="80" t="str" cm="1">
        <f t="array" ref="F96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960" s="80" t="str" cm="1">
        <f t="array" ref="G96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960" s="80" t="str" cm="1">
        <f t="array" ref="H96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960" s="78" t="str" cm="1">
        <f t="array" ref="I96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961" spans="1:9" hidden="1" x14ac:dyDescent="0.3">
      <c r="A961" s="82" t="str" cm="1">
        <f t="array" ref="A96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961" s="79">
        <f>'BKG Bank'!AK61</f>
        <v>0</v>
      </c>
      <c r="C961" s="108">
        <f>'BKG Bank'!AL61</f>
        <v>0</v>
      </c>
      <c r="D961" s="79" t="str" cm="1">
        <f t="array" ref="D96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961" s="79" t="str" cm="1">
        <f t="array" ref="E96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961" s="80" t="str" cm="1">
        <f t="array" ref="F96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961" s="80" t="str" cm="1">
        <f t="array" ref="G96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961" s="80" t="str" cm="1">
        <f t="array" ref="H96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961" s="78" t="str" cm="1">
        <f t="array" ref="I96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962" spans="1:9" hidden="1" x14ac:dyDescent="0.3">
      <c r="A962" s="82" t="str" cm="1">
        <f t="array" ref="A96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962" s="79">
        <f>'BKG Bank'!AK62</f>
        <v>0</v>
      </c>
      <c r="C962" s="108">
        <f>'BKG Bank'!AL62</f>
        <v>0</v>
      </c>
      <c r="D962" s="79" t="str" cm="1">
        <f t="array" ref="D96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962" s="79" t="str" cm="1">
        <f t="array" ref="E96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962" s="80" t="str" cm="1">
        <f t="array" ref="F96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962" s="80" t="str" cm="1">
        <f t="array" ref="G96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962" s="80" t="str" cm="1">
        <f t="array" ref="H96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962" s="78" t="str" cm="1">
        <f t="array" ref="I96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963" spans="1:9" hidden="1" x14ac:dyDescent="0.3">
      <c r="A963" s="82" t="str" cm="1">
        <f t="array" ref="A96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963" s="79">
        <f>'BKG Bank'!AK63</f>
        <v>0</v>
      </c>
      <c r="C963" s="108">
        <f>'BKG Bank'!AL63</f>
        <v>0</v>
      </c>
      <c r="D963" s="79" t="str" cm="1">
        <f t="array" ref="D96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963" s="79" t="str" cm="1">
        <f t="array" ref="E96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963" s="80" t="str" cm="1">
        <f t="array" ref="F96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963" s="80" t="str" cm="1">
        <f t="array" ref="G96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963" s="80" t="str" cm="1">
        <f t="array" ref="H96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963" s="78" t="str" cm="1">
        <f t="array" ref="I96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964" spans="1:9" hidden="1" x14ac:dyDescent="0.3">
      <c r="A964" s="82" t="str" cm="1">
        <f t="array" ref="A96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964" s="79">
        <f>'BKG Bank'!AK64</f>
        <v>0</v>
      </c>
      <c r="C964" s="108">
        <f>'BKG Bank'!AL64</f>
        <v>0</v>
      </c>
      <c r="D964" s="79" t="str" cm="1">
        <f t="array" ref="D96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964" s="79" t="str" cm="1">
        <f t="array" ref="E96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964" s="80" t="str" cm="1">
        <f t="array" ref="F96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964" s="80" t="str" cm="1">
        <f t="array" ref="G96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964" s="80" t="str" cm="1">
        <f t="array" ref="H96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964" s="78" t="str" cm="1">
        <f t="array" ref="I96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965" spans="1:9" hidden="1" x14ac:dyDescent="0.3">
      <c r="A965" s="82" t="str" cm="1">
        <f t="array" ref="A96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965" s="79">
        <f>'BKG Bank'!AK65</f>
        <v>0</v>
      </c>
      <c r="C965" s="108">
        <f>'BKG Bank'!AL65</f>
        <v>0</v>
      </c>
      <c r="D965" s="79" t="str" cm="1">
        <f t="array" ref="D96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965" s="79" t="str" cm="1">
        <f t="array" ref="E96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965" s="80" t="str" cm="1">
        <f t="array" ref="F96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965" s="80" t="str" cm="1">
        <f t="array" ref="G96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965" s="80" t="str" cm="1">
        <f t="array" ref="H96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965" s="78" t="str" cm="1">
        <f t="array" ref="I96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966" spans="1:9" hidden="1" x14ac:dyDescent="0.3">
      <c r="A966" s="82" t="str" cm="1">
        <f t="array" ref="A96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966" s="79">
        <f>'BKG Bank'!AK66</f>
        <v>0</v>
      </c>
      <c r="C966" s="108">
        <f>'BKG Bank'!AL66</f>
        <v>0</v>
      </c>
      <c r="D966" s="79" t="str" cm="1">
        <f t="array" ref="D96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966" s="79" t="str" cm="1">
        <f t="array" ref="E96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966" s="80" t="str" cm="1">
        <f t="array" ref="F96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966" s="80" t="str" cm="1">
        <f t="array" ref="G96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966" s="80" t="str" cm="1">
        <f t="array" ref="H96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966" s="78" t="str" cm="1">
        <f t="array" ref="I96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967" spans="1:9" hidden="1" x14ac:dyDescent="0.3">
      <c r="A967" s="82" t="str" cm="1">
        <f t="array" ref="A96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967" s="79">
        <f>'BKG Bank'!AK67</f>
        <v>0</v>
      </c>
      <c r="C967" s="108">
        <f>'BKG Bank'!AL67</f>
        <v>0</v>
      </c>
      <c r="D967" s="79" t="str" cm="1">
        <f t="array" ref="D96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967" s="79" t="str" cm="1">
        <f t="array" ref="E96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967" s="80" t="str" cm="1">
        <f t="array" ref="F96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967" s="80" t="str" cm="1">
        <f t="array" ref="G96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967" s="80" t="str" cm="1">
        <f t="array" ref="H96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967" s="78" t="str" cm="1">
        <f t="array" ref="I96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968" spans="1:9" hidden="1" x14ac:dyDescent="0.3">
      <c r="A968" s="82" t="str" cm="1">
        <f t="array" ref="A96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968" s="79">
        <f>'BKG Bank'!AK68</f>
        <v>0</v>
      </c>
      <c r="C968" s="108">
        <f>'BKG Bank'!AL68</f>
        <v>0</v>
      </c>
      <c r="D968" s="79" t="str" cm="1">
        <f t="array" ref="D96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968" s="79" t="str" cm="1">
        <f t="array" ref="E96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968" s="80" t="str" cm="1">
        <f t="array" ref="F96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968" s="80" t="str" cm="1">
        <f t="array" ref="G96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968" s="80" t="str" cm="1">
        <f t="array" ref="H96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968" s="78" t="str" cm="1">
        <f t="array" ref="I96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969" spans="1:9" hidden="1" x14ac:dyDescent="0.3">
      <c r="A969" s="82" t="str" cm="1">
        <f t="array" ref="A96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969" s="79">
        <f>'BKG Bank'!AK69</f>
        <v>0</v>
      </c>
      <c r="C969" s="108">
        <f>'BKG Bank'!AL69</f>
        <v>0</v>
      </c>
      <c r="D969" s="79" t="str" cm="1">
        <f t="array" ref="D96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969" s="79" t="str" cm="1">
        <f t="array" ref="E96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969" s="80" t="str" cm="1">
        <f t="array" ref="F96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969" s="80" t="str" cm="1">
        <f t="array" ref="G96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969" s="80" t="str" cm="1">
        <f t="array" ref="H96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969" s="78" t="str" cm="1">
        <f t="array" ref="I96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970" spans="1:9" hidden="1" x14ac:dyDescent="0.3">
      <c r="A970" s="82" t="str" cm="1">
        <f t="array" ref="A97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970" s="79">
        <f>'BKG Bank'!AK70</f>
        <v>0</v>
      </c>
      <c r="C970" s="108">
        <f>'BKG Bank'!AL70</f>
        <v>0</v>
      </c>
      <c r="D970" s="79" t="str" cm="1">
        <f t="array" ref="D97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970" s="79" t="str" cm="1">
        <f t="array" ref="E97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970" s="80" t="str" cm="1">
        <f t="array" ref="F97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970" s="80" t="str" cm="1">
        <f t="array" ref="G97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970" s="80" t="str" cm="1">
        <f t="array" ref="H97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970" s="78" t="str" cm="1">
        <f t="array" ref="I97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971" spans="1:9" hidden="1" x14ac:dyDescent="0.3">
      <c r="A971" s="82" t="str" cm="1">
        <f t="array" ref="A97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971" s="79">
        <f>'BKG Bank'!AK71</f>
        <v>0</v>
      </c>
      <c r="C971" s="108">
        <f>'BKG Bank'!AL71</f>
        <v>0</v>
      </c>
      <c r="D971" s="79" t="str" cm="1">
        <f t="array" ref="D97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971" s="79" t="str" cm="1">
        <f t="array" ref="E97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971" s="80" t="str" cm="1">
        <f t="array" ref="F97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971" s="80" t="str" cm="1">
        <f t="array" ref="G97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971" s="80" t="str" cm="1">
        <f t="array" ref="H97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971" s="78" t="str" cm="1">
        <f t="array" ref="I97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972" spans="1:9" hidden="1" x14ac:dyDescent="0.3">
      <c r="A972" s="82" t="str" cm="1">
        <f t="array" ref="A97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972" s="79">
        <f>'BKG Bank'!AK72</f>
        <v>0</v>
      </c>
      <c r="C972" s="108">
        <f>'BKG Bank'!AL72</f>
        <v>0</v>
      </c>
      <c r="D972" s="79" t="str" cm="1">
        <f t="array" ref="D97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972" s="79" t="str" cm="1">
        <f t="array" ref="E97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972" s="80" t="str" cm="1">
        <f t="array" ref="F97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972" s="80" t="str" cm="1">
        <f t="array" ref="G97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972" s="80" t="str" cm="1">
        <f t="array" ref="H97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972" s="78" t="str" cm="1">
        <f t="array" ref="I97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973" spans="1:9" hidden="1" x14ac:dyDescent="0.3">
      <c r="A973" s="82" t="str" cm="1">
        <f t="array" ref="A97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973" s="79">
        <f>'BKG Bank'!AK73</f>
        <v>0</v>
      </c>
      <c r="C973" s="108">
        <f>'BKG Bank'!AL73</f>
        <v>0</v>
      </c>
      <c r="D973" s="79" t="str" cm="1">
        <f t="array" ref="D97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973" s="79" t="str" cm="1">
        <f t="array" ref="E97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973" s="80" t="str" cm="1">
        <f t="array" ref="F97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973" s="80" t="str" cm="1">
        <f t="array" ref="G97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973" s="80" t="str" cm="1">
        <f t="array" ref="H97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973" s="78" t="str" cm="1">
        <f t="array" ref="I97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974" spans="1:9" hidden="1" x14ac:dyDescent="0.3">
      <c r="A974" s="82" t="str" cm="1">
        <f t="array" ref="A97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974" s="79">
        <f>'BKG Bank'!AK74</f>
        <v>0</v>
      </c>
      <c r="C974" s="108">
        <f>'BKG Bank'!AL74</f>
        <v>0</v>
      </c>
      <c r="D974" s="79" t="str" cm="1">
        <f t="array" ref="D97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974" s="79" t="str" cm="1">
        <f t="array" ref="E97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974" s="80" t="str" cm="1">
        <f t="array" ref="F97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974" s="80" t="str" cm="1">
        <f t="array" ref="G97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974" s="80" t="str" cm="1">
        <f t="array" ref="H97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974" s="78" t="str" cm="1">
        <f t="array" ref="I97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975" spans="1:9" hidden="1" x14ac:dyDescent="0.3">
      <c r="A975" s="82" t="str" cm="1">
        <f t="array" ref="A97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975" s="79">
        <f>'BKG Bank'!AK75</f>
        <v>0</v>
      </c>
      <c r="C975" s="108">
        <f>'BKG Bank'!AL75</f>
        <v>0</v>
      </c>
      <c r="D975" s="79" t="str" cm="1">
        <f t="array" ref="D97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975" s="79" t="str" cm="1">
        <f t="array" ref="E97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975" s="80" t="str" cm="1">
        <f t="array" ref="F97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975" s="80" t="str" cm="1">
        <f t="array" ref="G97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975" s="80" t="str" cm="1">
        <f t="array" ref="H97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975" s="78" t="str" cm="1">
        <f t="array" ref="I97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976" spans="1:9" hidden="1" x14ac:dyDescent="0.3">
      <c r="A976" s="82" t="str" cm="1">
        <f t="array" ref="A97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976" s="79">
        <f>'BKG Bank'!AK76</f>
        <v>0</v>
      </c>
      <c r="C976" s="108">
        <f>'BKG Bank'!AL76</f>
        <v>0</v>
      </c>
      <c r="D976" s="79" t="str" cm="1">
        <f t="array" ref="D97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976" s="79" t="str" cm="1">
        <f t="array" ref="E97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976" s="80" t="str" cm="1">
        <f t="array" ref="F97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976" s="80" t="str" cm="1">
        <f t="array" ref="G97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976" s="80" t="str" cm="1">
        <f t="array" ref="H97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976" s="78" t="str" cm="1">
        <f t="array" ref="I97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977" spans="1:9" hidden="1" x14ac:dyDescent="0.3">
      <c r="A977" s="82" t="str" cm="1">
        <f t="array" ref="A97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977" s="79">
        <f>'BKG Bank'!AK77</f>
        <v>0</v>
      </c>
      <c r="C977" s="108">
        <f>'BKG Bank'!AL77</f>
        <v>0</v>
      </c>
      <c r="D977" s="79" t="str" cm="1">
        <f t="array" ref="D97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977" s="79" t="str" cm="1">
        <f t="array" ref="E97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977" s="80" t="str" cm="1">
        <f t="array" ref="F97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977" s="80" t="str" cm="1">
        <f t="array" ref="G97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977" s="80" t="str" cm="1">
        <f t="array" ref="H97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977" s="78" t="str" cm="1">
        <f t="array" ref="I97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978" spans="1:9" hidden="1" x14ac:dyDescent="0.3">
      <c r="A978" s="82" t="str" cm="1">
        <f t="array" ref="A97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978" s="79">
        <f>'BKG Bank'!AK78</f>
        <v>0</v>
      </c>
      <c r="C978" s="108">
        <f>'BKG Bank'!AL78</f>
        <v>0</v>
      </c>
      <c r="D978" s="79" t="str" cm="1">
        <f t="array" ref="D97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978" s="79" t="str" cm="1">
        <f t="array" ref="E97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978" s="80" t="str" cm="1">
        <f t="array" ref="F97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978" s="80" t="str" cm="1">
        <f t="array" ref="G97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978" s="80" t="str" cm="1">
        <f t="array" ref="H97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978" s="78" t="str" cm="1">
        <f t="array" ref="I97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979" spans="1:9" hidden="1" x14ac:dyDescent="0.3">
      <c r="A979" s="82" t="str" cm="1">
        <f t="array" ref="A97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979" s="79">
        <f>'BKG Bank'!AK79</f>
        <v>0</v>
      </c>
      <c r="C979" s="108">
        <f>'BKG Bank'!AL79</f>
        <v>0</v>
      </c>
      <c r="D979" s="79" t="str" cm="1">
        <f t="array" ref="D97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979" s="79" t="str" cm="1">
        <f t="array" ref="E97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979" s="80" t="str" cm="1">
        <f t="array" ref="F97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979" s="80" t="str" cm="1">
        <f t="array" ref="G97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979" s="80" t="str" cm="1">
        <f t="array" ref="H97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979" s="78" t="str" cm="1">
        <f t="array" ref="I97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980" spans="1:9" hidden="1" x14ac:dyDescent="0.3">
      <c r="A980" s="82" t="str" cm="1">
        <f t="array" ref="A98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980" s="79">
        <f>'BKG Bank'!AK80</f>
        <v>0</v>
      </c>
      <c r="C980" s="108">
        <f>'BKG Bank'!AL80</f>
        <v>0</v>
      </c>
      <c r="D980" s="79" t="str" cm="1">
        <f t="array" ref="D98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980" s="79" t="str" cm="1">
        <f t="array" ref="E98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980" s="80" t="str" cm="1">
        <f t="array" ref="F98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980" s="80" t="str" cm="1">
        <f t="array" ref="G98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980" s="80" t="str" cm="1">
        <f t="array" ref="H98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980" s="78" t="str" cm="1">
        <f t="array" ref="I98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981" spans="1:9" hidden="1" x14ac:dyDescent="0.3">
      <c r="A981" s="82" t="str" cm="1">
        <f t="array" ref="A98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981" s="79">
        <f>'BKG Bank'!AK81</f>
        <v>0</v>
      </c>
      <c r="C981" s="108">
        <f>'BKG Bank'!AL81</f>
        <v>0</v>
      </c>
      <c r="D981" s="79" t="str" cm="1">
        <f t="array" ref="D98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981" s="79" t="str" cm="1">
        <f t="array" ref="E98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981" s="80" t="str" cm="1">
        <f t="array" ref="F98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981" s="80" t="str" cm="1">
        <f t="array" ref="G98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981" s="80" t="str" cm="1">
        <f t="array" ref="H98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981" s="78" t="str" cm="1">
        <f t="array" ref="I98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982" spans="1:9" hidden="1" x14ac:dyDescent="0.3">
      <c r="A982" s="82" t="str" cm="1">
        <f t="array" ref="A98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982" s="79">
        <f>'BKG Bank'!AK82</f>
        <v>0</v>
      </c>
      <c r="C982" s="108">
        <f>'BKG Bank'!AL82</f>
        <v>0</v>
      </c>
      <c r="D982" s="79" t="str" cm="1">
        <f t="array" ref="D98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982" s="79" t="str" cm="1">
        <f t="array" ref="E98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982" s="80" t="str" cm="1">
        <f t="array" ref="F98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982" s="80" t="str" cm="1">
        <f t="array" ref="G98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982" s="80" t="str" cm="1">
        <f t="array" ref="H98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982" s="78" t="str" cm="1">
        <f t="array" ref="I98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983" spans="1:9" hidden="1" x14ac:dyDescent="0.3">
      <c r="A983" s="82" t="str" cm="1">
        <f t="array" ref="A98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983" s="79">
        <f>'BKG Bank'!AK83</f>
        <v>0</v>
      </c>
      <c r="C983" s="108">
        <f>'BKG Bank'!AL83</f>
        <v>0</v>
      </c>
      <c r="D983" s="79" t="str" cm="1">
        <f t="array" ref="D98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983" s="79" t="str" cm="1">
        <f t="array" ref="E98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983" s="80" t="str" cm="1">
        <f t="array" ref="F98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983" s="80" t="str" cm="1">
        <f t="array" ref="G98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983" s="80" t="str" cm="1">
        <f t="array" ref="H98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983" s="78" t="str" cm="1">
        <f t="array" ref="I98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984" spans="1:9" hidden="1" x14ac:dyDescent="0.3">
      <c r="A984" s="82" t="str" cm="1">
        <f t="array" ref="A98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984" s="79">
        <f>'BKG Bank'!AK84</f>
        <v>0</v>
      </c>
      <c r="C984" s="108">
        <f>'BKG Bank'!AL84</f>
        <v>0</v>
      </c>
      <c r="D984" s="79" t="str" cm="1">
        <f t="array" ref="D98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984" s="79" t="str" cm="1">
        <f t="array" ref="E98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984" s="80" t="str" cm="1">
        <f t="array" ref="F98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984" s="80" t="str" cm="1">
        <f t="array" ref="G98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984" s="80" t="str" cm="1">
        <f t="array" ref="H98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984" s="78" t="str" cm="1">
        <f t="array" ref="I98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985" spans="1:9" hidden="1" x14ac:dyDescent="0.3">
      <c r="A985" s="82" t="str" cm="1">
        <f t="array" ref="A98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985" s="79">
        <f>'BKG Bank'!AK85</f>
        <v>0</v>
      </c>
      <c r="C985" s="108">
        <f>'BKG Bank'!AL85</f>
        <v>0</v>
      </c>
      <c r="D985" s="79" t="str" cm="1">
        <f t="array" ref="D98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985" s="79" t="str" cm="1">
        <f t="array" ref="E98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985" s="80" t="str" cm="1">
        <f t="array" ref="F98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985" s="80" t="str" cm="1">
        <f t="array" ref="G98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985" s="80" t="str" cm="1">
        <f t="array" ref="H98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985" s="78" t="str" cm="1">
        <f t="array" ref="I98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986" spans="1:9" hidden="1" x14ac:dyDescent="0.3">
      <c r="A986" s="82" t="str" cm="1">
        <f t="array" ref="A98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986" s="79">
        <f>'BKG Bank'!AK86</f>
        <v>0</v>
      </c>
      <c r="C986" s="108">
        <f>'BKG Bank'!AL86</f>
        <v>0</v>
      </c>
      <c r="D986" s="79" t="str" cm="1">
        <f t="array" ref="D98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986" s="79" t="str" cm="1">
        <f t="array" ref="E98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986" s="80" t="str" cm="1">
        <f t="array" ref="F98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986" s="80" t="str" cm="1">
        <f t="array" ref="G98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986" s="80" t="str" cm="1">
        <f t="array" ref="H98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986" s="78" t="str" cm="1">
        <f t="array" ref="I98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987" spans="1:9" hidden="1" x14ac:dyDescent="0.3">
      <c r="A987" s="82" t="str" cm="1">
        <f t="array" ref="A98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987" s="79">
        <f>'BKG Bank'!AK87</f>
        <v>0</v>
      </c>
      <c r="C987" s="108">
        <f>'BKG Bank'!AL87</f>
        <v>0</v>
      </c>
      <c r="D987" s="79" t="str" cm="1">
        <f t="array" ref="D98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987" s="79" t="str" cm="1">
        <f t="array" ref="E98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987" s="80" t="str" cm="1">
        <f t="array" ref="F98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987" s="80" t="str" cm="1">
        <f t="array" ref="G98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987" s="80" t="str" cm="1">
        <f t="array" ref="H98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987" s="78" t="str" cm="1">
        <f t="array" ref="I98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988" spans="1:9" hidden="1" x14ac:dyDescent="0.3">
      <c r="A988" s="82" t="str" cm="1">
        <f t="array" ref="A98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988" s="79">
        <f>'BKG Bank'!AK88</f>
        <v>0</v>
      </c>
      <c r="C988" s="108">
        <f>'BKG Bank'!AL88</f>
        <v>0</v>
      </c>
      <c r="D988" s="79" t="str" cm="1">
        <f t="array" ref="D98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988" s="79" t="str" cm="1">
        <f t="array" ref="E98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988" s="80" t="str" cm="1">
        <f t="array" ref="F98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988" s="80" t="str" cm="1">
        <f t="array" ref="G98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988" s="80" t="str" cm="1">
        <f t="array" ref="H98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988" s="78" t="str" cm="1">
        <f t="array" ref="I98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989" spans="1:9" hidden="1" x14ac:dyDescent="0.3">
      <c r="A989" s="82" t="str" cm="1">
        <f t="array" ref="A98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989" s="79">
        <f>'BKG Bank'!AK89</f>
        <v>0</v>
      </c>
      <c r="C989" s="108">
        <f>'BKG Bank'!AL89</f>
        <v>0</v>
      </c>
      <c r="D989" s="79" t="str" cm="1">
        <f t="array" ref="D98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989" s="79" t="str" cm="1">
        <f t="array" ref="E98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989" s="80" t="str" cm="1">
        <f t="array" ref="F98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989" s="80" t="str" cm="1">
        <f t="array" ref="G98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989" s="80" t="str" cm="1">
        <f t="array" ref="H98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989" s="78" t="str" cm="1">
        <f t="array" ref="I98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990" spans="1:9" hidden="1" x14ac:dyDescent="0.3">
      <c r="A990" s="82" t="str" cm="1">
        <f t="array" ref="A99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990" s="79">
        <f>'BKG Bank'!AK90</f>
        <v>0</v>
      </c>
      <c r="C990" s="108">
        <f>'BKG Bank'!AL90</f>
        <v>0</v>
      </c>
      <c r="D990" s="79" t="str" cm="1">
        <f t="array" ref="D99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990" s="79" t="str" cm="1">
        <f t="array" ref="E99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990" s="80" t="str" cm="1">
        <f t="array" ref="F99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990" s="80" t="str" cm="1">
        <f t="array" ref="G99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990" s="80" t="str" cm="1">
        <f t="array" ref="H99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990" s="78" t="str" cm="1">
        <f t="array" ref="I99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991" spans="1:9" hidden="1" x14ac:dyDescent="0.3">
      <c r="A991" s="82" t="str" cm="1">
        <f t="array" ref="A99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991" s="79">
        <f>'BKG Bank'!AK91</f>
        <v>0</v>
      </c>
      <c r="C991" s="108">
        <f>'BKG Bank'!AL91</f>
        <v>0</v>
      </c>
      <c r="D991" s="79" t="str" cm="1">
        <f t="array" ref="D99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991" s="79" t="str" cm="1">
        <f t="array" ref="E99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991" s="80" t="str" cm="1">
        <f t="array" ref="F99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991" s="80" t="str" cm="1">
        <f t="array" ref="G99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991" s="80" t="str" cm="1">
        <f t="array" ref="H99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991" s="78" t="str" cm="1">
        <f t="array" ref="I99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992" spans="1:9" hidden="1" x14ac:dyDescent="0.3">
      <c r="A992" s="82" t="str" cm="1">
        <f t="array" ref="A99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992" s="79">
        <f>'BKG Bank'!AK92</f>
        <v>0</v>
      </c>
      <c r="C992" s="108">
        <f>'BKG Bank'!AL92</f>
        <v>0</v>
      </c>
      <c r="D992" s="79" t="str" cm="1">
        <f t="array" ref="D99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992" s="79" t="str" cm="1">
        <f t="array" ref="E99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992" s="80" t="str" cm="1">
        <f t="array" ref="F99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992" s="80" t="str" cm="1">
        <f t="array" ref="G99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992" s="80" t="str" cm="1">
        <f t="array" ref="H99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992" s="78" t="str" cm="1">
        <f t="array" ref="I99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993" spans="1:9" hidden="1" x14ac:dyDescent="0.3">
      <c r="A993" s="82" t="str" cm="1">
        <f t="array" ref="A99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993" s="79">
        <f>'BKG Bank'!AK93</f>
        <v>0</v>
      </c>
      <c r="C993" s="108">
        <f>'BKG Bank'!AL93</f>
        <v>0</v>
      </c>
      <c r="D993" s="79" t="str" cm="1">
        <f t="array" ref="D99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993" s="79" t="str" cm="1">
        <f t="array" ref="E99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993" s="80" t="str" cm="1">
        <f t="array" ref="F99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993" s="80" t="str" cm="1">
        <f t="array" ref="G99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993" s="80" t="str" cm="1">
        <f t="array" ref="H99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993" s="78" t="str" cm="1">
        <f t="array" ref="I993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994" spans="1:9" hidden="1" x14ac:dyDescent="0.3">
      <c r="A994" s="82" t="str" cm="1">
        <f t="array" ref="A99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994" s="79">
        <f>'BKG Bank'!AK94</f>
        <v>0</v>
      </c>
      <c r="C994" s="108">
        <f>'BKG Bank'!AL94</f>
        <v>0</v>
      </c>
      <c r="D994" s="79" t="str" cm="1">
        <f t="array" ref="D99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994" s="79" t="str" cm="1">
        <f t="array" ref="E99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994" s="80" t="str" cm="1">
        <f t="array" ref="F99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994" s="80" t="str" cm="1">
        <f t="array" ref="G99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994" s="80" t="str" cm="1">
        <f t="array" ref="H99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994" s="78" t="str" cm="1">
        <f t="array" ref="I994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995" spans="1:9" hidden="1" x14ac:dyDescent="0.3">
      <c r="A995" s="82" t="str" cm="1">
        <f t="array" ref="A99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995" s="79">
        <f>'BKG Bank'!AK95</f>
        <v>0</v>
      </c>
      <c r="C995" s="108">
        <f>'BKG Bank'!AL95</f>
        <v>0</v>
      </c>
      <c r="D995" s="79" t="str" cm="1">
        <f t="array" ref="D99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995" s="79" t="str" cm="1">
        <f t="array" ref="E99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995" s="80" t="str" cm="1">
        <f t="array" ref="F99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995" s="80" t="str" cm="1">
        <f t="array" ref="G99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995" s="80" t="str" cm="1">
        <f t="array" ref="H99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995" s="78" t="str" cm="1">
        <f t="array" ref="I995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996" spans="1:9" hidden="1" x14ac:dyDescent="0.3">
      <c r="A996" s="82" t="str" cm="1">
        <f t="array" ref="A99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996" s="79">
        <f>'BKG Bank'!AK96</f>
        <v>0</v>
      </c>
      <c r="C996" s="108">
        <f>'BKG Bank'!AL96</f>
        <v>0</v>
      </c>
      <c r="D996" s="79" t="str" cm="1">
        <f t="array" ref="D99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996" s="79" t="str" cm="1">
        <f t="array" ref="E99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996" s="80" t="str" cm="1">
        <f t="array" ref="F99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996" s="80" t="str" cm="1">
        <f t="array" ref="G99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996" s="80" t="str" cm="1">
        <f t="array" ref="H99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996" s="78" t="str" cm="1">
        <f t="array" ref="I996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997" spans="1:9" hidden="1" x14ac:dyDescent="0.3">
      <c r="A997" s="82" t="str" cm="1">
        <f t="array" ref="A99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997" s="79">
        <f>'BKG Bank'!AK97</f>
        <v>0</v>
      </c>
      <c r="C997" s="108">
        <f>'BKG Bank'!AL97</f>
        <v>0</v>
      </c>
      <c r="D997" s="79" t="str" cm="1">
        <f t="array" ref="D99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997" s="79" t="str" cm="1">
        <f t="array" ref="E99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997" s="80" t="str" cm="1">
        <f t="array" ref="F99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997" s="80" t="str" cm="1">
        <f t="array" ref="G99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997" s="80" t="str" cm="1">
        <f t="array" ref="H99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997" s="78" t="str" cm="1">
        <f t="array" ref="I997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998" spans="1:9" hidden="1" x14ac:dyDescent="0.3">
      <c r="A998" s="82" t="str" cm="1">
        <f t="array" ref="A99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998" s="79">
        <f>'BKG Bank'!AK98</f>
        <v>0</v>
      </c>
      <c r="C998" s="108">
        <f>'BKG Bank'!AL98</f>
        <v>0</v>
      </c>
      <c r="D998" s="79" t="str" cm="1">
        <f t="array" ref="D99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998" s="79" t="str" cm="1">
        <f t="array" ref="E99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998" s="80" t="str" cm="1">
        <f t="array" ref="F99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998" s="80" t="str" cm="1">
        <f t="array" ref="G99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998" s="80" t="str" cm="1">
        <f t="array" ref="H99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998" s="78" t="str" cm="1">
        <f t="array" ref="I998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999" spans="1:9" hidden="1" x14ac:dyDescent="0.3">
      <c r="A999" s="82" t="str" cm="1">
        <f t="array" ref="A99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999" s="79">
        <f>'BKG Bank'!AK99</f>
        <v>0</v>
      </c>
      <c r="C999" s="108">
        <f>'BKG Bank'!AL99</f>
        <v>0</v>
      </c>
      <c r="D999" s="79" t="str" cm="1">
        <f t="array" ref="D99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999" s="79" t="str" cm="1">
        <f t="array" ref="E99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999" s="80" t="str" cm="1">
        <f t="array" ref="F99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999" s="80" t="str" cm="1">
        <f t="array" ref="G99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999" s="80" t="str" cm="1">
        <f t="array" ref="H99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999" s="78" t="str" cm="1">
        <f t="array" ref="I999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1000" spans="1:9" hidden="1" x14ac:dyDescent="0.3">
      <c r="A1000" s="82" t="str" cm="1">
        <f t="array" ref="A100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1000" s="79">
        <f>'BKG Bank'!AK100</f>
        <v>0</v>
      </c>
      <c r="C1000" s="108">
        <f>'BKG Bank'!AL100</f>
        <v>0</v>
      </c>
      <c r="D1000" s="79" t="str" cm="1">
        <f t="array" ref="D100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1000" s="79" t="str" cm="1">
        <f t="array" ref="E100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1000" s="80" t="str" cm="1">
        <f t="array" ref="F100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1000" s="80" t="str" cm="1">
        <f t="array" ref="G100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1000" s="80" t="str" cm="1">
        <f t="array" ref="H100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1000" s="78" t="str" cm="1">
        <f t="array" ref="I1000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1001" spans="1:9" hidden="1" x14ac:dyDescent="0.3">
      <c r="A1001" s="82" t="str" cm="1">
        <f t="array" ref="A100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1001" s="79">
        <f>'BKG Bank'!AK101</f>
        <v>0</v>
      </c>
      <c r="C1001" s="108">
        <f>'BKG Bank'!AL101</f>
        <v>0</v>
      </c>
      <c r="D1001" s="79" t="str" cm="1">
        <f t="array" ref="D100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1001" s="79" t="str" cm="1">
        <f t="array" ref="E100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1001" s="80" t="str" cm="1">
        <f t="array" ref="F100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1001" s="80" t="str" cm="1">
        <f t="array" ref="G100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1001" s="80" t="str" cm="1">
        <f t="array" ref="H100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1001" s="78" t="str" cm="1">
        <f t="array" ref="I1001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  <row r="1002" spans="1:9" hidden="1" x14ac:dyDescent="0.3">
      <c r="A1002" s="82" t="str" cm="1">
        <f t="array" ref="A100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B1002" s="79">
        <f>'BKG Bank'!AK102</f>
        <v>0</v>
      </c>
      <c r="C1002" s="108">
        <f>'BKG Bank'!AL102</f>
        <v>0</v>
      </c>
      <c r="D1002" s="79" t="str" cm="1">
        <f t="array" ref="D100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E1002" s="79" t="str" cm="1">
        <f t="array" ref="E100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F1002" s="80" t="str" cm="1">
        <f t="array" ref="F100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G1002" s="80" t="str" cm="1">
        <f t="array" ref="G100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H1002" s="80" t="str" cm="1">
        <f t="array" ref="H100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  <c r="I1002" s="78" t="str" cm="1">
        <f t="array" ref="I1002">IFERROR(
    INDEX('BKG Bank'!#REF!,
          SMALL(
              IF(('BKG Bank'!#REF! &gt;= $A$2) * ('BKG Bank'!#REF! &lt;= $B$2),
                 ROW('BKG Bank'!#REF!) - ROW('BKG Bank'!#REF!) + 1, ""),
              ROW() - ROW($B$5) + 1)
          ),
    ""
)</f>
        <v/>
      </c>
    </row>
  </sheetData>
  <pageMargins left="0.25" right="0.25" top="0.75" bottom="0.75" header="0.3" footer="0.3"/>
  <pageSetup paperSize="9" scale="74" fitToHeight="0" orientation="portrait" r:id="rId1"/>
  <headerFooter>
    <oddHeader>&amp;L&amp;G&amp;C&amp;"-,Bold"&amp;20DEPARTUREL LIST</oddHeader>
    <oddFooter>&amp;L&amp;P of &amp;N&amp;RIssues On :&amp;D @ &amp;T</oddFooter>
  </headerFooter>
  <legacyDrawingHF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60E8D0-6635-4EED-BA8F-3BF874BED0F7}">
  <sheetPr codeName="Sheet11">
    <tabColor rgb="FFFF0000"/>
  </sheetPr>
  <dimension ref="A1:I2000"/>
  <sheetViews>
    <sheetView topLeftCell="A1927" zoomScale="120" zoomScaleNormal="120" workbookViewId="0">
      <selection activeCell="A1938" sqref="A1938"/>
    </sheetView>
  </sheetViews>
  <sheetFormatPr defaultColWidth="11.44140625" defaultRowHeight="14.4" x14ac:dyDescent="0.3"/>
  <cols>
    <col min="1" max="1" width="40.88671875" style="1" customWidth="1"/>
    <col min="2" max="2" width="63.5546875" style="1" customWidth="1"/>
    <col min="3" max="3" width="11.5546875" style="1" bestFit="1" customWidth="1"/>
    <col min="4" max="4" width="11.44140625" style="1" customWidth="1"/>
    <col min="5" max="5" width="0.109375" style="1" customWidth="1"/>
    <col min="6" max="6" width="13.109375" style="1" customWidth="1"/>
    <col min="7" max="7" width="0.33203125" style="2" hidden="1" customWidth="1"/>
    <col min="8" max="8" width="14.88671875" style="1" customWidth="1"/>
    <col min="9" max="9" width="23.6640625" style="1" bestFit="1" customWidth="1"/>
    <col min="10" max="56" width="11.44140625" style="1" customWidth="1"/>
    <col min="57" max="16384" width="11.44140625" style="1"/>
  </cols>
  <sheetData>
    <row r="1" spans="1:9" ht="36.75" customHeight="1" x14ac:dyDescent="0.3">
      <c r="A1" s="102" t="s">
        <v>8</v>
      </c>
      <c r="B1" s="102" t="s">
        <v>9</v>
      </c>
      <c r="C1" s="102" t="s">
        <v>322</v>
      </c>
      <c r="D1" s="102" t="s">
        <v>228</v>
      </c>
      <c r="E1" s="102" t="s">
        <v>229</v>
      </c>
      <c r="F1" s="102" t="s">
        <v>323</v>
      </c>
      <c r="G1" s="103" t="s">
        <v>324</v>
      </c>
      <c r="H1" s="102" t="s">
        <v>325</v>
      </c>
      <c r="I1" s="102" t="s">
        <v>326</v>
      </c>
    </row>
    <row r="2" spans="1:9" x14ac:dyDescent="0.3">
      <c r="A2" s="1" t="s">
        <v>290</v>
      </c>
      <c r="B2" s="107" t="s">
        <v>327</v>
      </c>
      <c r="C2" s="1">
        <v>-1</v>
      </c>
      <c r="D2" s="105">
        <v>45986</v>
      </c>
      <c r="E2" s="105">
        <f>G2</f>
        <v>45989</v>
      </c>
      <c r="F2" s="105">
        <v>45988</v>
      </c>
      <c r="G2" s="105">
        <f>F2+1</f>
        <v>45989</v>
      </c>
      <c r="H2" s="105" t="e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#VALUE!</v>
      </c>
      <c r="I2" s="95"/>
    </row>
    <row r="3" spans="1:9" x14ac:dyDescent="0.3">
      <c r="A3" s="1" t="s">
        <v>292</v>
      </c>
      <c r="B3" s="8"/>
      <c r="C3" s="1">
        <v>-1</v>
      </c>
      <c r="D3" s="105">
        <v>45976</v>
      </c>
      <c r="E3" s="105"/>
      <c r="F3" s="105">
        <v>45976</v>
      </c>
      <c r="G3" s="105"/>
      <c r="H3" s="105" t="e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#VALUE!</v>
      </c>
      <c r="I3" s="95"/>
    </row>
    <row r="4" spans="1:9" x14ac:dyDescent="0.3">
      <c r="A4" s="1" t="s">
        <v>292</v>
      </c>
      <c r="B4" s="8"/>
      <c r="C4" s="1">
        <v>-1</v>
      </c>
      <c r="D4" s="105">
        <v>45985</v>
      </c>
      <c r="E4" s="105"/>
      <c r="F4" s="105">
        <v>45985</v>
      </c>
      <c r="G4" s="105"/>
      <c r="H4" s="105" t="e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#VALUE!</v>
      </c>
      <c r="I4" s="95"/>
    </row>
    <row r="5" spans="1:9" x14ac:dyDescent="0.3">
      <c r="A5" s="1" t="s">
        <v>292</v>
      </c>
      <c r="B5" s="8"/>
      <c r="C5" s="1">
        <v>-1</v>
      </c>
      <c r="D5" s="105">
        <v>45989</v>
      </c>
      <c r="E5" s="105"/>
      <c r="F5" s="105">
        <v>45989</v>
      </c>
      <c r="G5" s="105"/>
      <c r="H5" s="105" t="e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#VALUE!</v>
      </c>
      <c r="I5" s="95"/>
    </row>
    <row r="6" spans="1:9" x14ac:dyDescent="0.3">
      <c r="A6" s="101" t="s">
        <v>291</v>
      </c>
      <c r="B6" s="5"/>
      <c r="C6" s="1">
        <v>-1</v>
      </c>
      <c r="D6" s="105">
        <v>45974</v>
      </c>
      <c r="E6" s="105"/>
      <c r="F6" s="105">
        <v>45975</v>
      </c>
      <c r="G6" s="105"/>
      <c r="H6" s="105" t="e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#VALUE!</v>
      </c>
      <c r="I6" s="95"/>
    </row>
    <row r="7" spans="1:9" x14ac:dyDescent="0.3">
      <c r="A7" s="101" t="s">
        <v>291</v>
      </c>
      <c r="B7" s="5"/>
      <c r="C7" s="1">
        <v>-1</v>
      </c>
      <c r="D7" s="105">
        <v>45982</v>
      </c>
      <c r="E7" s="105"/>
      <c r="F7" s="105">
        <v>45984</v>
      </c>
      <c r="G7" s="105"/>
      <c r="H7" s="105" t="e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#VALUE!</v>
      </c>
      <c r="I7" s="95"/>
    </row>
    <row r="8" spans="1:9" x14ac:dyDescent="0.3">
      <c r="A8" s="101" t="s">
        <v>66</v>
      </c>
      <c r="B8" s="6"/>
      <c r="C8" s="1">
        <v>-1</v>
      </c>
      <c r="D8" s="105">
        <v>45967</v>
      </c>
      <c r="E8" s="105"/>
      <c r="F8" s="105">
        <v>45967</v>
      </c>
      <c r="G8" s="105"/>
      <c r="H8" s="105" t="e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#VALUE!</v>
      </c>
      <c r="I8" s="95"/>
    </row>
    <row r="9" spans="1:9" x14ac:dyDescent="0.3">
      <c r="A9" s="101" t="s">
        <v>66</v>
      </c>
      <c r="B9" s="6"/>
      <c r="C9" s="1">
        <v>-1</v>
      </c>
      <c r="D9" s="105">
        <v>45969</v>
      </c>
      <c r="E9" s="105"/>
      <c r="F9" s="105">
        <v>45973</v>
      </c>
      <c r="G9" s="105"/>
      <c r="H9" s="105" t="e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#VALUE!</v>
      </c>
      <c r="I9" s="95"/>
    </row>
    <row r="10" spans="1:9" x14ac:dyDescent="0.3">
      <c r="A10" s="101" t="s">
        <v>66</v>
      </c>
      <c r="B10" s="5"/>
      <c r="C10" s="1">
        <v>-1</v>
      </c>
      <c r="D10" s="105">
        <v>45984</v>
      </c>
      <c r="E10" s="105"/>
      <c r="F10" s="105">
        <v>45984</v>
      </c>
      <c r="G10" s="105"/>
      <c r="H10" s="105" t="e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#VALUE!</v>
      </c>
      <c r="I10" s="95"/>
    </row>
    <row r="11" spans="1:9" x14ac:dyDescent="0.3">
      <c r="A11" s="101" t="s">
        <v>66</v>
      </c>
      <c r="B11" s="5"/>
      <c r="C11" s="1">
        <v>-1</v>
      </c>
      <c r="D11" s="105">
        <v>45987</v>
      </c>
      <c r="E11" s="105"/>
      <c r="F11" s="105">
        <v>45987</v>
      </c>
      <c r="G11" s="105"/>
      <c r="H11" s="105" t="e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#VALUE!</v>
      </c>
      <c r="I11" s="95"/>
    </row>
    <row r="12" spans="1:9" x14ac:dyDescent="0.3">
      <c r="A12" s="101" t="s">
        <v>66</v>
      </c>
      <c r="B12" s="6"/>
      <c r="C12" s="1">
        <v>-1</v>
      </c>
      <c r="D12" s="105">
        <v>45965</v>
      </c>
      <c r="E12" s="105"/>
      <c r="F12" s="105">
        <v>45969</v>
      </c>
      <c r="G12" s="105"/>
      <c r="H12" s="105" t="e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#VALUE!</v>
      </c>
      <c r="I12" s="95"/>
    </row>
    <row r="13" spans="1:9" x14ac:dyDescent="0.3">
      <c r="A13" s="101" t="s">
        <v>66</v>
      </c>
      <c r="B13" s="6"/>
      <c r="C13" s="1">
        <v>-1</v>
      </c>
      <c r="D13" s="105">
        <v>45983</v>
      </c>
      <c r="E13" s="105"/>
      <c r="F13" s="105">
        <v>45986</v>
      </c>
      <c r="G13" s="105"/>
      <c r="H13" s="105" t="e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#VALUE!</v>
      </c>
      <c r="I13" s="95"/>
    </row>
    <row r="14" spans="1:9" x14ac:dyDescent="0.3">
      <c r="A14" s="101" t="s">
        <v>66</v>
      </c>
      <c r="B14" s="5"/>
      <c r="C14" s="1">
        <v>-1</v>
      </c>
      <c r="D14" s="105">
        <v>45999</v>
      </c>
      <c r="E14" s="105"/>
      <c r="F14" s="105">
        <v>46004</v>
      </c>
      <c r="G14" s="105"/>
      <c r="H14" s="105" t="e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#VALUE!</v>
      </c>
      <c r="I14" s="95"/>
    </row>
    <row r="15" spans="1:9" x14ac:dyDescent="0.3">
      <c r="A15" s="101" t="s">
        <v>89</v>
      </c>
      <c r="B15" s="5"/>
      <c r="C15" s="1">
        <v>-1</v>
      </c>
      <c r="D15" s="105">
        <v>45972</v>
      </c>
      <c r="E15" s="105"/>
      <c r="F15" s="105">
        <v>45974</v>
      </c>
      <c r="G15" s="105"/>
      <c r="H15" s="105" t="e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#VALUE!</v>
      </c>
      <c r="I15" s="95"/>
    </row>
    <row r="16" spans="1:9" x14ac:dyDescent="0.3">
      <c r="A16" s="101" t="s">
        <v>307</v>
      </c>
      <c r="B16" s="5"/>
      <c r="C16" s="1">
        <v>-1</v>
      </c>
      <c r="D16" s="105">
        <v>45973</v>
      </c>
      <c r="E16" s="105"/>
      <c r="F16" s="105">
        <v>45986</v>
      </c>
      <c r="G16" s="105"/>
      <c r="H16" s="105" t="e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#VALUE!</v>
      </c>
      <c r="I16" s="95"/>
    </row>
    <row r="17" spans="1:9" x14ac:dyDescent="0.3">
      <c r="A17" s="101" t="s">
        <v>307</v>
      </c>
      <c r="B17" s="6"/>
      <c r="C17" s="1">
        <v>-1</v>
      </c>
      <c r="D17" s="105">
        <v>46021</v>
      </c>
      <c r="E17" s="105"/>
      <c r="F17" s="105">
        <v>46024</v>
      </c>
      <c r="G17" s="105"/>
      <c r="H17" s="105" t="e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#VALUE!</v>
      </c>
      <c r="I17" s="95"/>
    </row>
    <row r="18" spans="1:9" x14ac:dyDescent="0.3">
      <c r="A18" s="101" t="s">
        <v>307</v>
      </c>
      <c r="B18" s="5"/>
      <c r="C18" s="1">
        <v>-1</v>
      </c>
      <c r="D18" s="105">
        <v>45965</v>
      </c>
      <c r="E18" s="105"/>
      <c r="F18" s="105">
        <v>46000</v>
      </c>
      <c r="G18" s="105"/>
      <c r="H18" s="105" t="e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#VALUE!</v>
      </c>
      <c r="I18" s="95"/>
    </row>
    <row r="19" spans="1:9" x14ac:dyDescent="0.3">
      <c r="A19" s="101" t="s">
        <v>307</v>
      </c>
      <c r="B19" s="5"/>
      <c r="C19" s="1">
        <v>-1</v>
      </c>
      <c r="D19" s="105">
        <v>46016</v>
      </c>
      <c r="E19" s="105"/>
      <c r="F19" s="105">
        <v>46029</v>
      </c>
      <c r="G19" s="105"/>
      <c r="H19" s="105" t="e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#VALUE!</v>
      </c>
      <c r="I19" s="95"/>
    </row>
    <row r="20" spans="1:9" x14ac:dyDescent="0.3">
      <c r="A20" s="101" t="s">
        <v>307</v>
      </c>
      <c r="B20" s="6"/>
      <c r="C20" s="1">
        <v>-1</v>
      </c>
      <c r="D20" s="105">
        <v>45965</v>
      </c>
      <c r="E20" s="105"/>
      <c r="F20" s="105">
        <v>45999</v>
      </c>
      <c r="G20" s="105"/>
      <c r="H20" s="105" t="e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#VALUE!</v>
      </c>
      <c r="I20" s="95"/>
    </row>
    <row r="21" spans="1:9" x14ac:dyDescent="0.3">
      <c r="A21" s="101" t="s">
        <v>307</v>
      </c>
      <c r="B21" s="99"/>
      <c r="C21" s="1">
        <v>-1</v>
      </c>
      <c r="D21" s="105">
        <v>46017</v>
      </c>
      <c r="E21" s="105"/>
      <c r="F21" s="105">
        <v>46032</v>
      </c>
      <c r="G21" s="105"/>
      <c r="H21" s="105" t="e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#VALUE!</v>
      </c>
      <c r="I21" s="95"/>
    </row>
    <row r="22" spans="1:9" x14ac:dyDescent="0.3">
      <c r="A22" s="101" t="s">
        <v>307</v>
      </c>
      <c r="B22" s="5"/>
      <c r="C22" s="1">
        <v>-1</v>
      </c>
      <c r="D22" s="105">
        <v>45965</v>
      </c>
      <c r="E22" s="105"/>
      <c r="F22" s="105">
        <v>45988</v>
      </c>
      <c r="G22" s="105"/>
      <c r="H22" s="105" t="e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#VALUE!</v>
      </c>
      <c r="I22" s="95"/>
    </row>
    <row r="23" spans="1:9" x14ac:dyDescent="0.3">
      <c r="A23" s="101" t="s">
        <v>307</v>
      </c>
      <c r="B23" s="5"/>
      <c r="C23" s="1">
        <v>-1</v>
      </c>
      <c r="D23" s="105">
        <v>46017</v>
      </c>
      <c r="E23" s="105"/>
      <c r="F23" s="105">
        <v>46029</v>
      </c>
      <c r="G23" s="105"/>
      <c r="H23" s="105" t="e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#VALUE!</v>
      </c>
      <c r="I23" s="95"/>
    </row>
    <row r="24" spans="1:9" x14ac:dyDescent="0.3">
      <c r="A24" s="96" t="s">
        <v>123</v>
      </c>
      <c r="B24" s="5"/>
      <c r="C24" s="1">
        <v>-1</v>
      </c>
      <c r="D24" s="105">
        <v>45998</v>
      </c>
      <c r="E24" s="105"/>
      <c r="F24" s="105">
        <v>46007</v>
      </c>
      <c r="G24" s="105"/>
      <c r="H24" s="105" t="e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#VALUE!</v>
      </c>
      <c r="I24" s="95"/>
    </row>
    <row r="25" spans="1:9" x14ac:dyDescent="0.3">
      <c r="A25" s="96" t="s">
        <v>123</v>
      </c>
      <c r="B25" s="5"/>
      <c r="C25" s="1">
        <v>-1</v>
      </c>
      <c r="D25" s="105">
        <v>46018</v>
      </c>
      <c r="E25" s="105"/>
      <c r="F25" s="105">
        <v>46020</v>
      </c>
      <c r="G25" s="105"/>
      <c r="H25" s="105" t="e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#VALUE!</v>
      </c>
      <c r="I25" s="95"/>
    </row>
    <row r="26" spans="1:9" x14ac:dyDescent="0.3">
      <c r="A26" s="96" t="s">
        <v>123</v>
      </c>
      <c r="B26" s="6"/>
      <c r="C26" s="1">
        <v>-1</v>
      </c>
      <c r="D26" s="105">
        <v>45960</v>
      </c>
      <c r="E26" s="105"/>
      <c r="F26" s="105">
        <v>45997</v>
      </c>
      <c r="G26" s="105"/>
      <c r="H26" s="105" t="e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#VALUE!</v>
      </c>
      <c r="I26" s="95"/>
    </row>
    <row r="27" spans="1:9" x14ac:dyDescent="0.3">
      <c r="A27" s="96" t="s">
        <v>123</v>
      </c>
      <c r="B27" s="6"/>
      <c r="C27" s="1">
        <v>-1</v>
      </c>
      <c r="D27" s="105">
        <v>46015</v>
      </c>
      <c r="E27" s="105"/>
      <c r="F27" s="105">
        <v>46025</v>
      </c>
      <c r="G27" s="105"/>
      <c r="H27" s="105" t="e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#VALUE!</v>
      </c>
      <c r="I27" s="95"/>
    </row>
    <row r="28" spans="1:9" x14ac:dyDescent="0.3">
      <c r="A28" s="96" t="s">
        <v>123</v>
      </c>
      <c r="B28" s="5"/>
      <c r="C28" s="1">
        <v>-1</v>
      </c>
      <c r="D28" s="105">
        <v>45960</v>
      </c>
      <c r="E28" s="105"/>
      <c r="F28" s="105">
        <v>45989</v>
      </c>
      <c r="G28" s="105"/>
      <c r="H28" s="105" t="e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#VALUE!</v>
      </c>
      <c r="I28" s="95"/>
    </row>
    <row r="29" spans="1:9" x14ac:dyDescent="0.3">
      <c r="A29" s="96" t="s">
        <v>123</v>
      </c>
      <c r="B29" s="5"/>
      <c r="C29" s="1">
        <v>-1</v>
      </c>
      <c r="D29" s="105">
        <v>45993</v>
      </c>
      <c r="E29" s="105"/>
      <c r="F29" s="105">
        <v>45996</v>
      </c>
      <c r="G29" s="105"/>
      <c r="H29" s="105" t="e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#VALUE!</v>
      </c>
      <c r="I29" s="95"/>
    </row>
    <row r="30" spans="1:9" x14ac:dyDescent="0.3">
      <c r="A30" s="96" t="s">
        <v>123</v>
      </c>
      <c r="B30" s="6"/>
      <c r="C30" s="1">
        <v>-1</v>
      </c>
      <c r="D30" s="105">
        <v>46018</v>
      </c>
      <c r="E30" s="105"/>
      <c r="F30" s="105">
        <v>46027</v>
      </c>
      <c r="G30" s="105"/>
      <c r="H30" s="105" t="e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#VALUE!</v>
      </c>
      <c r="I30" s="95"/>
    </row>
    <row r="31" spans="1:9" x14ac:dyDescent="0.3">
      <c r="A31" s="96" t="s">
        <v>123</v>
      </c>
      <c r="B31" s="6"/>
      <c r="C31" s="1">
        <v>-1</v>
      </c>
      <c r="D31" s="105">
        <v>45960</v>
      </c>
      <c r="E31" s="105"/>
      <c r="F31" s="105">
        <v>45987</v>
      </c>
      <c r="G31" s="105"/>
      <c r="H31" s="105" t="e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#VALUE!</v>
      </c>
      <c r="I31" s="95"/>
    </row>
    <row r="32" spans="1:9" x14ac:dyDescent="0.3">
      <c r="A32" s="96" t="s">
        <v>123</v>
      </c>
      <c r="B32" s="5"/>
      <c r="C32" s="1">
        <v>-1</v>
      </c>
      <c r="D32" s="105">
        <v>45993</v>
      </c>
      <c r="E32" s="105"/>
      <c r="F32" s="105">
        <v>45996</v>
      </c>
      <c r="G32" s="105"/>
      <c r="H32" s="105" t="e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#VALUE!</v>
      </c>
      <c r="I32" s="95"/>
    </row>
    <row r="33" spans="1:9" x14ac:dyDescent="0.3">
      <c r="A33" s="96" t="s">
        <v>123</v>
      </c>
      <c r="B33" s="5"/>
      <c r="C33" s="1">
        <v>-1</v>
      </c>
      <c r="D33" s="105">
        <v>46021</v>
      </c>
      <c r="E33" s="105"/>
      <c r="F33" s="105">
        <v>46027</v>
      </c>
      <c r="G33" s="105"/>
      <c r="H33" s="105" t="e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#VALUE!</v>
      </c>
      <c r="I33" s="95"/>
    </row>
    <row r="34" spans="1:9" x14ac:dyDescent="0.3">
      <c r="A34" s="96" t="s">
        <v>123</v>
      </c>
      <c r="B34" s="6"/>
      <c r="C34" s="1">
        <v>-1</v>
      </c>
      <c r="D34" s="105">
        <v>45960</v>
      </c>
      <c r="E34" s="105"/>
      <c r="F34" s="105">
        <v>45983</v>
      </c>
      <c r="G34" s="105"/>
      <c r="H34" s="105" t="e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#VALUE!</v>
      </c>
      <c r="I34" s="95"/>
    </row>
    <row r="35" spans="1:9" x14ac:dyDescent="0.3">
      <c r="A35" s="96" t="s">
        <v>123</v>
      </c>
      <c r="B35" s="6"/>
      <c r="C35" s="1">
        <v>-1</v>
      </c>
      <c r="D35" s="105">
        <v>45993</v>
      </c>
      <c r="E35" s="105"/>
      <c r="F35" s="105">
        <v>45996</v>
      </c>
      <c r="G35" s="105"/>
      <c r="H35" s="105" t="e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#VALUE!</v>
      </c>
      <c r="I35" s="95"/>
    </row>
    <row r="36" spans="1:9" x14ac:dyDescent="0.3">
      <c r="A36" s="96" t="s">
        <v>123</v>
      </c>
      <c r="B36" s="5"/>
      <c r="C36" s="1">
        <v>-1</v>
      </c>
      <c r="D36" s="105">
        <v>46021</v>
      </c>
      <c r="E36" s="105">
        <f t="shared" ref="E36:E67" si="0">G36</f>
        <v>46026</v>
      </c>
      <c r="F36" s="105">
        <v>46025</v>
      </c>
      <c r="G36" s="105">
        <f t="shared" ref="G36:G99" si="1">F36+1</f>
        <v>46026</v>
      </c>
      <c r="H36" s="105" t="e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#VALUE!</v>
      </c>
      <c r="I36" s="95"/>
    </row>
    <row r="37" spans="1:9" x14ac:dyDescent="0.3">
      <c r="A37" s="96" t="s">
        <v>123</v>
      </c>
      <c r="B37" s="6"/>
      <c r="C37" s="1">
        <v>-1</v>
      </c>
      <c r="D37" s="105">
        <v>45960</v>
      </c>
      <c r="E37" s="105">
        <f t="shared" si="0"/>
        <v>45987</v>
      </c>
      <c r="F37" s="105">
        <v>45986</v>
      </c>
      <c r="G37" s="105">
        <f t="shared" si="1"/>
        <v>45987</v>
      </c>
      <c r="H37" s="105" t="e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#VALUE!</v>
      </c>
      <c r="I37" s="95"/>
    </row>
    <row r="38" spans="1:9" x14ac:dyDescent="0.3">
      <c r="A38" s="96" t="s">
        <v>123</v>
      </c>
      <c r="B38" s="6"/>
      <c r="C38" s="1">
        <v>-1</v>
      </c>
      <c r="D38" s="105">
        <v>45993</v>
      </c>
      <c r="E38" s="105">
        <f t="shared" si="0"/>
        <v>45997</v>
      </c>
      <c r="F38" s="105">
        <v>45996</v>
      </c>
      <c r="G38" s="105">
        <f t="shared" si="1"/>
        <v>45997</v>
      </c>
      <c r="H38" s="105" t="e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#VALUE!</v>
      </c>
      <c r="I38" s="95"/>
    </row>
    <row r="39" spans="1:9" x14ac:dyDescent="0.3">
      <c r="A39" s="96" t="s">
        <v>123</v>
      </c>
      <c r="B39" s="6"/>
      <c r="C39" s="1">
        <v>-1</v>
      </c>
      <c r="D39" s="105">
        <v>46021</v>
      </c>
      <c r="E39" s="105">
        <f t="shared" si="0"/>
        <v>46026</v>
      </c>
      <c r="F39" s="105">
        <v>46025</v>
      </c>
      <c r="G39" s="105">
        <f t="shared" si="1"/>
        <v>46026</v>
      </c>
      <c r="H39" s="105" t="e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#VALUE!</v>
      </c>
      <c r="I39" s="95"/>
    </row>
    <row r="40" spans="1:9" x14ac:dyDescent="0.3">
      <c r="A40" s="96" t="s">
        <v>123</v>
      </c>
      <c r="B40" s="6"/>
      <c r="C40" s="1">
        <v>-1</v>
      </c>
      <c r="D40" s="105">
        <v>45960</v>
      </c>
      <c r="E40" s="105">
        <f t="shared" si="0"/>
        <v>45978</v>
      </c>
      <c r="F40" s="105">
        <v>45977</v>
      </c>
      <c r="G40" s="105">
        <f t="shared" si="1"/>
        <v>45978</v>
      </c>
      <c r="H40" s="105" t="e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#VALUE!</v>
      </c>
      <c r="I40" s="95"/>
    </row>
    <row r="41" spans="1:9" x14ac:dyDescent="0.3">
      <c r="A41" s="96" t="s">
        <v>123</v>
      </c>
      <c r="B41" s="6"/>
      <c r="C41" s="1">
        <v>-1</v>
      </c>
      <c r="D41" s="105">
        <v>45993</v>
      </c>
      <c r="E41" s="105">
        <f t="shared" si="0"/>
        <v>45997</v>
      </c>
      <c r="F41" s="105">
        <v>45996</v>
      </c>
      <c r="G41" s="105">
        <f t="shared" si="1"/>
        <v>45997</v>
      </c>
      <c r="H41" s="105" t="e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#VALUE!</v>
      </c>
      <c r="I41" s="95"/>
    </row>
    <row r="42" spans="1:9" x14ac:dyDescent="0.3">
      <c r="A42" s="96" t="s">
        <v>123</v>
      </c>
      <c r="B42" s="6"/>
      <c r="C42" s="1">
        <v>-1</v>
      </c>
      <c r="D42" s="105">
        <v>46021</v>
      </c>
      <c r="E42" s="105">
        <f t="shared" si="0"/>
        <v>46026</v>
      </c>
      <c r="F42" s="105">
        <v>46025</v>
      </c>
      <c r="G42" s="105">
        <f t="shared" si="1"/>
        <v>46026</v>
      </c>
      <c r="H42" s="105" t="e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#VALUE!</v>
      </c>
      <c r="I42" s="95"/>
    </row>
    <row r="43" spans="1:9" x14ac:dyDescent="0.3">
      <c r="A43" s="96" t="s">
        <v>123</v>
      </c>
      <c r="B43" s="6"/>
      <c r="C43" s="1">
        <v>-1</v>
      </c>
      <c r="D43" s="105">
        <v>45960</v>
      </c>
      <c r="E43" s="105">
        <f t="shared" si="0"/>
        <v>45983</v>
      </c>
      <c r="F43" s="105">
        <v>45982</v>
      </c>
      <c r="G43" s="105">
        <f t="shared" si="1"/>
        <v>45983</v>
      </c>
      <c r="H43" s="105" t="e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#VALUE!</v>
      </c>
      <c r="I43" s="95"/>
    </row>
    <row r="44" spans="1:9" x14ac:dyDescent="0.3">
      <c r="A44" s="96" t="s">
        <v>123</v>
      </c>
      <c r="B44" s="6"/>
      <c r="C44" s="1">
        <v>-1</v>
      </c>
      <c r="D44" s="105">
        <v>45993</v>
      </c>
      <c r="E44" s="105">
        <f t="shared" si="0"/>
        <v>45997</v>
      </c>
      <c r="F44" s="105">
        <v>45996</v>
      </c>
      <c r="G44" s="105">
        <f t="shared" si="1"/>
        <v>45997</v>
      </c>
      <c r="H44" s="105" t="e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#VALUE!</v>
      </c>
      <c r="I44" s="95"/>
    </row>
    <row r="45" spans="1:9" x14ac:dyDescent="0.3">
      <c r="A45" s="96" t="s">
        <v>123</v>
      </c>
      <c r="B45" s="6"/>
      <c r="C45" s="1">
        <v>-1</v>
      </c>
      <c r="D45" s="105">
        <v>46021</v>
      </c>
      <c r="E45" s="105">
        <f t="shared" si="0"/>
        <v>46031</v>
      </c>
      <c r="F45" s="105">
        <v>46030</v>
      </c>
      <c r="G45" s="105">
        <f t="shared" si="1"/>
        <v>46031</v>
      </c>
      <c r="H45" s="105" t="e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#VALUE!</v>
      </c>
      <c r="I45" s="95"/>
    </row>
    <row r="46" spans="1:9" x14ac:dyDescent="0.3">
      <c r="A46" s="96" t="s">
        <v>123</v>
      </c>
      <c r="B46" s="6"/>
      <c r="C46" s="1">
        <v>-1</v>
      </c>
      <c r="D46" s="105">
        <v>45960</v>
      </c>
      <c r="E46" s="105">
        <f t="shared" si="0"/>
        <v>46129</v>
      </c>
      <c r="F46" s="105">
        <v>46128</v>
      </c>
      <c r="G46" s="105">
        <f t="shared" si="1"/>
        <v>46129</v>
      </c>
      <c r="H46" s="105" t="e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#VALUE!</v>
      </c>
      <c r="I46" s="95"/>
    </row>
    <row r="47" spans="1:9" x14ac:dyDescent="0.3">
      <c r="A47" s="96" t="s">
        <v>123</v>
      </c>
      <c r="B47" s="6"/>
      <c r="C47" s="1">
        <v>-1</v>
      </c>
      <c r="D47" s="105">
        <v>45946</v>
      </c>
      <c r="E47" s="105">
        <f t="shared" si="0"/>
        <v>46046</v>
      </c>
      <c r="F47" s="105">
        <v>46045</v>
      </c>
      <c r="G47" s="105">
        <f t="shared" si="1"/>
        <v>46046</v>
      </c>
      <c r="H47" s="105" t="e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#VALUE!</v>
      </c>
      <c r="I47" s="95"/>
    </row>
    <row r="48" spans="1:9" x14ac:dyDescent="0.3">
      <c r="A48" s="96" t="s">
        <v>117</v>
      </c>
      <c r="B48" s="6"/>
      <c r="C48" s="1">
        <v>-1</v>
      </c>
      <c r="D48" s="105">
        <v>45994</v>
      </c>
      <c r="E48" s="105">
        <f t="shared" si="0"/>
        <v>45995</v>
      </c>
      <c r="F48" s="105">
        <v>45994</v>
      </c>
      <c r="G48" s="105">
        <f t="shared" si="1"/>
        <v>45995</v>
      </c>
      <c r="H48" s="105" t="e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#VALUE!</v>
      </c>
      <c r="I48" s="95"/>
    </row>
    <row r="49" spans="1:9" x14ac:dyDescent="0.3">
      <c r="A49" s="96" t="s">
        <v>328</v>
      </c>
      <c r="B49" s="6"/>
      <c r="C49" s="1">
        <v>-1</v>
      </c>
      <c r="D49" s="105">
        <v>45995</v>
      </c>
      <c r="E49" s="105">
        <f t="shared" si="0"/>
        <v>46000</v>
      </c>
      <c r="F49" s="105">
        <v>45999</v>
      </c>
      <c r="G49" s="105">
        <f t="shared" si="1"/>
        <v>46000</v>
      </c>
      <c r="H49" s="105" t="e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#VALUE!</v>
      </c>
      <c r="I49" s="95"/>
    </row>
    <row r="50" spans="1:9" x14ac:dyDescent="0.3">
      <c r="A50" s="96" t="s">
        <v>329</v>
      </c>
      <c r="B50" s="6"/>
      <c r="C50" s="1">
        <v>-1</v>
      </c>
      <c r="D50" s="105">
        <v>46000</v>
      </c>
      <c r="E50" s="105">
        <f t="shared" si="0"/>
        <v>46002</v>
      </c>
      <c r="F50" s="105">
        <v>46001</v>
      </c>
      <c r="G50" s="105">
        <f t="shared" si="1"/>
        <v>46002</v>
      </c>
      <c r="H50" s="105" t="e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#VALUE!</v>
      </c>
      <c r="I50" s="95"/>
    </row>
    <row r="51" spans="1:9" x14ac:dyDescent="0.3">
      <c r="A51" s="96" t="s">
        <v>330</v>
      </c>
      <c r="B51" s="6"/>
      <c r="C51" s="1">
        <v>-1</v>
      </c>
      <c r="D51" s="105">
        <v>46009</v>
      </c>
      <c r="E51" s="105">
        <f t="shared" si="0"/>
        <v>46011</v>
      </c>
      <c r="F51" s="105">
        <v>46010</v>
      </c>
      <c r="G51" s="105">
        <f t="shared" si="1"/>
        <v>46011</v>
      </c>
      <c r="H51" s="105" t="e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#VALUE!</v>
      </c>
      <c r="I51" s="95"/>
    </row>
    <row r="52" spans="1:9" x14ac:dyDescent="0.3">
      <c r="A52" s="96" t="s">
        <v>331</v>
      </c>
      <c r="B52" s="6"/>
      <c r="C52" s="1">
        <v>-1</v>
      </c>
      <c r="D52" s="105">
        <v>46025</v>
      </c>
      <c r="E52" s="105">
        <f t="shared" si="0"/>
        <v>46030</v>
      </c>
      <c r="F52" s="105">
        <v>46029</v>
      </c>
      <c r="G52" s="105">
        <f t="shared" si="1"/>
        <v>46030</v>
      </c>
      <c r="H52" s="105" t="e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#VALUE!</v>
      </c>
      <c r="I52" s="95"/>
    </row>
    <row r="53" spans="1:9" x14ac:dyDescent="0.3">
      <c r="A53" s="96" t="s">
        <v>332</v>
      </c>
      <c r="B53" s="6"/>
      <c r="C53" s="1">
        <v>-1</v>
      </c>
      <c r="D53" s="105">
        <v>45995</v>
      </c>
      <c r="E53" s="105">
        <f t="shared" si="0"/>
        <v>45997</v>
      </c>
      <c r="F53" s="105">
        <v>45996</v>
      </c>
      <c r="G53" s="105">
        <f t="shared" si="1"/>
        <v>45997</v>
      </c>
      <c r="H53" s="105" t="e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#VALUE!</v>
      </c>
      <c r="I53" s="95"/>
    </row>
    <row r="54" spans="1:9" x14ac:dyDescent="0.3">
      <c r="A54" s="96" t="s">
        <v>333</v>
      </c>
      <c r="B54" s="6"/>
      <c r="C54" s="1">
        <v>-1</v>
      </c>
      <c r="D54" s="105">
        <v>46023</v>
      </c>
      <c r="E54" s="105">
        <f t="shared" si="0"/>
        <v>46026</v>
      </c>
      <c r="F54" s="105">
        <v>46025</v>
      </c>
      <c r="G54" s="105">
        <f t="shared" si="1"/>
        <v>46026</v>
      </c>
      <c r="H54" s="105" t="e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#VALUE!</v>
      </c>
      <c r="I54" s="95"/>
    </row>
    <row r="55" spans="1:9" x14ac:dyDescent="0.3">
      <c r="A55" s="96" t="s">
        <v>334</v>
      </c>
      <c r="B55" s="6"/>
      <c r="C55" s="1">
        <v>-1</v>
      </c>
      <c r="D55" s="105">
        <v>46046</v>
      </c>
      <c r="E55" s="105">
        <f t="shared" si="0"/>
        <v>46054</v>
      </c>
      <c r="F55" s="105">
        <v>46053</v>
      </c>
      <c r="G55" s="105">
        <f t="shared" si="1"/>
        <v>46054</v>
      </c>
      <c r="H55" s="105" t="e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#VALUE!</v>
      </c>
      <c r="I55" s="95"/>
    </row>
    <row r="56" spans="1:9" x14ac:dyDescent="0.3">
      <c r="A56" s="96" t="s">
        <v>335</v>
      </c>
      <c r="B56" s="6"/>
      <c r="C56" s="1">
        <v>-1</v>
      </c>
      <c r="D56" s="105">
        <v>46077</v>
      </c>
      <c r="E56" s="105">
        <f t="shared" si="0"/>
        <v>46079</v>
      </c>
      <c r="F56" s="105">
        <v>46078</v>
      </c>
      <c r="G56" s="105">
        <f t="shared" si="1"/>
        <v>46079</v>
      </c>
      <c r="H56" s="105" t="e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#VALUE!</v>
      </c>
      <c r="I56" s="95"/>
    </row>
    <row r="57" spans="1:9" x14ac:dyDescent="0.3">
      <c r="A57" s="96" t="s">
        <v>336</v>
      </c>
      <c r="B57" s="6"/>
      <c r="C57" s="1">
        <v>-1</v>
      </c>
      <c r="D57" s="105">
        <v>46097</v>
      </c>
      <c r="E57" s="105">
        <f t="shared" si="0"/>
        <v>46100</v>
      </c>
      <c r="F57" s="105">
        <v>46099</v>
      </c>
      <c r="G57" s="105">
        <f t="shared" si="1"/>
        <v>46100</v>
      </c>
      <c r="H57" s="105" t="e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#VALUE!</v>
      </c>
      <c r="I57" s="95"/>
    </row>
    <row r="58" spans="1:9" s="97" customFormat="1" x14ac:dyDescent="0.3">
      <c r="A58" s="100" t="s">
        <v>95</v>
      </c>
      <c r="B58" s="9"/>
      <c r="C58" s="97">
        <v>-1</v>
      </c>
      <c r="D58" s="106">
        <v>45989</v>
      </c>
      <c r="E58" s="106">
        <f t="shared" si="0"/>
        <v>45990</v>
      </c>
      <c r="F58" s="106">
        <v>45989</v>
      </c>
      <c r="G58" s="106">
        <f t="shared" si="1"/>
        <v>45990</v>
      </c>
      <c r="H58" s="106" t="e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#VALUE!</v>
      </c>
      <c r="I58" s="98"/>
    </row>
    <row r="59" spans="1:9" x14ac:dyDescent="0.3">
      <c r="A59" s="96" t="s">
        <v>96</v>
      </c>
      <c r="B59" s="6"/>
      <c r="C59" s="1">
        <v>-1</v>
      </c>
      <c r="D59" s="105">
        <v>45981</v>
      </c>
      <c r="E59" s="105">
        <f t="shared" si="0"/>
        <v>45982</v>
      </c>
      <c r="F59" s="105">
        <v>45981</v>
      </c>
      <c r="G59" s="105">
        <f t="shared" si="1"/>
        <v>45982</v>
      </c>
      <c r="H59" s="105" t="e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#VALUE!</v>
      </c>
      <c r="I59" s="95"/>
    </row>
    <row r="60" spans="1:9" x14ac:dyDescent="0.3">
      <c r="A60" s="96" t="s">
        <v>337</v>
      </c>
      <c r="B60" s="6"/>
      <c r="C60" s="1">
        <v>-1</v>
      </c>
      <c r="D60" s="105">
        <v>46015</v>
      </c>
      <c r="E60" s="105">
        <f t="shared" si="0"/>
        <v>46018</v>
      </c>
      <c r="F60" s="105">
        <v>46017</v>
      </c>
      <c r="G60" s="105">
        <f t="shared" si="1"/>
        <v>46018</v>
      </c>
      <c r="H60" s="105" t="e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#VALUE!</v>
      </c>
      <c r="I60" s="95"/>
    </row>
    <row r="61" spans="1:9" x14ac:dyDescent="0.3">
      <c r="A61" s="96" t="s">
        <v>338</v>
      </c>
      <c r="B61" s="6"/>
      <c r="C61" s="1">
        <v>-1</v>
      </c>
      <c r="D61" s="105">
        <v>46015</v>
      </c>
      <c r="E61" s="105">
        <f t="shared" si="0"/>
        <v>46019</v>
      </c>
      <c r="F61" s="105">
        <v>46018</v>
      </c>
      <c r="G61" s="105">
        <f t="shared" si="1"/>
        <v>46019</v>
      </c>
      <c r="H61" s="105" t="e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#VALUE!</v>
      </c>
      <c r="I61" s="95"/>
    </row>
    <row r="62" spans="1:9" x14ac:dyDescent="0.3">
      <c r="A62" s="96" t="s">
        <v>339</v>
      </c>
      <c r="B62" s="6"/>
      <c r="C62" s="1">
        <v>-1</v>
      </c>
      <c r="D62" s="105">
        <v>45989</v>
      </c>
      <c r="E62" s="105">
        <f t="shared" si="0"/>
        <v>45990</v>
      </c>
      <c r="F62" s="105">
        <v>45989</v>
      </c>
      <c r="G62" s="105">
        <f t="shared" si="1"/>
        <v>45990</v>
      </c>
      <c r="H62" s="105" t="e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#VALUE!</v>
      </c>
      <c r="I62" s="95"/>
    </row>
    <row r="63" spans="1:9" x14ac:dyDescent="0.3">
      <c r="A63" s="96" t="s">
        <v>340</v>
      </c>
      <c r="B63" s="6"/>
      <c r="C63" s="1">
        <v>-1</v>
      </c>
      <c r="D63" s="105">
        <v>46004</v>
      </c>
      <c r="E63" s="105">
        <f t="shared" si="0"/>
        <v>46005</v>
      </c>
      <c r="F63" s="105">
        <v>46004</v>
      </c>
      <c r="G63" s="105">
        <f t="shared" si="1"/>
        <v>46005</v>
      </c>
      <c r="H63" s="105" t="e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#VALUE!</v>
      </c>
      <c r="I63" s="95"/>
    </row>
    <row r="64" spans="1:9" x14ac:dyDescent="0.3">
      <c r="A64" s="96" t="s">
        <v>341</v>
      </c>
      <c r="B64" s="6"/>
      <c r="C64" s="1">
        <v>-1</v>
      </c>
      <c r="D64" s="105">
        <v>46024</v>
      </c>
      <c r="E64" s="105">
        <f t="shared" si="0"/>
        <v>46025</v>
      </c>
      <c r="F64" s="105">
        <v>46024</v>
      </c>
      <c r="G64" s="105">
        <f t="shared" si="1"/>
        <v>46025</v>
      </c>
      <c r="H64" s="105" t="e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#VALUE!</v>
      </c>
      <c r="I64" s="95"/>
    </row>
    <row r="65" spans="1:9" x14ac:dyDescent="0.3">
      <c r="A65" s="96" t="s">
        <v>103</v>
      </c>
      <c r="B65" s="6"/>
      <c r="C65" s="1">
        <v>-1</v>
      </c>
      <c r="D65" s="105">
        <v>46014</v>
      </c>
      <c r="E65" s="105">
        <f t="shared" si="0"/>
        <v>46018</v>
      </c>
      <c r="F65" s="105">
        <v>46017</v>
      </c>
      <c r="G65" s="105">
        <f t="shared" si="1"/>
        <v>46018</v>
      </c>
      <c r="H65" s="105" t="e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#VALUE!</v>
      </c>
      <c r="I65" s="95"/>
    </row>
    <row r="66" spans="1:9" x14ac:dyDescent="0.3">
      <c r="A66" s="96" t="s">
        <v>103</v>
      </c>
      <c r="B66" s="6"/>
      <c r="C66" s="1">
        <v>-1</v>
      </c>
      <c r="D66" s="105">
        <v>46014</v>
      </c>
      <c r="E66" s="105">
        <f t="shared" si="0"/>
        <v>46018</v>
      </c>
      <c r="F66" s="105">
        <v>46017</v>
      </c>
      <c r="G66" s="105">
        <f t="shared" si="1"/>
        <v>46018</v>
      </c>
      <c r="H66" s="105" t="e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#VALUE!</v>
      </c>
      <c r="I66" s="95"/>
    </row>
    <row r="67" spans="1:9" x14ac:dyDescent="0.3">
      <c r="A67" s="96" t="s">
        <v>103</v>
      </c>
      <c r="B67" s="6"/>
      <c r="C67" s="1">
        <v>-1</v>
      </c>
      <c r="D67" s="105">
        <v>46073</v>
      </c>
      <c r="E67" s="105">
        <f t="shared" si="0"/>
        <v>46074</v>
      </c>
      <c r="F67" s="105">
        <v>46073</v>
      </c>
      <c r="G67" s="105">
        <f t="shared" si="1"/>
        <v>46074</v>
      </c>
      <c r="H67" s="105" t="e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#VALUE!</v>
      </c>
      <c r="I67" s="95"/>
    </row>
    <row r="68" spans="1:9" x14ac:dyDescent="0.3">
      <c r="A68" s="96" t="s">
        <v>113</v>
      </c>
      <c r="B68" s="6"/>
      <c r="C68" s="1">
        <v>-1</v>
      </c>
      <c r="D68" s="105">
        <v>45975</v>
      </c>
      <c r="E68" s="105">
        <f t="shared" ref="E68:E99" si="2">G68</f>
        <v>45977</v>
      </c>
      <c r="F68" s="105">
        <v>45976</v>
      </c>
      <c r="G68" s="105">
        <f t="shared" si="1"/>
        <v>45977</v>
      </c>
      <c r="H68" s="105" t="e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#VALUE!</v>
      </c>
      <c r="I68" s="95"/>
    </row>
    <row r="69" spans="1:9" x14ac:dyDescent="0.3">
      <c r="A69" s="96" t="s">
        <v>113</v>
      </c>
      <c r="B69" s="6"/>
      <c r="C69" s="1">
        <v>-1</v>
      </c>
      <c r="D69" s="105">
        <v>46021</v>
      </c>
      <c r="E69" s="105">
        <f t="shared" si="2"/>
        <v>46027</v>
      </c>
      <c r="F69" s="105">
        <v>46026</v>
      </c>
      <c r="G69" s="105">
        <f t="shared" si="1"/>
        <v>46027</v>
      </c>
      <c r="H69" s="105" t="e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#VALUE!</v>
      </c>
      <c r="I69" s="95"/>
    </row>
    <row r="70" spans="1:9" x14ac:dyDescent="0.3">
      <c r="A70" s="96" t="s">
        <v>113</v>
      </c>
      <c r="B70" s="6"/>
      <c r="C70" s="1">
        <v>-1</v>
      </c>
      <c r="D70" s="105">
        <v>46022</v>
      </c>
      <c r="E70" s="105">
        <f t="shared" si="2"/>
        <v>46027</v>
      </c>
      <c r="F70" s="105">
        <v>46026</v>
      </c>
      <c r="G70" s="105">
        <f t="shared" si="1"/>
        <v>46027</v>
      </c>
      <c r="H70" s="105" t="e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#VALUE!</v>
      </c>
      <c r="I70" s="95"/>
    </row>
    <row r="71" spans="1:9" x14ac:dyDescent="0.3">
      <c r="A71" s="96" t="s">
        <v>117</v>
      </c>
      <c r="B71" s="6"/>
      <c r="C71" s="1">
        <v>-1</v>
      </c>
      <c r="D71" s="105">
        <v>45992</v>
      </c>
      <c r="E71" s="105">
        <f t="shared" si="2"/>
        <v>45993</v>
      </c>
      <c r="F71" s="105">
        <v>45992</v>
      </c>
      <c r="G71" s="105">
        <f t="shared" si="1"/>
        <v>45993</v>
      </c>
      <c r="H71" s="105" t="e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#VALUE!</v>
      </c>
      <c r="I71" s="95"/>
    </row>
    <row r="72" spans="1:9" x14ac:dyDescent="0.3">
      <c r="A72" s="96" t="s">
        <v>328</v>
      </c>
      <c r="B72" s="6"/>
      <c r="C72" s="1">
        <v>-1</v>
      </c>
      <c r="D72" s="105">
        <v>46022</v>
      </c>
      <c r="E72" s="105">
        <f t="shared" si="2"/>
        <v>46026</v>
      </c>
      <c r="F72" s="105">
        <v>46025</v>
      </c>
      <c r="G72" s="105">
        <f t="shared" si="1"/>
        <v>46026</v>
      </c>
      <c r="H72" s="105" t="e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#VALUE!</v>
      </c>
      <c r="I72" s="95"/>
    </row>
    <row r="73" spans="1:9" x14ac:dyDescent="0.3">
      <c r="A73" s="96" t="s">
        <v>299</v>
      </c>
      <c r="B73" s="6"/>
      <c r="C73" s="1">
        <v>-1</v>
      </c>
      <c r="D73" s="105">
        <v>45999</v>
      </c>
      <c r="E73" s="105">
        <f t="shared" si="2"/>
        <v>46000</v>
      </c>
      <c r="F73" s="105">
        <v>45999</v>
      </c>
      <c r="G73" s="105">
        <f t="shared" si="1"/>
        <v>46000</v>
      </c>
      <c r="H73" s="105" t="e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#VALUE!</v>
      </c>
      <c r="I73" s="95"/>
    </row>
    <row r="74" spans="1:9" x14ac:dyDescent="0.3">
      <c r="A74" s="96" t="s">
        <v>66</v>
      </c>
      <c r="B74" s="6"/>
      <c r="C74" s="1">
        <v>-1</v>
      </c>
      <c r="D74" s="105">
        <v>46012</v>
      </c>
      <c r="E74" s="105">
        <f t="shared" si="2"/>
        <v>46022</v>
      </c>
      <c r="F74" s="105">
        <v>46021</v>
      </c>
      <c r="G74" s="105">
        <f t="shared" si="1"/>
        <v>46022</v>
      </c>
      <c r="H74" s="105" t="e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#VALUE!</v>
      </c>
      <c r="I74" s="95"/>
    </row>
    <row r="75" spans="1:9" x14ac:dyDescent="0.3">
      <c r="A75" s="96" t="s">
        <v>66</v>
      </c>
      <c r="B75" s="6"/>
      <c r="C75" s="1">
        <v>-1</v>
      </c>
      <c r="D75" s="105">
        <v>45967</v>
      </c>
      <c r="E75" s="105">
        <f t="shared" si="2"/>
        <v>45968</v>
      </c>
      <c r="F75" s="105">
        <v>45967</v>
      </c>
      <c r="G75" s="105">
        <f t="shared" si="1"/>
        <v>45968</v>
      </c>
      <c r="H75" s="105" t="e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#VALUE!</v>
      </c>
      <c r="I75" s="95"/>
    </row>
    <row r="76" spans="1:9" x14ac:dyDescent="0.3">
      <c r="A76" s="96" t="s">
        <v>66</v>
      </c>
      <c r="B76" s="6"/>
      <c r="C76" s="1">
        <v>-1</v>
      </c>
      <c r="D76" s="105">
        <v>45969</v>
      </c>
      <c r="E76" s="105">
        <f t="shared" si="2"/>
        <v>45970</v>
      </c>
      <c r="F76" s="105">
        <v>45969</v>
      </c>
      <c r="G76" s="105">
        <f t="shared" si="1"/>
        <v>45970</v>
      </c>
      <c r="H76" s="105" t="e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#VALUE!</v>
      </c>
      <c r="I76" s="95"/>
    </row>
    <row r="77" spans="1:9" x14ac:dyDescent="0.3">
      <c r="A77" s="96" t="s">
        <v>66</v>
      </c>
      <c r="B77" s="6"/>
      <c r="C77" s="1">
        <v>-1</v>
      </c>
      <c r="D77" s="105">
        <v>45970</v>
      </c>
      <c r="E77" s="105">
        <f t="shared" si="2"/>
        <v>45974</v>
      </c>
      <c r="F77" s="105">
        <v>45973</v>
      </c>
      <c r="G77" s="105">
        <f t="shared" si="1"/>
        <v>45974</v>
      </c>
      <c r="H77" s="105" t="e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#VALUE!</v>
      </c>
      <c r="I77" s="95"/>
    </row>
    <row r="78" spans="1:9" x14ac:dyDescent="0.3">
      <c r="A78" s="96" t="s">
        <v>66</v>
      </c>
      <c r="B78" s="6"/>
      <c r="C78" s="1">
        <v>-1</v>
      </c>
      <c r="D78" s="105">
        <v>45984</v>
      </c>
      <c r="E78" s="105">
        <f t="shared" si="2"/>
        <v>45988</v>
      </c>
      <c r="F78" s="105">
        <v>45987</v>
      </c>
      <c r="G78" s="105">
        <f t="shared" si="1"/>
        <v>45988</v>
      </c>
      <c r="H78" s="105" t="e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#VALUE!</v>
      </c>
      <c r="I78" s="95"/>
    </row>
    <row r="79" spans="1:9" x14ac:dyDescent="0.3">
      <c r="A79" s="96" t="s">
        <v>66</v>
      </c>
      <c r="B79" s="6"/>
      <c r="C79" s="1">
        <v>-1</v>
      </c>
      <c r="D79" s="105">
        <v>45965</v>
      </c>
      <c r="E79" s="105">
        <f t="shared" si="2"/>
        <v>45970</v>
      </c>
      <c r="F79" s="105">
        <v>45969</v>
      </c>
      <c r="G79" s="105">
        <f t="shared" si="1"/>
        <v>45970</v>
      </c>
      <c r="H79" s="105" t="e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#VALUE!</v>
      </c>
      <c r="I79" s="95"/>
    </row>
    <row r="80" spans="1:9" x14ac:dyDescent="0.3">
      <c r="A80" s="96" t="s">
        <v>66</v>
      </c>
      <c r="B80" s="6"/>
      <c r="C80" s="1">
        <v>-1</v>
      </c>
      <c r="D80" s="105">
        <v>45983</v>
      </c>
      <c r="E80" s="105">
        <f t="shared" si="2"/>
        <v>45988</v>
      </c>
      <c r="F80" s="105">
        <v>45987</v>
      </c>
      <c r="G80" s="105">
        <f t="shared" si="1"/>
        <v>45988</v>
      </c>
      <c r="H80" s="105" t="e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#VALUE!</v>
      </c>
      <c r="I80" s="95"/>
    </row>
    <row r="81" spans="1:9" x14ac:dyDescent="0.3">
      <c r="A81" s="96" t="s">
        <v>66</v>
      </c>
      <c r="B81" s="6"/>
      <c r="C81" s="1">
        <v>-1</v>
      </c>
      <c r="D81" s="105">
        <v>45999</v>
      </c>
      <c r="E81" s="105">
        <f t="shared" si="2"/>
        <v>46005</v>
      </c>
      <c r="F81" s="105">
        <v>46004</v>
      </c>
      <c r="G81" s="105">
        <f t="shared" si="1"/>
        <v>46005</v>
      </c>
      <c r="H81" s="105" t="e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#VALUE!</v>
      </c>
      <c r="I81" s="95"/>
    </row>
    <row r="82" spans="1:9" x14ac:dyDescent="0.3">
      <c r="A82" s="96" t="s">
        <v>66</v>
      </c>
      <c r="B82" s="6"/>
      <c r="C82" s="1">
        <v>-1</v>
      </c>
      <c r="D82" s="105">
        <v>46012</v>
      </c>
      <c r="E82" s="105">
        <f t="shared" si="2"/>
        <v>46022</v>
      </c>
      <c r="F82" s="105">
        <v>46021</v>
      </c>
      <c r="G82" s="105">
        <f t="shared" si="1"/>
        <v>46022</v>
      </c>
      <c r="H82" s="105" t="e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#VALUE!</v>
      </c>
      <c r="I82" s="95"/>
    </row>
    <row r="83" spans="1:9" x14ac:dyDescent="0.3">
      <c r="A83" s="96" t="s">
        <v>102</v>
      </c>
      <c r="B83" s="6"/>
      <c r="C83" s="1">
        <v>-1</v>
      </c>
      <c r="D83" s="105">
        <v>45973</v>
      </c>
      <c r="E83" s="105">
        <f t="shared" si="2"/>
        <v>45981</v>
      </c>
      <c r="F83" s="105">
        <v>45980</v>
      </c>
      <c r="G83" s="105">
        <f t="shared" si="1"/>
        <v>45981</v>
      </c>
      <c r="H83" s="105" t="e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#VALUE!</v>
      </c>
      <c r="I83" s="95"/>
    </row>
    <row r="84" spans="1:9" x14ac:dyDescent="0.3">
      <c r="A84" s="96" t="s">
        <v>102</v>
      </c>
      <c r="B84" s="6"/>
      <c r="C84" s="1">
        <v>-1</v>
      </c>
      <c r="D84" s="105">
        <v>45973</v>
      </c>
      <c r="E84" s="105">
        <f t="shared" si="2"/>
        <v>45981</v>
      </c>
      <c r="F84" s="105">
        <v>45980</v>
      </c>
      <c r="G84" s="105">
        <f t="shared" si="1"/>
        <v>45981</v>
      </c>
      <c r="H84" s="105" t="e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#VALUE!</v>
      </c>
      <c r="I84" s="95"/>
    </row>
    <row r="85" spans="1:9" x14ac:dyDescent="0.3">
      <c r="A85" s="96" t="s">
        <v>304</v>
      </c>
      <c r="B85" s="6"/>
      <c r="C85" s="1">
        <v>-1</v>
      </c>
      <c r="D85" s="105">
        <v>45969</v>
      </c>
      <c r="E85" s="105">
        <f t="shared" si="2"/>
        <v>45970</v>
      </c>
      <c r="F85" s="105">
        <v>45969</v>
      </c>
      <c r="G85" s="105">
        <f t="shared" si="1"/>
        <v>45970</v>
      </c>
      <c r="H85" s="105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45966</v>
      </c>
      <c r="I85" s="95" t="s">
        <v>342</v>
      </c>
    </row>
    <row r="86" spans="1:9" x14ac:dyDescent="0.3">
      <c r="A86" s="96" t="s">
        <v>126</v>
      </c>
      <c r="B86" s="6"/>
      <c r="C86" s="1">
        <v>-1</v>
      </c>
      <c r="D86" s="105">
        <v>46003</v>
      </c>
      <c r="E86" s="105">
        <f t="shared" si="2"/>
        <v>46004</v>
      </c>
      <c r="F86" s="105">
        <v>46003</v>
      </c>
      <c r="G86" s="105">
        <f t="shared" si="1"/>
        <v>46004</v>
      </c>
      <c r="H86" s="105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45966</v>
      </c>
      <c r="I86" s="95" t="s">
        <v>343</v>
      </c>
    </row>
    <row r="87" spans="1:9" x14ac:dyDescent="0.3">
      <c r="A87" s="96" t="s">
        <v>134</v>
      </c>
      <c r="B87" s="6"/>
      <c r="C87" s="1">
        <v>-1</v>
      </c>
      <c r="D87" s="105">
        <v>45966</v>
      </c>
      <c r="E87" s="105">
        <f t="shared" si="2"/>
        <v>45984</v>
      </c>
      <c r="F87" s="105">
        <v>45983</v>
      </c>
      <c r="G87" s="105">
        <f t="shared" si="1"/>
        <v>45984</v>
      </c>
      <c r="H87" s="105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45966</v>
      </c>
      <c r="I87" s="95" t="s">
        <v>344</v>
      </c>
    </row>
    <row r="88" spans="1:9" x14ac:dyDescent="0.3">
      <c r="A88" s="96" t="s">
        <v>67</v>
      </c>
      <c r="B88" s="6"/>
      <c r="C88" s="1">
        <v>-1</v>
      </c>
      <c r="D88" s="105">
        <v>46004</v>
      </c>
      <c r="E88" s="105">
        <f t="shared" si="2"/>
        <v>46005</v>
      </c>
      <c r="F88" s="105">
        <v>46004</v>
      </c>
      <c r="G88" s="105">
        <f t="shared" si="1"/>
        <v>46005</v>
      </c>
      <c r="H88" s="105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45966</v>
      </c>
      <c r="I88" s="95" t="s">
        <v>345</v>
      </c>
    </row>
    <row r="89" spans="1:9" x14ac:dyDescent="0.3">
      <c r="A89" s="96" t="s">
        <v>67</v>
      </c>
      <c r="B89" s="6"/>
      <c r="C89" s="1">
        <v>-1</v>
      </c>
      <c r="D89" s="105">
        <v>46014</v>
      </c>
      <c r="E89" s="105">
        <f t="shared" si="2"/>
        <v>46015</v>
      </c>
      <c r="F89" s="105">
        <v>46014</v>
      </c>
      <c r="G89" s="105">
        <f t="shared" si="1"/>
        <v>46015</v>
      </c>
      <c r="H89" s="105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45966</v>
      </c>
      <c r="I89" s="95" t="s">
        <v>345</v>
      </c>
    </row>
    <row r="90" spans="1:9" x14ac:dyDescent="0.3">
      <c r="A90" s="96" t="s">
        <v>133</v>
      </c>
      <c r="B90" s="6"/>
      <c r="C90" s="1">
        <v>-1</v>
      </c>
      <c r="D90" s="105">
        <v>45973</v>
      </c>
      <c r="E90" s="105">
        <f t="shared" si="2"/>
        <v>45978</v>
      </c>
      <c r="F90" s="105">
        <v>45977</v>
      </c>
      <c r="G90" s="105">
        <f t="shared" si="1"/>
        <v>45978</v>
      </c>
      <c r="H90" s="105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45966</v>
      </c>
      <c r="I90" s="95" t="s">
        <v>346</v>
      </c>
    </row>
    <row r="91" spans="1:9" x14ac:dyDescent="0.3">
      <c r="A91" s="96" t="s">
        <v>132</v>
      </c>
      <c r="B91" s="6"/>
      <c r="C91" s="1">
        <v>-1</v>
      </c>
      <c r="D91" s="105">
        <v>45972</v>
      </c>
      <c r="E91" s="105">
        <f t="shared" si="2"/>
        <v>45973</v>
      </c>
      <c r="F91" s="105">
        <v>45972</v>
      </c>
      <c r="G91" s="105">
        <f t="shared" si="1"/>
        <v>45973</v>
      </c>
      <c r="H91" s="105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45966</v>
      </c>
      <c r="I91" s="95" t="s">
        <v>347</v>
      </c>
    </row>
    <row r="92" spans="1:9" x14ac:dyDescent="0.3">
      <c r="A92" s="96" t="s">
        <v>114</v>
      </c>
      <c r="B92" s="6"/>
      <c r="C92" s="1">
        <v>-1</v>
      </c>
      <c r="D92" s="105">
        <v>45972</v>
      </c>
      <c r="E92" s="105">
        <f t="shared" si="2"/>
        <v>45973</v>
      </c>
      <c r="F92" s="105">
        <v>45972</v>
      </c>
      <c r="G92" s="105">
        <f t="shared" si="1"/>
        <v>45973</v>
      </c>
      <c r="H92" s="105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45966</v>
      </c>
      <c r="I92" s="95" t="s">
        <v>347</v>
      </c>
    </row>
    <row r="93" spans="1:9" x14ac:dyDescent="0.3">
      <c r="A93" s="96" t="s">
        <v>321</v>
      </c>
      <c r="B93" s="6"/>
      <c r="C93" s="1">
        <v>-1</v>
      </c>
      <c r="D93" s="105">
        <v>46021</v>
      </c>
      <c r="E93" s="105">
        <f t="shared" si="2"/>
        <v>46024</v>
      </c>
      <c r="F93" s="105">
        <v>46023</v>
      </c>
      <c r="G93" s="105">
        <f t="shared" si="1"/>
        <v>46024</v>
      </c>
      <c r="H93" s="105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45966</v>
      </c>
      <c r="I93" s="95" t="s">
        <v>348</v>
      </c>
    </row>
    <row r="94" spans="1:9" x14ac:dyDescent="0.3">
      <c r="A94" s="96" t="s">
        <v>299</v>
      </c>
      <c r="B94" s="6"/>
      <c r="C94" s="1">
        <v>-1</v>
      </c>
      <c r="D94" s="105">
        <v>45979</v>
      </c>
      <c r="E94" s="105">
        <f t="shared" si="2"/>
        <v>45980</v>
      </c>
      <c r="F94" s="105">
        <v>45979</v>
      </c>
      <c r="G94" s="105">
        <f t="shared" si="1"/>
        <v>45980</v>
      </c>
      <c r="H94" s="105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45966</v>
      </c>
      <c r="I94" s="95" t="s">
        <v>349</v>
      </c>
    </row>
    <row r="95" spans="1:9" x14ac:dyDescent="0.3">
      <c r="A95" s="96" t="s">
        <v>116</v>
      </c>
      <c r="B95" s="6"/>
      <c r="C95" s="1">
        <v>-1</v>
      </c>
      <c r="D95" s="105">
        <v>46109</v>
      </c>
      <c r="E95" s="105">
        <f t="shared" si="2"/>
        <v>46113</v>
      </c>
      <c r="F95" s="105">
        <v>46112</v>
      </c>
      <c r="G95" s="105">
        <f t="shared" si="1"/>
        <v>46113</v>
      </c>
      <c r="H95" s="105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45966</v>
      </c>
      <c r="I95" s="95" t="s">
        <v>350</v>
      </c>
    </row>
    <row r="96" spans="1:9" x14ac:dyDescent="0.3">
      <c r="A96" s="96" t="s">
        <v>116</v>
      </c>
      <c r="B96" s="6"/>
      <c r="C96" s="1">
        <v>-1</v>
      </c>
      <c r="D96" s="105">
        <v>46027</v>
      </c>
      <c r="E96" s="105">
        <f t="shared" si="2"/>
        <v>46030</v>
      </c>
      <c r="F96" s="105">
        <v>46029</v>
      </c>
      <c r="G96" s="105">
        <f t="shared" si="1"/>
        <v>46030</v>
      </c>
      <c r="H96" s="105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45966</v>
      </c>
      <c r="I96" s="95" t="s">
        <v>350</v>
      </c>
    </row>
    <row r="97" spans="1:9" x14ac:dyDescent="0.3">
      <c r="A97" s="96" t="s">
        <v>116</v>
      </c>
      <c r="B97" s="6"/>
      <c r="C97" s="1">
        <v>-1</v>
      </c>
      <c r="D97" s="105">
        <v>46113</v>
      </c>
      <c r="E97" s="105">
        <f t="shared" si="2"/>
        <v>46123</v>
      </c>
      <c r="F97" s="105">
        <v>46122</v>
      </c>
      <c r="G97" s="105">
        <f t="shared" si="1"/>
        <v>46123</v>
      </c>
      <c r="H97" s="105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45966</v>
      </c>
      <c r="I97" s="95" t="s">
        <v>350</v>
      </c>
    </row>
    <row r="98" spans="1:9" x14ac:dyDescent="0.3">
      <c r="A98" s="96" t="s">
        <v>116</v>
      </c>
      <c r="B98" s="6"/>
      <c r="C98" s="1">
        <v>-1</v>
      </c>
      <c r="D98" s="105">
        <v>46025</v>
      </c>
      <c r="E98" s="105">
        <f t="shared" si="2"/>
        <v>46027</v>
      </c>
      <c r="F98" s="105">
        <v>46026</v>
      </c>
      <c r="G98" s="105">
        <f t="shared" si="1"/>
        <v>46027</v>
      </c>
      <c r="H98" s="105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45966</v>
      </c>
      <c r="I98" s="95" t="s">
        <v>350</v>
      </c>
    </row>
    <row r="99" spans="1:9" x14ac:dyDescent="0.3">
      <c r="A99" s="96" t="s">
        <v>116</v>
      </c>
      <c r="B99" s="6"/>
      <c r="C99" s="1">
        <v>-1</v>
      </c>
      <c r="D99" s="105">
        <v>46113</v>
      </c>
      <c r="E99" s="105">
        <f t="shared" si="2"/>
        <v>46117</v>
      </c>
      <c r="F99" s="105">
        <v>46116</v>
      </c>
      <c r="G99" s="105">
        <f t="shared" si="1"/>
        <v>46117</v>
      </c>
      <c r="H99" s="105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45966</v>
      </c>
      <c r="I99" s="95" t="s">
        <v>350</v>
      </c>
    </row>
    <row r="100" spans="1:9" x14ac:dyDescent="0.3">
      <c r="A100" s="96" t="s">
        <v>116</v>
      </c>
      <c r="B100" s="6"/>
      <c r="C100" s="1">
        <v>-1</v>
      </c>
      <c r="D100" s="105">
        <v>46025</v>
      </c>
      <c r="E100" s="105">
        <f t="shared" ref="E100:E131" si="3">G100</f>
        <v>46031</v>
      </c>
      <c r="F100" s="105">
        <v>46030</v>
      </c>
      <c r="G100" s="105">
        <f t="shared" ref="G100:G163" si="4">F100+1</f>
        <v>46031</v>
      </c>
      <c r="H100" s="105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45966</v>
      </c>
      <c r="I100" s="95" t="s">
        <v>350</v>
      </c>
    </row>
    <row r="101" spans="1:9" x14ac:dyDescent="0.3">
      <c r="A101" s="96" t="s">
        <v>116</v>
      </c>
      <c r="B101" s="6"/>
      <c r="C101" s="1">
        <v>-1</v>
      </c>
      <c r="D101" s="105">
        <v>46094</v>
      </c>
      <c r="E101" s="105">
        <f t="shared" si="3"/>
        <v>46095</v>
      </c>
      <c r="F101" s="105">
        <v>46094</v>
      </c>
      <c r="G101" s="105">
        <f t="shared" si="4"/>
        <v>46095</v>
      </c>
      <c r="H101" s="105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45966</v>
      </c>
      <c r="I101" s="95" t="s">
        <v>350</v>
      </c>
    </row>
    <row r="102" spans="1:9" x14ac:dyDescent="0.3">
      <c r="A102" s="96" t="s">
        <v>116</v>
      </c>
      <c r="B102" s="6"/>
      <c r="C102" s="1">
        <v>-1</v>
      </c>
      <c r="D102" s="105">
        <v>45966</v>
      </c>
      <c r="E102" s="105">
        <f t="shared" si="3"/>
        <v>46143</v>
      </c>
      <c r="F102" s="105">
        <v>46142</v>
      </c>
      <c r="G102" s="105">
        <f t="shared" si="4"/>
        <v>46143</v>
      </c>
      <c r="H102" s="105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45966</v>
      </c>
      <c r="I102" s="95" t="s">
        <v>350</v>
      </c>
    </row>
    <row r="103" spans="1:9" x14ac:dyDescent="0.3">
      <c r="A103" s="96" t="s">
        <v>122</v>
      </c>
      <c r="B103" s="6"/>
      <c r="C103" s="1">
        <v>-1</v>
      </c>
      <c r="D103" s="105">
        <v>45977</v>
      </c>
      <c r="E103" s="105">
        <f t="shared" si="3"/>
        <v>45985</v>
      </c>
      <c r="F103" s="105">
        <v>45984</v>
      </c>
      <c r="G103" s="105">
        <f t="shared" si="4"/>
        <v>45985</v>
      </c>
      <c r="H103" s="105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45966</v>
      </c>
      <c r="I103" s="95" t="s">
        <v>351</v>
      </c>
    </row>
    <row r="104" spans="1:9" x14ac:dyDescent="0.3">
      <c r="A104" s="96" t="s">
        <v>78</v>
      </c>
      <c r="B104" s="6"/>
      <c r="C104" s="1">
        <v>-1</v>
      </c>
      <c r="D104" s="105">
        <v>45980</v>
      </c>
      <c r="E104" s="105">
        <f t="shared" si="3"/>
        <v>45981</v>
      </c>
      <c r="F104" s="105">
        <v>45980</v>
      </c>
      <c r="G104" s="105">
        <f t="shared" si="4"/>
        <v>45981</v>
      </c>
      <c r="H104" s="105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45967</v>
      </c>
      <c r="I104" s="95" t="s">
        <v>352</v>
      </c>
    </row>
    <row r="105" spans="1:9" x14ac:dyDescent="0.3">
      <c r="A105" s="96" t="s">
        <v>306</v>
      </c>
      <c r="B105" s="6"/>
      <c r="C105" s="1">
        <v>-1</v>
      </c>
      <c r="D105" s="105">
        <v>45980</v>
      </c>
      <c r="E105" s="105">
        <f t="shared" si="3"/>
        <v>45981</v>
      </c>
      <c r="F105" s="105">
        <v>45980</v>
      </c>
      <c r="G105" s="105">
        <f t="shared" si="4"/>
        <v>45981</v>
      </c>
      <c r="H105" s="105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45967</v>
      </c>
      <c r="I105" s="95" t="s">
        <v>352</v>
      </c>
    </row>
    <row r="106" spans="1:9" x14ac:dyDescent="0.3">
      <c r="A106" s="96" t="s">
        <v>102</v>
      </c>
      <c r="B106" s="6"/>
      <c r="C106" s="1">
        <v>-1</v>
      </c>
      <c r="D106" s="105">
        <v>45970</v>
      </c>
      <c r="E106" s="105">
        <f t="shared" si="3"/>
        <v>45973</v>
      </c>
      <c r="F106" s="105">
        <v>45972</v>
      </c>
      <c r="G106" s="105">
        <f t="shared" si="4"/>
        <v>45973</v>
      </c>
      <c r="H106" s="105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45967</v>
      </c>
      <c r="I106" s="95" t="s">
        <v>353</v>
      </c>
    </row>
    <row r="107" spans="1:9" x14ac:dyDescent="0.3">
      <c r="A107" s="96" t="s">
        <v>321</v>
      </c>
      <c r="B107" s="6"/>
      <c r="C107" s="1">
        <v>-1</v>
      </c>
      <c r="D107" s="105">
        <v>45982</v>
      </c>
      <c r="E107" s="105">
        <f t="shared" si="3"/>
        <v>45983</v>
      </c>
      <c r="F107" s="105">
        <v>45982</v>
      </c>
      <c r="G107" s="105">
        <f t="shared" si="4"/>
        <v>45983</v>
      </c>
      <c r="H107" s="105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45967</v>
      </c>
      <c r="I107" s="95" t="s">
        <v>354</v>
      </c>
    </row>
    <row r="108" spans="1:9" x14ac:dyDescent="0.3">
      <c r="A108" s="96" t="s">
        <v>126</v>
      </c>
      <c r="B108" s="6"/>
      <c r="C108" s="1">
        <v>-1</v>
      </c>
      <c r="D108" s="105">
        <v>46000</v>
      </c>
      <c r="E108" s="105">
        <f t="shared" si="3"/>
        <v>46001</v>
      </c>
      <c r="F108" s="105">
        <v>46000</v>
      </c>
      <c r="G108" s="105">
        <f t="shared" si="4"/>
        <v>46001</v>
      </c>
      <c r="H108" s="105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45967</v>
      </c>
      <c r="I108" s="95" t="s">
        <v>355</v>
      </c>
    </row>
    <row r="109" spans="1:9" x14ac:dyDescent="0.3">
      <c r="A109" s="96" t="s">
        <v>126</v>
      </c>
      <c r="B109" s="6"/>
      <c r="C109" s="1">
        <v>-1</v>
      </c>
      <c r="D109" s="105">
        <v>46002</v>
      </c>
      <c r="E109" s="105">
        <f t="shared" si="3"/>
        <v>46003</v>
      </c>
      <c r="F109" s="105">
        <v>46002</v>
      </c>
      <c r="G109" s="105">
        <f t="shared" si="4"/>
        <v>46003</v>
      </c>
      <c r="H109" s="105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45967</v>
      </c>
      <c r="I109" s="95" t="s">
        <v>355</v>
      </c>
    </row>
    <row r="110" spans="1:9" x14ac:dyDescent="0.3">
      <c r="A110" s="96" t="s">
        <v>62</v>
      </c>
      <c r="B110" s="6"/>
      <c r="C110" s="1">
        <v>-1</v>
      </c>
      <c r="D110" s="105">
        <v>46025</v>
      </c>
      <c r="E110" s="105">
        <f t="shared" si="3"/>
        <v>46026</v>
      </c>
      <c r="F110" s="105">
        <v>46025</v>
      </c>
      <c r="G110" s="105">
        <f t="shared" si="4"/>
        <v>46026</v>
      </c>
      <c r="H110" s="105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45967</v>
      </c>
      <c r="I110" s="95" t="s">
        <v>356</v>
      </c>
    </row>
    <row r="111" spans="1:9" x14ac:dyDescent="0.3">
      <c r="A111" s="96" t="s">
        <v>357</v>
      </c>
      <c r="B111" s="6"/>
      <c r="C111" s="1">
        <v>-1</v>
      </c>
      <c r="D111" s="105">
        <v>46023</v>
      </c>
      <c r="E111" s="105">
        <f t="shared" si="3"/>
        <v>46024</v>
      </c>
      <c r="F111" s="105">
        <v>46023</v>
      </c>
      <c r="G111" s="105">
        <f t="shared" si="4"/>
        <v>46024</v>
      </c>
      <c r="H111" s="105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45967</v>
      </c>
      <c r="I111" s="95" t="s">
        <v>358</v>
      </c>
    </row>
    <row r="112" spans="1:9" x14ac:dyDescent="0.3">
      <c r="A112" s="96" t="s">
        <v>64</v>
      </c>
      <c r="B112" s="6"/>
      <c r="C112" s="1">
        <v>-1</v>
      </c>
      <c r="D112" s="105">
        <v>45978</v>
      </c>
      <c r="E112" s="105">
        <f t="shared" si="3"/>
        <v>45979</v>
      </c>
      <c r="F112" s="105">
        <v>45978</v>
      </c>
      <c r="G112" s="105">
        <f t="shared" si="4"/>
        <v>45979</v>
      </c>
      <c r="H112" s="105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45967</v>
      </c>
      <c r="I112" s="95" t="s">
        <v>359</v>
      </c>
    </row>
    <row r="113" spans="1:9" x14ac:dyDescent="0.3">
      <c r="A113" s="96" t="s">
        <v>66</v>
      </c>
      <c r="B113" s="6"/>
      <c r="C113" s="1">
        <v>-1</v>
      </c>
      <c r="D113" s="105">
        <v>45992</v>
      </c>
      <c r="E113" s="105">
        <f t="shared" si="3"/>
        <v>45999</v>
      </c>
      <c r="F113" s="105">
        <v>45998</v>
      </c>
      <c r="G113" s="105">
        <f t="shared" si="4"/>
        <v>45999</v>
      </c>
      <c r="H113" s="105" t="e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#VALUE!</v>
      </c>
      <c r="I113" s="95"/>
    </row>
    <row r="114" spans="1:9" x14ac:dyDescent="0.3">
      <c r="A114" s="96" t="s">
        <v>123</v>
      </c>
      <c r="B114" s="6"/>
      <c r="C114" s="1">
        <v>-1</v>
      </c>
      <c r="D114" s="105">
        <v>46017</v>
      </c>
      <c r="E114" s="105">
        <f t="shared" si="3"/>
        <v>46018</v>
      </c>
      <c r="F114" s="105">
        <v>46017</v>
      </c>
      <c r="G114" s="105">
        <f t="shared" si="4"/>
        <v>46018</v>
      </c>
      <c r="H114" s="105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45967</v>
      </c>
      <c r="I114" s="95" t="s">
        <v>360</v>
      </c>
    </row>
    <row r="115" spans="1:9" x14ac:dyDescent="0.3">
      <c r="A115" s="96" t="s">
        <v>123</v>
      </c>
      <c r="B115" s="6"/>
      <c r="C115" s="1">
        <v>-1</v>
      </c>
      <c r="D115" s="105">
        <v>45986</v>
      </c>
      <c r="E115" s="105">
        <f t="shared" si="3"/>
        <v>45987</v>
      </c>
      <c r="F115" s="105">
        <v>45986</v>
      </c>
      <c r="G115" s="105">
        <f t="shared" si="4"/>
        <v>45987</v>
      </c>
      <c r="H115" s="105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45967</v>
      </c>
      <c r="I115" s="95" t="s">
        <v>360</v>
      </c>
    </row>
    <row r="116" spans="1:9" x14ac:dyDescent="0.3">
      <c r="A116" s="96" t="s">
        <v>123</v>
      </c>
      <c r="B116" s="6"/>
      <c r="C116" s="1">
        <v>-1</v>
      </c>
      <c r="D116" s="105">
        <v>46002</v>
      </c>
      <c r="E116" s="105">
        <f t="shared" si="3"/>
        <v>46005</v>
      </c>
      <c r="F116" s="105">
        <v>46004</v>
      </c>
      <c r="G116" s="105">
        <f t="shared" si="4"/>
        <v>46005</v>
      </c>
      <c r="H116" s="105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45967</v>
      </c>
      <c r="I116" s="95" t="s">
        <v>360</v>
      </c>
    </row>
    <row r="117" spans="1:9" x14ac:dyDescent="0.3">
      <c r="A117" s="96" t="s">
        <v>123</v>
      </c>
      <c r="B117" s="6"/>
      <c r="C117" s="1">
        <v>-1</v>
      </c>
      <c r="D117" s="105">
        <v>45986</v>
      </c>
      <c r="E117" s="105">
        <f t="shared" si="3"/>
        <v>45992</v>
      </c>
      <c r="F117" s="105">
        <v>45991</v>
      </c>
      <c r="G117" s="105">
        <f t="shared" si="4"/>
        <v>45992</v>
      </c>
      <c r="H117" s="105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45967</v>
      </c>
      <c r="I117" s="95" t="s">
        <v>360</v>
      </c>
    </row>
    <row r="118" spans="1:9" x14ac:dyDescent="0.3">
      <c r="A118" s="96" t="s">
        <v>123</v>
      </c>
      <c r="B118" s="6"/>
      <c r="C118" s="1">
        <v>-1</v>
      </c>
      <c r="D118" s="105">
        <v>45986</v>
      </c>
      <c r="E118" s="105">
        <f t="shared" si="3"/>
        <v>45989</v>
      </c>
      <c r="F118" s="105">
        <v>45988</v>
      </c>
      <c r="G118" s="105">
        <f t="shared" si="4"/>
        <v>45989</v>
      </c>
      <c r="H118" s="105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45967</v>
      </c>
      <c r="I118" s="95" t="s">
        <v>360</v>
      </c>
    </row>
    <row r="119" spans="1:9" x14ac:dyDescent="0.3">
      <c r="A119" s="96" t="s">
        <v>123</v>
      </c>
      <c r="B119" s="6"/>
      <c r="C119" s="1">
        <v>-1</v>
      </c>
      <c r="D119" s="105">
        <v>46012</v>
      </c>
      <c r="E119" s="105">
        <f t="shared" si="3"/>
        <v>46021</v>
      </c>
      <c r="F119" s="105">
        <v>46020</v>
      </c>
      <c r="G119" s="105">
        <f t="shared" si="4"/>
        <v>46021</v>
      </c>
      <c r="H119" s="105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45967</v>
      </c>
      <c r="I119" s="95" t="s">
        <v>360</v>
      </c>
    </row>
    <row r="120" spans="1:9" x14ac:dyDescent="0.3">
      <c r="A120" s="96" t="s">
        <v>80</v>
      </c>
      <c r="B120" s="6"/>
      <c r="C120" s="1">
        <v>-1</v>
      </c>
      <c r="D120" s="105">
        <v>45976</v>
      </c>
      <c r="E120" s="105">
        <f t="shared" si="3"/>
        <v>45980</v>
      </c>
      <c r="F120" s="105">
        <v>45979</v>
      </c>
      <c r="G120" s="105">
        <f t="shared" si="4"/>
        <v>45980</v>
      </c>
      <c r="H120" s="105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45967</v>
      </c>
      <c r="I120" s="95" t="s">
        <v>361</v>
      </c>
    </row>
    <row r="121" spans="1:9" x14ac:dyDescent="0.3">
      <c r="A121" s="96" t="s">
        <v>82</v>
      </c>
      <c r="B121" s="6"/>
      <c r="C121" s="1">
        <v>-1</v>
      </c>
      <c r="D121" s="105">
        <v>45974</v>
      </c>
      <c r="E121" s="105">
        <f t="shared" si="3"/>
        <v>45977</v>
      </c>
      <c r="F121" s="105">
        <v>45976</v>
      </c>
      <c r="G121" s="105">
        <f t="shared" si="4"/>
        <v>45977</v>
      </c>
      <c r="H121" s="105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45967</v>
      </c>
      <c r="I121" s="95" t="s">
        <v>362</v>
      </c>
    </row>
    <row r="122" spans="1:9" x14ac:dyDescent="0.3">
      <c r="A122" s="96" t="s">
        <v>82</v>
      </c>
      <c r="B122" s="6"/>
      <c r="C122" s="1">
        <v>-1</v>
      </c>
      <c r="D122" s="105">
        <v>45979</v>
      </c>
      <c r="E122" s="105">
        <f t="shared" si="3"/>
        <v>45981</v>
      </c>
      <c r="F122" s="105">
        <v>45980</v>
      </c>
      <c r="G122" s="105">
        <f t="shared" si="4"/>
        <v>45981</v>
      </c>
      <c r="H122" s="105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45967</v>
      </c>
      <c r="I122" s="95" t="s">
        <v>362</v>
      </c>
    </row>
    <row r="123" spans="1:9" x14ac:dyDescent="0.3">
      <c r="A123" s="96" t="s">
        <v>104</v>
      </c>
      <c r="B123" s="6"/>
      <c r="C123" s="1">
        <v>-1</v>
      </c>
      <c r="D123" s="105">
        <v>45984</v>
      </c>
      <c r="E123" s="105">
        <f t="shared" si="3"/>
        <v>45987</v>
      </c>
      <c r="F123" s="105">
        <v>45986</v>
      </c>
      <c r="G123" s="105">
        <f t="shared" si="4"/>
        <v>45987</v>
      </c>
      <c r="H123" s="105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45967</v>
      </c>
      <c r="I123" s="95" t="s">
        <v>363</v>
      </c>
    </row>
    <row r="124" spans="1:9" x14ac:dyDescent="0.3">
      <c r="A124" s="96" t="s">
        <v>104</v>
      </c>
      <c r="B124" s="6"/>
      <c r="C124" s="1">
        <v>-1</v>
      </c>
      <c r="D124" s="105">
        <v>45984</v>
      </c>
      <c r="E124" s="105">
        <f t="shared" si="3"/>
        <v>45987</v>
      </c>
      <c r="F124" s="105">
        <v>45986</v>
      </c>
      <c r="G124" s="105">
        <f t="shared" si="4"/>
        <v>45987</v>
      </c>
      <c r="H124" s="105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45967</v>
      </c>
      <c r="I124" s="95" t="s">
        <v>363</v>
      </c>
    </row>
    <row r="125" spans="1:9" x14ac:dyDescent="0.3">
      <c r="A125" s="96" t="s">
        <v>104</v>
      </c>
      <c r="B125" s="6"/>
      <c r="C125" s="1">
        <v>-1</v>
      </c>
      <c r="D125" s="105">
        <v>45985</v>
      </c>
      <c r="E125" s="105">
        <f t="shared" si="3"/>
        <v>45988</v>
      </c>
      <c r="F125" s="105">
        <v>45987</v>
      </c>
      <c r="G125" s="105">
        <f t="shared" si="4"/>
        <v>45988</v>
      </c>
      <c r="H125" s="105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45967</v>
      </c>
      <c r="I125" s="95" t="s">
        <v>363</v>
      </c>
    </row>
    <row r="126" spans="1:9" x14ac:dyDescent="0.3">
      <c r="A126" s="96" t="s">
        <v>129</v>
      </c>
      <c r="B126" s="6"/>
      <c r="C126" s="1">
        <v>-1</v>
      </c>
      <c r="D126" s="105">
        <v>45983</v>
      </c>
      <c r="E126" s="105">
        <f t="shared" si="3"/>
        <v>45984</v>
      </c>
      <c r="F126" s="105">
        <v>45983</v>
      </c>
      <c r="G126" s="105">
        <f t="shared" si="4"/>
        <v>45984</v>
      </c>
      <c r="H126" s="105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45968</v>
      </c>
      <c r="I126" s="95" t="s">
        <v>364</v>
      </c>
    </row>
    <row r="127" spans="1:9" x14ac:dyDescent="0.3">
      <c r="A127" s="96" t="s">
        <v>129</v>
      </c>
      <c r="B127" s="6"/>
      <c r="C127" s="1">
        <v>-1</v>
      </c>
      <c r="D127" s="105">
        <v>45981</v>
      </c>
      <c r="E127" s="105">
        <f t="shared" si="3"/>
        <v>45982</v>
      </c>
      <c r="F127" s="105">
        <v>45981</v>
      </c>
      <c r="G127" s="105">
        <f t="shared" si="4"/>
        <v>45982</v>
      </c>
      <c r="H127" s="105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45968</v>
      </c>
      <c r="I127" s="95" t="s">
        <v>365</v>
      </c>
    </row>
    <row r="128" spans="1:9" x14ac:dyDescent="0.3">
      <c r="A128" s="96" t="s">
        <v>129</v>
      </c>
      <c r="B128" s="6"/>
      <c r="C128" s="1">
        <v>-1</v>
      </c>
      <c r="D128" s="105">
        <v>45983</v>
      </c>
      <c r="E128" s="105">
        <f t="shared" si="3"/>
        <v>45984</v>
      </c>
      <c r="F128" s="105">
        <v>45983</v>
      </c>
      <c r="G128" s="105">
        <f t="shared" si="4"/>
        <v>45984</v>
      </c>
      <c r="H128" s="105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45968</v>
      </c>
      <c r="I128" s="95" t="s">
        <v>364</v>
      </c>
    </row>
    <row r="129" spans="1:9" x14ac:dyDescent="0.3">
      <c r="A129" s="96" t="s">
        <v>129</v>
      </c>
      <c r="B129" s="6"/>
      <c r="C129" s="1">
        <v>-1</v>
      </c>
      <c r="D129" s="105">
        <v>45984</v>
      </c>
      <c r="E129" s="105">
        <f t="shared" si="3"/>
        <v>45985</v>
      </c>
      <c r="F129" s="105">
        <v>45984</v>
      </c>
      <c r="G129" s="105">
        <f t="shared" si="4"/>
        <v>45985</v>
      </c>
      <c r="H129" s="105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45968</v>
      </c>
      <c r="I129" s="95" t="s">
        <v>365</v>
      </c>
    </row>
    <row r="130" spans="1:9" x14ac:dyDescent="0.3">
      <c r="A130" s="96" t="s">
        <v>122</v>
      </c>
      <c r="B130" s="6"/>
      <c r="C130" s="1">
        <v>-1</v>
      </c>
      <c r="D130" s="105">
        <v>45977</v>
      </c>
      <c r="E130" s="105">
        <f t="shared" si="3"/>
        <v>45978</v>
      </c>
      <c r="F130" s="105">
        <v>45977</v>
      </c>
      <c r="G130" s="105">
        <f t="shared" si="4"/>
        <v>45978</v>
      </c>
      <c r="H130" s="105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45968</v>
      </c>
      <c r="I130" s="95" t="s">
        <v>366</v>
      </c>
    </row>
    <row r="131" spans="1:9" x14ac:dyDescent="0.3">
      <c r="A131" s="96" t="s">
        <v>122</v>
      </c>
      <c r="B131" s="6"/>
      <c r="C131" s="1">
        <v>-1</v>
      </c>
      <c r="D131" s="105">
        <v>45980</v>
      </c>
      <c r="E131" s="105">
        <f t="shared" si="3"/>
        <v>45984</v>
      </c>
      <c r="F131" s="105">
        <v>45983</v>
      </c>
      <c r="G131" s="105">
        <f t="shared" si="4"/>
        <v>45984</v>
      </c>
      <c r="H131" s="105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45968</v>
      </c>
      <c r="I131" s="95" t="s">
        <v>366</v>
      </c>
    </row>
    <row r="132" spans="1:9" x14ac:dyDescent="0.3">
      <c r="A132" s="96" t="s">
        <v>132</v>
      </c>
      <c r="B132" s="6"/>
      <c r="C132" s="1">
        <v>-1</v>
      </c>
      <c r="D132" s="105">
        <v>45973</v>
      </c>
      <c r="E132" s="105">
        <f t="shared" ref="E132:E163" si="5">G132</f>
        <v>45974</v>
      </c>
      <c r="F132" s="105">
        <v>45973</v>
      </c>
      <c r="G132" s="105">
        <f t="shared" si="4"/>
        <v>45974</v>
      </c>
      <c r="H132" s="105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45968</v>
      </c>
      <c r="I132" s="95" t="s">
        <v>367</v>
      </c>
    </row>
    <row r="133" spans="1:9" x14ac:dyDescent="0.3">
      <c r="A133" s="96" t="s">
        <v>114</v>
      </c>
      <c r="B133" s="6"/>
      <c r="C133" s="1">
        <v>-1</v>
      </c>
      <c r="D133" s="105">
        <v>45973</v>
      </c>
      <c r="E133" s="105">
        <f t="shared" si="5"/>
        <v>45974</v>
      </c>
      <c r="F133" s="105">
        <v>45973</v>
      </c>
      <c r="G133" s="105">
        <f t="shared" si="4"/>
        <v>45974</v>
      </c>
      <c r="H133" s="105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45968</v>
      </c>
      <c r="I133" s="95" t="s">
        <v>367</v>
      </c>
    </row>
    <row r="134" spans="1:9" x14ac:dyDescent="0.3">
      <c r="A134" s="96" t="s">
        <v>120</v>
      </c>
      <c r="B134" s="6"/>
      <c r="C134" s="1">
        <v>-1</v>
      </c>
      <c r="D134" s="105">
        <v>45984</v>
      </c>
      <c r="E134" s="105">
        <f t="shared" si="5"/>
        <v>45986</v>
      </c>
      <c r="F134" s="105">
        <v>45985</v>
      </c>
      <c r="G134" s="105">
        <f t="shared" si="4"/>
        <v>45986</v>
      </c>
      <c r="H134" s="105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45968</v>
      </c>
      <c r="I134" s="95" t="s">
        <v>368</v>
      </c>
    </row>
    <row r="135" spans="1:9" x14ac:dyDescent="0.3">
      <c r="A135" s="96" t="s">
        <v>120</v>
      </c>
      <c r="B135" s="6"/>
      <c r="C135" s="1">
        <v>-1</v>
      </c>
      <c r="D135" s="105">
        <v>46000</v>
      </c>
      <c r="E135" s="105">
        <f t="shared" si="5"/>
        <v>46002</v>
      </c>
      <c r="F135" s="105">
        <v>46001</v>
      </c>
      <c r="G135" s="105">
        <f t="shared" si="4"/>
        <v>46002</v>
      </c>
      <c r="H135" s="105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45968</v>
      </c>
      <c r="I135" s="95" t="s">
        <v>368</v>
      </c>
    </row>
    <row r="136" spans="1:9" x14ac:dyDescent="0.3">
      <c r="A136" s="96" t="s">
        <v>120</v>
      </c>
      <c r="B136" s="6"/>
      <c r="C136" s="1">
        <v>-1</v>
      </c>
      <c r="D136" s="105">
        <v>46011</v>
      </c>
      <c r="E136" s="105">
        <f t="shared" si="5"/>
        <v>46023</v>
      </c>
      <c r="F136" s="105">
        <v>46022</v>
      </c>
      <c r="G136" s="105">
        <f t="shared" si="4"/>
        <v>46023</v>
      </c>
      <c r="H136" s="105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45968</v>
      </c>
      <c r="I136" s="95" t="s">
        <v>368</v>
      </c>
    </row>
    <row r="137" spans="1:9" x14ac:dyDescent="0.3">
      <c r="A137" s="96" t="s">
        <v>136</v>
      </c>
      <c r="B137" s="6"/>
      <c r="C137" s="1">
        <v>-1</v>
      </c>
      <c r="D137" s="105">
        <v>45984</v>
      </c>
      <c r="E137" s="105">
        <f t="shared" si="5"/>
        <v>45986</v>
      </c>
      <c r="F137" s="105">
        <v>45985</v>
      </c>
      <c r="G137" s="105">
        <f t="shared" si="4"/>
        <v>45986</v>
      </c>
      <c r="H137" s="105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45968</v>
      </c>
      <c r="I137" s="95" t="s">
        <v>369</v>
      </c>
    </row>
    <row r="138" spans="1:9" x14ac:dyDescent="0.3">
      <c r="A138" s="96" t="s">
        <v>108</v>
      </c>
      <c r="B138" s="6"/>
      <c r="C138" s="1">
        <v>-1</v>
      </c>
      <c r="D138" s="105">
        <v>45967</v>
      </c>
      <c r="E138" s="105">
        <f t="shared" si="5"/>
        <v>46006</v>
      </c>
      <c r="F138" s="105">
        <v>46005</v>
      </c>
      <c r="G138" s="105">
        <f t="shared" si="4"/>
        <v>46006</v>
      </c>
      <c r="H138" s="105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45968</v>
      </c>
      <c r="I138" s="95" t="s">
        <v>370</v>
      </c>
    </row>
    <row r="139" spans="1:9" x14ac:dyDescent="0.3">
      <c r="A139" s="96" t="s">
        <v>308</v>
      </c>
      <c r="B139" s="6"/>
      <c r="C139" s="1">
        <v>-1</v>
      </c>
      <c r="D139" s="105">
        <v>45967</v>
      </c>
      <c r="E139" s="105">
        <f t="shared" si="5"/>
        <v>45976</v>
      </c>
      <c r="F139" s="105">
        <v>45975</v>
      </c>
      <c r="G139" s="105">
        <f t="shared" si="4"/>
        <v>45976</v>
      </c>
      <c r="H139" s="105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45968</v>
      </c>
      <c r="I139" s="95" t="s">
        <v>370</v>
      </c>
    </row>
    <row r="140" spans="1:9" x14ac:dyDescent="0.3">
      <c r="A140" s="96" t="s">
        <v>108</v>
      </c>
      <c r="B140" s="6"/>
      <c r="C140" s="1">
        <v>-1</v>
      </c>
      <c r="D140" s="105">
        <v>45967</v>
      </c>
      <c r="E140" s="105">
        <f t="shared" si="5"/>
        <v>45987</v>
      </c>
      <c r="F140" s="105">
        <v>45986</v>
      </c>
      <c r="G140" s="105">
        <f t="shared" si="4"/>
        <v>45987</v>
      </c>
      <c r="H140" s="105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45968</v>
      </c>
      <c r="I140" s="95" t="s">
        <v>370</v>
      </c>
    </row>
    <row r="141" spans="1:9" x14ac:dyDescent="0.3">
      <c r="A141" s="96" t="s">
        <v>88</v>
      </c>
      <c r="B141" s="6"/>
      <c r="C141" s="1">
        <v>-1</v>
      </c>
      <c r="D141" s="105">
        <v>45980</v>
      </c>
      <c r="E141" s="105">
        <f t="shared" si="5"/>
        <v>45983</v>
      </c>
      <c r="F141" s="105">
        <v>45982</v>
      </c>
      <c r="G141" s="105">
        <f t="shared" si="4"/>
        <v>45983</v>
      </c>
      <c r="H141" s="105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45968</v>
      </c>
      <c r="I141" s="95" t="s">
        <v>371</v>
      </c>
    </row>
    <row r="142" spans="1:9" x14ac:dyDescent="0.3">
      <c r="A142" s="96" t="s">
        <v>81</v>
      </c>
      <c r="B142" s="6"/>
      <c r="C142" s="1">
        <v>-1</v>
      </c>
      <c r="D142" s="105">
        <v>45990</v>
      </c>
      <c r="E142" s="105">
        <f t="shared" si="5"/>
        <v>45991</v>
      </c>
      <c r="F142" s="105">
        <v>45990</v>
      </c>
      <c r="G142" s="105">
        <f t="shared" si="4"/>
        <v>45991</v>
      </c>
      <c r="H142" s="105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45968</v>
      </c>
      <c r="I142" s="95" t="s">
        <v>372</v>
      </c>
    </row>
    <row r="143" spans="1:9" x14ac:dyDescent="0.3">
      <c r="A143" s="96" t="s">
        <v>293</v>
      </c>
      <c r="B143" s="6"/>
      <c r="C143" s="1">
        <v>-1</v>
      </c>
      <c r="D143" s="105">
        <v>45988</v>
      </c>
      <c r="E143" s="105">
        <f t="shared" si="5"/>
        <v>45989</v>
      </c>
      <c r="F143" s="105">
        <v>45988</v>
      </c>
      <c r="G143" s="105">
        <f t="shared" si="4"/>
        <v>45989</v>
      </c>
      <c r="H143" s="105" t="e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#VALUE!</v>
      </c>
      <c r="I143" s="95"/>
    </row>
    <row r="144" spans="1:9" x14ac:dyDescent="0.3">
      <c r="A144" s="96" t="s">
        <v>87</v>
      </c>
      <c r="B144" s="6"/>
      <c r="C144" s="1">
        <v>-1</v>
      </c>
      <c r="D144" s="105">
        <v>45974</v>
      </c>
      <c r="E144" s="105">
        <f t="shared" si="5"/>
        <v>45975</v>
      </c>
      <c r="F144" s="105">
        <v>45974</v>
      </c>
      <c r="G144" s="105">
        <f t="shared" si="4"/>
        <v>45975</v>
      </c>
      <c r="H144" s="105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45968</v>
      </c>
      <c r="I144" s="95" t="s">
        <v>373</v>
      </c>
    </row>
    <row r="145" spans="1:9" x14ac:dyDescent="0.3">
      <c r="A145" s="96" t="s">
        <v>81</v>
      </c>
      <c r="B145" s="6"/>
      <c r="C145" s="1">
        <v>-1</v>
      </c>
      <c r="D145" s="105">
        <v>45981</v>
      </c>
      <c r="E145" s="105">
        <f t="shared" si="5"/>
        <v>45982</v>
      </c>
      <c r="F145" s="105">
        <v>45981</v>
      </c>
      <c r="G145" s="105">
        <f t="shared" si="4"/>
        <v>45982</v>
      </c>
      <c r="H145" s="105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45969</v>
      </c>
      <c r="I145" s="95" t="s">
        <v>374</v>
      </c>
    </row>
    <row r="146" spans="1:9" x14ac:dyDescent="0.3">
      <c r="A146" s="96" t="s">
        <v>81</v>
      </c>
      <c r="B146" s="6"/>
      <c r="C146" s="1">
        <v>-1</v>
      </c>
      <c r="D146" s="105">
        <v>45982</v>
      </c>
      <c r="E146" s="105">
        <f t="shared" si="5"/>
        <v>45983</v>
      </c>
      <c r="F146" s="105">
        <v>45982</v>
      </c>
      <c r="G146" s="105">
        <f t="shared" si="4"/>
        <v>45983</v>
      </c>
      <c r="H146" s="105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45969</v>
      </c>
      <c r="I146" s="95" t="s">
        <v>375</v>
      </c>
    </row>
    <row r="147" spans="1:9" x14ac:dyDescent="0.3">
      <c r="A147" s="96" t="s">
        <v>122</v>
      </c>
      <c r="B147" s="6"/>
      <c r="C147" s="1">
        <v>-1</v>
      </c>
      <c r="D147" s="105">
        <v>45986</v>
      </c>
      <c r="E147" s="105">
        <f t="shared" si="5"/>
        <v>45987</v>
      </c>
      <c r="F147" s="105">
        <v>45986</v>
      </c>
      <c r="G147" s="105">
        <f t="shared" si="4"/>
        <v>45987</v>
      </c>
      <c r="H147" s="105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45969</v>
      </c>
      <c r="I147" s="95" t="s">
        <v>376</v>
      </c>
    </row>
    <row r="148" spans="1:9" x14ac:dyDescent="0.3">
      <c r="A148" s="96" t="s">
        <v>122</v>
      </c>
      <c r="B148" s="6"/>
      <c r="C148" s="1">
        <v>-1</v>
      </c>
      <c r="D148" s="105">
        <v>46023</v>
      </c>
      <c r="E148" s="105">
        <f t="shared" si="5"/>
        <v>46025</v>
      </c>
      <c r="F148" s="105">
        <v>46024</v>
      </c>
      <c r="G148" s="105">
        <f t="shared" si="4"/>
        <v>46025</v>
      </c>
      <c r="H148" s="105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45969</v>
      </c>
      <c r="I148" s="95" t="s">
        <v>376</v>
      </c>
    </row>
    <row r="149" spans="1:9" x14ac:dyDescent="0.3">
      <c r="A149" s="96" t="s">
        <v>81</v>
      </c>
      <c r="B149" s="6"/>
      <c r="C149" s="1">
        <v>-1</v>
      </c>
      <c r="D149" s="105">
        <v>45968</v>
      </c>
      <c r="E149" s="105">
        <f t="shared" si="5"/>
        <v>45981</v>
      </c>
      <c r="F149" s="105">
        <v>45980</v>
      </c>
      <c r="G149" s="105">
        <f t="shared" si="4"/>
        <v>45981</v>
      </c>
      <c r="H149" s="105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45967</v>
      </c>
      <c r="I149" s="95" t="s">
        <v>377</v>
      </c>
    </row>
    <row r="150" spans="1:9" x14ac:dyDescent="0.3">
      <c r="A150" s="96" t="s">
        <v>293</v>
      </c>
      <c r="B150" s="6"/>
      <c r="C150" s="1">
        <v>-1</v>
      </c>
      <c r="D150" s="105">
        <v>46020</v>
      </c>
      <c r="E150" s="105">
        <f t="shared" si="5"/>
        <v>46023</v>
      </c>
      <c r="F150" s="105">
        <v>46022</v>
      </c>
      <c r="G150" s="105">
        <f t="shared" si="4"/>
        <v>46023</v>
      </c>
      <c r="H150" s="105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45969</v>
      </c>
      <c r="I150" s="95" t="s">
        <v>378</v>
      </c>
    </row>
    <row r="151" spans="1:9" x14ac:dyDescent="0.3">
      <c r="A151" s="96" t="s">
        <v>125</v>
      </c>
      <c r="B151" s="6"/>
      <c r="C151" s="1">
        <v>-1</v>
      </c>
      <c r="D151" s="105">
        <v>46015</v>
      </c>
      <c r="E151" s="105">
        <f t="shared" si="5"/>
        <v>46020</v>
      </c>
      <c r="F151" s="105">
        <v>46019</v>
      </c>
      <c r="G151" s="105">
        <f t="shared" si="4"/>
        <v>46020</v>
      </c>
      <c r="H151" s="105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45969</v>
      </c>
      <c r="I151" s="95" t="s">
        <v>379</v>
      </c>
    </row>
    <row r="152" spans="1:9" x14ac:dyDescent="0.3">
      <c r="A152" s="96" t="s">
        <v>140</v>
      </c>
      <c r="B152" s="6"/>
      <c r="C152" s="1">
        <v>-1</v>
      </c>
      <c r="D152" s="105">
        <v>45998</v>
      </c>
      <c r="E152" s="105">
        <f t="shared" si="5"/>
        <v>46009</v>
      </c>
      <c r="F152" s="105">
        <v>46008</v>
      </c>
      <c r="G152" s="105">
        <f t="shared" si="4"/>
        <v>46009</v>
      </c>
      <c r="H152" s="105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45969</v>
      </c>
      <c r="I152" s="95" t="s">
        <v>380</v>
      </c>
    </row>
    <row r="153" spans="1:9" x14ac:dyDescent="0.3">
      <c r="A153" s="96" t="s">
        <v>140</v>
      </c>
      <c r="B153" s="6"/>
      <c r="C153" s="1">
        <v>-1</v>
      </c>
      <c r="D153" s="105">
        <v>45987</v>
      </c>
      <c r="E153" s="105">
        <f t="shared" si="5"/>
        <v>45993</v>
      </c>
      <c r="F153" s="105">
        <v>45992</v>
      </c>
      <c r="G153" s="105">
        <f t="shared" si="4"/>
        <v>45993</v>
      </c>
      <c r="H153" s="105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45969</v>
      </c>
      <c r="I153" s="95" t="s">
        <v>380</v>
      </c>
    </row>
    <row r="154" spans="1:9" x14ac:dyDescent="0.3">
      <c r="A154" s="96" t="s">
        <v>133</v>
      </c>
      <c r="B154" s="6"/>
      <c r="C154" s="1">
        <v>-1</v>
      </c>
      <c r="D154" s="105">
        <v>45976</v>
      </c>
      <c r="E154" s="105">
        <f t="shared" si="5"/>
        <v>45980</v>
      </c>
      <c r="F154" s="105">
        <v>45979</v>
      </c>
      <c r="G154" s="105">
        <f t="shared" si="4"/>
        <v>45980</v>
      </c>
      <c r="H154" s="105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45969</v>
      </c>
      <c r="I154" s="95" t="s">
        <v>381</v>
      </c>
    </row>
    <row r="155" spans="1:9" x14ac:dyDescent="0.3">
      <c r="A155" s="96" t="s">
        <v>129</v>
      </c>
      <c r="B155" s="6"/>
      <c r="C155" s="1">
        <v>-1</v>
      </c>
      <c r="D155" s="105">
        <v>45978</v>
      </c>
      <c r="E155" s="105">
        <f t="shared" si="5"/>
        <v>45981</v>
      </c>
      <c r="F155" s="105">
        <v>45980</v>
      </c>
      <c r="G155" s="105">
        <f t="shared" si="4"/>
        <v>45981</v>
      </c>
      <c r="H155" s="105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45969</v>
      </c>
      <c r="I155" s="95" t="s">
        <v>382</v>
      </c>
    </row>
    <row r="156" spans="1:9" x14ac:dyDescent="0.3">
      <c r="A156" s="96" t="s">
        <v>129</v>
      </c>
      <c r="B156" s="6"/>
      <c r="C156" s="1">
        <v>-1</v>
      </c>
      <c r="D156" s="105">
        <v>45982</v>
      </c>
      <c r="E156" s="105">
        <f t="shared" si="5"/>
        <v>45983</v>
      </c>
      <c r="F156" s="105">
        <v>45982</v>
      </c>
      <c r="G156" s="105">
        <f t="shared" si="4"/>
        <v>45983</v>
      </c>
      <c r="H156" s="105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45969</v>
      </c>
      <c r="I156" s="95" t="s">
        <v>382</v>
      </c>
    </row>
    <row r="157" spans="1:9" x14ac:dyDescent="0.3">
      <c r="A157" s="96" t="s">
        <v>82</v>
      </c>
      <c r="B157" s="6"/>
      <c r="C157" s="1">
        <v>-1</v>
      </c>
      <c r="D157" s="105">
        <v>45972</v>
      </c>
      <c r="E157" s="105">
        <f t="shared" si="5"/>
        <v>45981</v>
      </c>
      <c r="F157" s="105">
        <v>45980</v>
      </c>
      <c r="G157" s="105">
        <f t="shared" si="4"/>
        <v>45981</v>
      </c>
      <c r="H157" s="105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45969</v>
      </c>
      <c r="I157" s="95" t="s">
        <v>383</v>
      </c>
    </row>
    <row r="158" spans="1:9" x14ac:dyDescent="0.3">
      <c r="A158" s="96" t="s">
        <v>142</v>
      </c>
      <c r="B158" s="6"/>
      <c r="C158" s="1">
        <v>-1</v>
      </c>
      <c r="D158" s="105">
        <v>45984</v>
      </c>
      <c r="E158" s="105">
        <f t="shared" si="5"/>
        <v>45985</v>
      </c>
      <c r="F158" s="105">
        <v>45984</v>
      </c>
      <c r="G158" s="105">
        <f t="shared" si="4"/>
        <v>45985</v>
      </c>
      <c r="H158" s="105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45969</v>
      </c>
      <c r="I158" s="95" t="s">
        <v>384</v>
      </c>
    </row>
    <row r="159" spans="1:9" x14ac:dyDescent="0.3">
      <c r="A159" s="96" t="s">
        <v>122</v>
      </c>
      <c r="B159" s="6"/>
      <c r="C159" s="1">
        <v>-1</v>
      </c>
      <c r="D159" s="105">
        <v>45980</v>
      </c>
      <c r="E159" s="105">
        <f t="shared" si="5"/>
        <v>45985</v>
      </c>
      <c r="F159" s="105">
        <v>45984</v>
      </c>
      <c r="G159" s="105">
        <f t="shared" si="4"/>
        <v>45985</v>
      </c>
      <c r="H159" s="105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45970</v>
      </c>
      <c r="I159" s="95" t="s">
        <v>385</v>
      </c>
    </row>
    <row r="160" spans="1:9" x14ac:dyDescent="0.3">
      <c r="A160" s="96" t="s">
        <v>122</v>
      </c>
      <c r="B160" s="6"/>
      <c r="C160" s="1">
        <v>-1</v>
      </c>
      <c r="D160" s="105">
        <v>45980</v>
      </c>
      <c r="E160" s="105">
        <f t="shared" si="5"/>
        <v>45986</v>
      </c>
      <c r="F160" s="105">
        <v>45985</v>
      </c>
      <c r="G160" s="105">
        <f t="shared" si="4"/>
        <v>45986</v>
      </c>
      <c r="H160" s="105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45970</v>
      </c>
      <c r="I160" s="95" t="s">
        <v>386</v>
      </c>
    </row>
    <row r="161" spans="1:9" x14ac:dyDescent="0.3">
      <c r="A161" s="96" t="s">
        <v>122</v>
      </c>
      <c r="B161" s="6"/>
      <c r="C161" s="1">
        <v>-1</v>
      </c>
      <c r="D161" s="105">
        <v>45990</v>
      </c>
      <c r="E161" s="105">
        <f t="shared" si="5"/>
        <v>45992</v>
      </c>
      <c r="F161" s="105">
        <v>45991</v>
      </c>
      <c r="G161" s="105">
        <f t="shared" si="4"/>
        <v>45992</v>
      </c>
      <c r="H161" s="105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45970</v>
      </c>
      <c r="I161" s="95" t="s">
        <v>387</v>
      </c>
    </row>
    <row r="162" spans="1:9" x14ac:dyDescent="0.3">
      <c r="A162" s="96" t="s">
        <v>122</v>
      </c>
      <c r="B162" s="6"/>
      <c r="C162" s="1">
        <v>-1</v>
      </c>
      <c r="D162" s="105">
        <v>45984</v>
      </c>
      <c r="E162" s="105">
        <f t="shared" si="5"/>
        <v>45992</v>
      </c>
      <c r="F162" s="105">
        <v>45991</v>
      </c>
      <c r="G162" s="105">
        <f t="shared" si="4"/>
        <v>45992</v>
      </c>
      <c r="H162" s="105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45970</v>
      </c>
      <c r="I162" s="95" t="s">
        <v>387</v>
      </c>
    </row>
    <row r="163" spans="1:9" x14ac:dyDescent="0.3">
      <c r="A163" s="96" t="s">
        <v>308</v>
      </c>
      <c r="B163" s="6"/>
      <c r="C163" s="1">
        <v>-1</v>
      </c>
      <c r="D163" s="105">
        <v>46016</v>
      </c>
      <c r="E163" s="105">
        <f t="shared" si="5"/>
        <v>46028</v>
      </c>
      <c r="F163" s="105">
        <v>46027</v>
      </c>
      <c r="G163" s="105">
        <f t="shared" si="4"/>
        <v>46028</v>
      </c>
      <c r="H163" s="105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45970</v>
      </c>
      <c r="I163" s="95" t="s">
        <v>388</v>
      </c>
    </row>
    <row r="164" spans="1:9" x14ac:dyDescent="0.3">
      <c r="A164" s="96" t="s">
        <v>108</v>
      </c>
      <c r="B164" s="6"/>
      <c r="C164" s="1">
        <v>-1</v>
      </c>
      <c r="D164" s="105">
        <v>46016</v>
      </c>
      <c r="E164" s="105">
        <f t="shared" ref="E164:E195" si="6">G164</f>
        <v>46028</v>
      </c>
      <c r="F164" s="105">
        <v>46027</v>
      </c>
      <c r="G164" s="105">
        <f t="shared" ref="G164:G227" si="7">F164+1</f>
        <v>46028</v>
      </c>
      <c r="H164" s="105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45970</v>
      </c>
      <c r="I164" s="95" t="s">
        <v>388</v>
      </c>
    </row>
    <row r="165" spans="1:9" x14ac:dyDescent="0.3">
      <c r="A165" s="96" t="s">
        <v>101</v>
      </c>
      <c r="B165" s="6"/>
      <c r="C165" s="1">
        <v>-1</v>
      </c>
      <c r="D165" s="105">
        <v>46020</v>
      </c>
      <c r="E165" s="105">
        <f t="shared" si="6"/>
        <v>46022</v>
      </c>
      <c r="F165" s="105">
        <v>46021</v>
      </c>
      <c r="G165" s="105">
        <f t="shared" si="7"/>
        <v>46022</v>
      </c>
      <c r="H165" s="105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45970</v>
      </c>
      <c r="I165" s="95" t="s">
        <v>389</v>
      </c>
    </row>
    <row r="166" spans="1:9" x14ac:dyDescent="0.3">
      <c r="A166" s="96" t="s">
        <v>62</v>
      </c>
      <c r="B166" s="6"/>
      <c r="C166" s="1">
        <v>-1</v>
      </c>
      <c r="D166" s="105">
        <v>46011</v>
      </c>
      <c r="E166" s="105">
        <f t="shared" si="6"/>
        <v>46012</v>
      </c>
      <c r="F166" s="105">
        <v>46011</v>
      </c>
      <c r="G166" s="105">
        <f t="shared" si="7"/>
        <v>46012</v>
      </c>
      <c r="H166" s="105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45970</v>
      </c>
      <c r="I166" s="95" t="s">
        <v>390</v>
      </c>
    </row>
    <row r="167" spans="1:9" x14ac:dyDescent="0.3">
      <c r="A167" s="96" t="s">
        <v>77</v>
      </c>
      <c r="B167" s="6"/>
      <c r="C167" s="1">
        <v>-1</v>
      </c>
      <c r="D167" s="105">
        <v>45975</v>
      </c>
      <c r="E167" s="105">
        <f t="shared" si="6"/>
        <v>45978</v>
      </c>
      <c r="F167" s="105">
        <v>45977</v>
      </c>
      <c r="G167" s="105">
        <f t="shared" si="7"/>
        <v>45978</v>
      </c>
      <c r="H167" s="105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45970</v>
      </c>
      <c r="I167" s="95" t="s">
        <v>391</v>
      </c>
    </row>
    <row r="168" spans="1:9" x14ac:dyDescent="0.3">
      <c r="A168" s="96" t="s">
        <v>77</v>
      </c>
      <c r="B168" s="6"/>
      <c r="C168" s="1">
        <v>-1</v>
      </c>
      <c r="D168" s="105">
        <v>45980</v>
      </c>
      <c r="E168" s="105">
        <f t="shared" si="6"/>
        <v>45981</v>
      </c>
      <c r="F168" s="105">
        <v>45980</v>
      </c>
      <c r="G168" s="105">
        <f t="shared" si="7"/>
        <v>45981</v>
      </c>
      <c r="H168" s="105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45970</v>
      </c>
      <c r="I168" s="95" t="s">
        <v>392</v>
      </c>
    </row>
    <row r="169" spans="1:9" x14ac:dyDescent="0.3">
      <c r="A169" s="96" t="s">
        <v>92</v>
      </c>
      <c r="B169" s="6"/>
      <c r="C169" s="1">
        <v>-1</v>
      </c>
      <c r="D169" s="105">
        <v>45987</v>
      </c>
      <c r="E169" s="105">
        <f t="shared" si="6"/>
        <v>45993</v>
      </c>
      <c r="F169" s="105">
        <v>45992</v>
      </c>
      <c r="G169" s="105">
        <f t="shared" si="7"/>
        <v>45993</v>
      </c>
      <c r="H169" s="105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45970</v>
      </c>
      <c r="I169" s="95" t="s">
        <v>392</v>
      </c>
    </row>
    <row r="170" spans="1:9" x14ac:dyDescent="0.3">
      <c r="A170" s="96" t="s">
        <v>136</v>
      </c>
      <c r="B170" s="6"/>
      <c r="C170" s="1">
        <v>-1</v>
      </c>
      <c r="D170" s="105">
        <v>46016</v>
      </c>
      <c r="E170" s="105">
        <f t="shared" si="6"/>
        <v>46021</v>
      </c>
      <c r="F170" s="105">
        <v>46020</v>
      </c>
      <c r="G170" s="105">
        <f t="shared" si="7"/>
        <v>46021</v>
      </c>
      <c r="H170" s="105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45970</v>
      </c>
      <c r="I170" s="95" t="s">
        <v>393</v>
      </c>
    </row>
    <row r="171" spans="1:9" x14ac:dyDescent="0.3">
      <c r="A171" s="96" t="s">
        <v>101</v>
      </c>
      <c r="B171" s="6"/>
      <c r="C171" s="1">
        <v>-1</v>
      </c>
      <c r="D171" s="105">
        <v>45989</v>
      </c>
      <c r="E171" s="105">
        <f t="shared" si="6"/>
        <v>45990</v>
      </c>
      <c r="F171" s="105">
        <v>45989</v>
      </c>
      <c r="G171" s="105">
        <f t="shared" si="7"/>
        <v>45990</v>
      </c>
      <c r="H171" s="105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45971</v>
      </c>
      <c r="I171" s="95" t="s">
        <v>394</v>
      </c>
    </row>
    <row r="172" spans="1:9" x14ac:dyDescent="0.3">
      <c r="A172" s="96" t="s">
        <v>62</v>
      </c>
      <c r="B172" s="6"/>
      <c r="C172" s="1">
        <v>-1</v>
      </c>
      <c r="D172" s="105">
        <v>46024</v>
      </c>
      <c r="E172" s="105">
        <f t="shared" si="6"/>
        <v>46025</v>
      </c>
      <c r="F172" s="105">
        <v>46024</v>
      </c>
      <c r="G172" s="105">
        <f t="shared" si="7"/>
        <v>46025</v>
      </c>
      <c r="H172" s="105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45971</v>
      </c>
      <c r="I172" s="95" t="s">
        <v>395</v>
      </c>
    </row>
    <row r="173" spans="1:9" x14ac:dyDescent="0.3">
      <c r="A173" s="96" t="s">
        <v>96</v>
      </c>
      <c r="B173" s="6"/>
      <c r="C173" s="1">
        <v>-1</v>
      </c>
      <c r="D173" s="105">
        <v>45983</v>
      </c>
      <c r="E173" s="105">
        <f t="shared" si="6"/>
        <v>45984</v>
      </c>
      <c r="F173" s="105">
        <v>45983</v>
      </c>
      <c r="G173" s="105">
        <f t="shared" si="7"/>
        <v>45984</v>
      </c>
      <c r="H173" s="105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45971</v>
      </c>
      <c r="I173" s="95" t="s">
        <v>396</v>
      </c>
    </row>
    <row r="174" spans="1:9" x14ac:dyDescent="0.3">
      <c r="A174" s="96" t="s">
        <v>96</v>
      </c>
      <c r="B174" s="6"/>
      <c r="C174" s="1">
        <v>-1</v>
      </c>
      <c r="D174" s="105">
        <v>46019</v>
      </c>
      <c r="E174" s="105">
        <f t="shared" si="6"/>
        <v>46020</v>
      </c>
      <c r="F174" s="105">
        <v>46019</v>
      </c>
      <c r="G174" s="105">
        <f t="shared" si="7"/>
        <v>46020</v>
      </c>
      <c r="H174" s="105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45971</v>
      </c>
      <c r="I174" s="95" t="s">
        <v>396</v>
      </c>
    </row>
    <row r="175" spans="1:9" x14ac:dyDescent="0.3">
      <c r="A175" s="96" t="s">
        <v>96</v>
      </c>
      <c r="B175" s="6"/>
      <c r="C175" s="1">
        <v>-1</v>
      </c>
      <c r="D175" s="105">
        <v>46002</v>
      </c>
      <c r="E175" s="105">
        <f t="shared" si="6"/>
        <v>46006</v>
      </c>
      <c r="F175" s="105">
        <v>46005</v>
      </c>
      <c r="G175" s="105">
        <f t="shared" si="7"/>
        <v>46006</v>
      </c>
      <c r="H175" s="105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45971</v>
      </c>
      <c r="I175" s="95" t="s">
        <v>396</v>
      </c>
    </row>
    <row r="176" spans="1:9" x14ac:dyDescent="0.3">
      <c r="A176" s="96" t="s">
        <v>126</v>
      </c>
      <c r="B176" s="6"/>
      <c r="C176" s="1">
        <v>-1</v>
      </c>
      <c r="D176" s="105">
        <v>46021</v>
      </c>
      <c r="E176" s="105">
        <f t="shared" si="6"/>
        <v>46022</v>
      </c>
      <c r="F176" s="105">
        <v>46021</v>
      </c>
      <c r="G176" s="105">
        <f t="shared" si="7"/>
        <v>46022</v>
      </c>
      <c r="H176" s="105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45971</v>
      </c>
      <c r="I176" s="95" t="s">
        <v>397</v>
      </c>
    </row>
    <row r="177" spans="1:9" s="97" customFormat="1" x14ac:dyDescent="0.3">
      <c r="A177" s="100" t="s">
        <v>126</v>
      </c>
      <c r="B177" s="9"/>
      <c r="C177" s="97">
        <v>-1</v>
      </c>
      <c r="D177" s="106">
        <v>46023</v>
      </c>
      <c r="E177" s="106">
        <f t="shared" si="6"/>
        <v>46024</v>
      </c>
      <c r="F177" s="106">
        <v>46023</v>
      </c>
      <c r="G177" s="106">
        <f t="shared" si="7"/>
        <v>46024</v>
      </c>
      <c r="H177" s="106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45971</v>
      </c>
      <c r="I177" s="98" t="s">
        <v>397</v>
      </c>
    </row>
    <row r="178" spans="1:9" x14ac:dyDescent="0.3">
      <c r="A178" s="96" t="s">
        <v>321</v>
      </c>
      <c r="B178" s="6"/>
      <c r="C178" s="1">
        <v>-1</v>
      </c>
      <c r="D178" s="105">
        <v>45983</v>
      </c>
      <c r="E178" s="105">
        <f t="shared" si="6"/>
        <v>45984</v>
      </c>
      <c r="F178" s="105">
        <v>45983</v>
      </c>
      <c r="G178" s="105">
        <f t="shared" si="7"/>
        <v>45984</v>
      </c>
      <c r="H178" s="105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45971</v>
      </c>
      <c r="I178" s="95" t="s">
        <v>398</v>
      </c>
    </row>
    <row r="179" spans="1:9" x14ac:dyDescent="0.3">
      <c r="A179" s="96" t="s">
        <v>96</v>
      </c>
      <c r="B179" s="6"/>
      <c r="C179" s="1">
        <v>-1</v>
      </c>
      <c r="D179" s="105">
        <v>45999</v>
      </c>
      <c r="E179" s="105">
        <f t="shared" si="6"/>
        <v>46000</v>
      </c>
      <c r="F179" s="105">
        <v>45999</v>
      </c>
      <c r="G179" s="105">
        <f t="shared" si="7"/>
        <v>46000</v>
      </c>
      <c r="H179" s="105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45971</v>
      </c>
      <c r="I179" s="95" t="s">
        <v>399</v>
      </c>
    </row>
    <row r="180" spans="1:9" x14ac:dyDescent="0.3">
      <c r="A180" s="96" t="s">
        <v>117</v>
      </c>
      <c r="B180" s="6"/>
      <c r="C180" s="1">
        <v>-1</v>
      </c>
      <c r="D180" s="105">
        <v>45995</v>
      </c>
      <c r="E180" s="105">
        <f t="shared" si="6"/>
        <v>45997</v>
      </c>
      <c r="F180" s="105">
        <v>45996</v>
      </c>
      <c r="G180" s="105">
        <f t="shared" si="7"/>
        <v>45997</v>
      </c>
      <c r="H180" s="105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45971</v>
      </c>
      <c r="I180" s="95" t="s">
        <v>400</v>
      </c>
    </row>
    <row r="181" spans="1:9" x14ac:dyDescent="0.3">
      <c r="A181" s="96" t="s">
        <v>123</v>
      </c>
      <c r="B181" s="6"/>
      <c r="C181" s="1">
        <v>-1</v>
      </c>
      <c r="D181" s="105">
        <v>46026</v>
      </c>
      <c r="E181" s="105">
        <f t="shared" si="6"/>
        <v>46028</v>
      </c>
      <c r="F181" s="105">
        <v>46027</v>
      </c>
      <c r="G181" s="105">
        <f t="shared" si="7"/>
        <v>46028</v>
      </c>
      <c r="H181" s="105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45971</v>
      </c>
      <c r="I181" s="95" t="s">
        <v>401</v>
      </c>
    </row>
    <row r="182" spans="1:9" x14ac:dyDescent="0.3">
      <c r="A182" s="96" t="s">
        <v>123</v>
      </c>
      <c r="B182" s="6"/>
      <c r="C182" s="1">
        <v>-1</v>
      </c>
      <c r="D182" s="105">
        <v>46002</v>
      </c>
      <c r="E182" s="105">
        <f t="shared" si="6"/>
        <v>46003</v>
      </c>
      <c r="F182" s="105">
        <v>46002</v>
      </c>
      <c r="G182" s="105">
        <f t="shared" si="7"/>
        <v>46003</v>
      </c>
      <c r="H182" s="105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45971</v>
      </c>
      <c r="I182" s="95" t="s">
        <v>401</v>
      </c>
    </row>
    <row r="183" spans="1:9" x14ac:dyDescent="0.3">
      <c r="A183" s="96" t="s">
        <v>123</v>
      </c>
      <c r="B183" s="6"/>
      <c r="C183" s="1">
        <v>-1</v>
      </c>
      <c r="D183" s="105">
        <v>45984</v>
      </c>
      <c r="E183" s="105">
        <f t="shared" si="6"/>
        <v>45986</v>
      </c>
      <c r="F183" s="105">
        <v>45985</v>
      </c>
      <c r="G183" s="105">
        <f t="shared" si="7"/>
        <v>45986</v>
      </c>
      <c r="H183" s="105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45971</v>
      </c>
      <c r="I183" s="95" t="s">
        <v>401</v>
      </c>
    </row>
    <row r="184" spans="1:9" x14ac:dyDescent="0.3">
      <c r="A184" s="96" t="s">
        <v>123</v>
      </c>
      <c r="B184" s="6"/>
      <c r="C184" s="1">
        <v>-1</v>
      </c>
      <c r="D184" s="105">
        <v>45987</v>
      </c>
      <c r="E184" s="105">
        <f t="shared" si="6"/>
        <v>45988</v>
      </c>
      <c r="F184" s="105">
        <v>45987</v>
      </c>
      <c r="G184" s="105">
        <f t="shared" si="7"/>
        <v>45988</v>
      </c>
      <c r="H184" s="105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45971</v>
      </c>
      <c r="I184" s="95" t="s">
        <v>401</v>
      </c>
    </row>
    <row r="185" spans="1:9" x14ac:dyDescent="0.3">
      <c r="A185" s="96" t="s">
        <v>123</v>
      </c>
      <c r="B185" s="6"/>
      <c r="C185" s="1">
        <v>-1</v>
      </c>
      <c r="D185" s="105">
        <v>45978</v>
      </c>
      <c r="E185" s="105">
        <f t="shared" si="6"/>
        <v>45986</v>
      </c>
      <c r="F185" s="105">
        <v>45985</v>
      </c>
      <c r="G185" s="105">
        <f t="shared" si="7"/>
        <v>45986</v>
      </c>
      <c r="H185" s="105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45971</v>
      </c>
      <c r="I185" s="95" t="s">
        <v>401</v>
      </c>
    </row>
    <row r="186" spans="1:9" x14ac:dyDescent="0.3">
      <c r="A186" s="96" t="s">
        <v>122</v>
      </c>
      <c r="B186" s="6"/>
      <c r="C186" s="1">
        <v>-1</v>
      </c>
      <c r="D186" s="105">
        <v>45992</v>
      </c>
      <c r="E186" s="105">
        <f t="shared" si="6"/>
        <v>45996</v>
      </c>
      <c r="F186" s="105">
        <v>45995</v>
      </c>
      <c r="G186" s="105">
        <f t="shared" si="7"/>
        <v>45996</v>
      </c>
      <c r="H186" s="105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45971</v>
      </c>
      <c r="I186" s="95" t="s">
        <v>402</v>
      </c>
    </row>
    <row r="187" spans="1:9" x14ac:dyDescent="0.3">
      <c r="A187" s="96" t="s">
        <v>122</v>
      </c>
      <c r="B187" s="6"/>
      <c r="C187" s="1">
        <v>-1</v>
      </c>
      <c r="D187" s="105">
        <v>45992</v>
      </c>
      <c r="E187" s="105">
        <f t="shared" si="6"/>
        <v>45996</v>
      </c>
      <c r="F187" s="105">
        <v>45995</v>
      </c>
      <c r="G187" s="105">
        <f t="shared" si="7"/>
        <v>45996</v>
      </c>
      <c r="H187" s="105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45971</v>
      </c>
      <c r="I187" s="95" t="s">
        <v>402</v>
      </c>
    </row>
    <row r="188" spans="1:9" x14ac:dyDescent="0.3">
      <c r="A188" s="96" t="s">
        <v>55</v>
      </c>
      <c r="B188" s="6"/>
      <c r="C188" s="1">
        <v>-1</v>
      </c>
      <c r="D188" s="105">
        <v>45973</v>
      </c>
      <c r="E188" s="105">
        <f t="shared" si="6"/>
        <v>45976</v>
      </c>
      <c r="F188" s="105">
        <v>45975</v>
      </c>
      <c r="G188" s="105">
        <f t="shared" si="7"/>
        <v>45976</v>
      </c>
      <c r="H188" s="105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45971</v>
      </c>
      <c r="I188" s="95" t="s">
        <v>403</v>
      </c>
    </row>
    <row r="189" spans="1:9" x14ac:dyDescent="0.3">
      <c r="A189" s="96" t="s">
        <v>85</v>
      </c>
      <c r="B189" s="6"/>
      <c r="C189" s="1">
        <v>-1</v>
      </c>
      <c r="D189" s="105">
        <v>46014</v>
      </c>
      <c r="E189" s="105">
        <f t="shared" si="6"/>
        <v>46015</v>
      </c>
      <c r="F189" s="105">
        <v>46014</v>
      </c>
      <c r="G189" s="105">
        <f t="shared" si="7"/>
        <v>46015</v>
      </c>
      <c r="H189" s="105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45971</v>
      </c>
      <c r="I189" s="95" t="s">
        <v>404</v>
      </c>
    </row>
    <row r="190" spans="1:9" x14ac:dyDescent="0.3">
      <c r="A190" s="96" t="s">
        <v>85</v>
      </c>
      <c r="B190" s="6"/>
      <c r="C190" s="1">
        <v>-1</v>
      </c>
      <c r="D190" s="105">
        <v>46017</v>
      </c>
      <c r="E190" s="105">
        <f t="shared" si="6"/>
        <v>46018</v>
      </c>
      <c r="F190" s="105">
        <v>46017</v>
      </c>
      <c r="G190" s="105">
        <f t="shared" si="7"/>
        <v>46018</v>
      </c>
      <c r="H190" s="105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45971</v>
      </c>
      <c r="I190" s="95" t="s">
        <v>404</v>
      </c>
    </row>
    <row r="191" spans="1:9" x14ac:dyDescent="0.3">
      <c r="A191" s="96" t="s">
        <v>85</v>
      </c>
      <c r="B191" s="6"/>
      <c r="C191" s="1">
        <v>-1</v>
      </c>
      <c r="D191" s="105">
        <v>46029</v>
      </c>
      <c r="E191" s="105">
        <f t="shared" si="6"/>
        <v>46030</v>
      </c>
      <c r="F191" s="105">
        <v>46029</v>
      </c>
      <c r="G191" s="105">
        <f t="shared" si="7"/>
        <v>46030</v>
      </c>
      <c r="H191" s="105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45971</v>
      </c>
      <c r="I191" s="95" t="s">
        <v>404</v>
      </c>
    </row>
    <row r="192" spans="1:9" x14ac:dyDescent="0.3">
      <c r="A192" s="96" t="s">
        <v>85</v>
      </c>
      <c r="B192" s="6"/>
      <c r="C192" s="1">
        <v>-1</v>
      </c>
      <c r="D192" s="105">
        <v>46014</v>
      </c>
      <c r="E192" s="105">
        <f t="shared" si="6"/>
        <v>46018</v>
      </c>
      <c r="F192" s="105">
        <v>46017</v>
      </c>
      <c r="G192" s="105">
        <f t="shared" si="7"/>
        <v>46018</v>
      </c>
      <c r="H192" s="105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45971</v>
      </c>
      <c r="I192" s="95" t="s">
        <v>404</v>
      </c>
    </row>
    <row r="193" spans="1:9" x14ac:dyDescent="0.3">
      <c r="A193" s="96" t="s">
        <v>85</v>
      </c>
      <c r="B193" s="6"/>
      <c r="C193" s="1">
        <v>-1</v>
      </c>
      <c r="D193" s="105">
        <v>46025</v>
      </c>
      <c r="E193" s="105">
        <f t="shared" si="6"/>
        <v>46030</v>
      </c>
      <c r="F193" s="105">
        <v>46029</v>
      </c>
      <c r="G193" s="105">
        <f t="shared" si="7"/>
        <v>46030</v>
      </c>
      <c r="H193" s="105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45971</v>
      </c>
      <c r="I193" s="95" t="s">
        <v>404</v>
      </c>
    </row>
    <row r="194" spans="1:9" x14ac:dyDescent="0.3">
      <c r="A194" s="96" t="s">
        <v>122</v>
      </c>
      <c r="B194" s="6"/>
      <c r="C194" s="1">
        <v>-1</v>
      </c>
      <c r="D194" s="105">
        <v>45996</v>
      </c>
      <c r="E194" s="105">
        <f t="shared" si="6"/>
        <v>45999</v>
      </c>
      <c r="F194" s="105">
        <v>45998</v>
      </c>
      <c r="G194" s="105">
        <f t="shared" si="7"/>
        <v>45999</v>
      </c>
      <c r="H194" s="105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45971</v>
      </c>
      <c r="I194" s="95" t="s">
        <v>404</v>
      </c>
    </row>
    <row r="195" spans="1:9" x14ac:dyDescent="0.3">
      <c r="A195" s="96" t="s">
        <v>122</v>
      </c>
      <c r="B195" s="6"/>
      <c r="C195" s="1">
        <v>-1</v>
      </c>
      <c r="D195" s="105">
        <v>45996</v>
      </c>
      <c r="E195" s="105">
        <f t="shared" si="6"/>
        <v>45999</v>
      </c>
      <c r="F195" s="105">
        <v>45998</v>
      </c>
      <c r="G195" s="105">
        <f t="shared" si="7"/>
        <v>45999</v>
      </c>
      <c r="H195" s="105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45972</v>
      </c>
      <c r="I195" s="95" t="s">
        <v>405</v>
      </c>
    </row>
    <row r="196" spans="1:9" x14ac:dyDescent="0.3">
      <c r="A196" s="96" t="s">
        <v>134</v>
      </c>
      <c r="B196" s="6"/>
      <c r="C196" s="1">
        <v>-1</v>
      </c>
      <c r="D196" s="105">
        <v>45983</v>
      </c>
      <c r="E196" s="105">
        <f t="shared" ref="E196:E212" si="8">G196</f>
        <v>45985</v>
      </c>
      <c r="F196" s="105">
        <v>45984</v>
      </c>
      <c r="G196" s="105">
        <f t="shared" si="7"/>
        <v>45985</v>
      </c>
      <c r="H196" s="105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45971</v>
      </c>
      <c r="I196" s="95" t="s">
        <v>406</v>
      </c>
    </row>
    <row r="197" spans="1:9" x14ac:dyDescent="0.3">
      <c r="A197" s="96" t="s">
        <v>134</v>
      </c>
      <c r="B197" s="6"/>
      <c r="C197" s="1">
        <v>-1</v>
      </c>
      <c r="D197" s="105">
        <v>45988</v>
      </c>
      <c r="E197" s="105">
        <f t="shared" si="8"/>
        <v>45990</v>
      </c>
      <c r="F197" s="105">
        <v>45989</v>
      </c>
      <c r="G197" s="105">
        <f t="shared" si="7"/>
        <v>45990</v>
      </c>
      <c r="H197" s="105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45971</v>
      </c>
      <c r="I197" s="95" t="s">
        <v>406</v>
      </c>
    </row>
    <row r="198" spans="1:9" x14ac:dyDescent="0.3">
      <c r="A198" s="96" t="s">
        <v>57</v>
      </c>
      <c r="B198" s="6"/>
      <c r="C198" s="1">
        <v>-1</v>
      </c>
      <c r="D198" s="105">
        <v>45986</v>
      </c>
      <c r="E198" s="105">
        <f t="shared" si="8"/>
        <v>45988</v>
      </c>
      <c r="F198" s="105">
        <v>45987</v>
      </c>
      <c r="G198" s="105">
        <f t="shared" si="7"/>
        <v>45988</v>
      </c>
      <c r="H198" s="105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45972</v>
      </c>
      <c r="I198" s="95" t="s">
        <v>407</v>
      </c>
    </row>
    <row r="199" spans="1:9" x14ac:dyDescent="0.3">
      <c r="A199" s="96" t="s">
        <v>57</v>
      </c>
      <c r="B199" s="6"/>
      <c r="C199" s="1">
        <v>-1</v>
      </c>
      <c r="D199" s="105">
        <v>45984</v>
      </c>
      <c r="E199" s="105">
        <f t="shared" si="8"/>
        <v>45988</v>
      </c>
      <c r="F199" s="105">
        <v>45987</v>
      </c>
      <c r="G199" s="105">
        <f t="shared" si="7"/>
        <v>45988</v>
      </c>
      <c r="H199" s="105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45972</v>
      </c>
      <c r="I199" s="95" t="s">
        <v>407</v>
      </c>
    </row>
    <row r="200" spans="1:9" x14ac:dyDescent="0.3">
      <c r="A200" s="96" t="s">
        <v>57</v>
      </c>
      <c r="B200" s="6"/>
      <c r="C200" s="1">
        <v>-1</v>
      </c>
      <c r="D200" s="105">
        <v>45987</v>
      </c>
      <c r="E200" s="105">
        <f t="shared" si="8"/>
        <v>45988</v>
      </c>
      <c r="F200" s="105">
        <v>45987</v>
      </c>
      <c r="G200" s="105">
        <f t="shared" si="7"/>
        <v>45988</v>
      </c>
      <c r="H200" s="105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45972</v>
      </c>
      <c r="I200" s="95" t="s">
        <v>407</v>
      </c>
    </row>
    <row r="201" spans="1:9" x14ac:dyDescent="0.3">
      <c r="A201" s="96" t="s">
        <v>57</v>
      </c>
      <c r="B201" s="6"/>
      <c r="C201" s="1">
        <v>-1</v>
      </c>
      <c r="D201" s="105">
        <v>45986</v>
      </c>
      <c r="E201" s="105">
        <f t="shared" si="8"/>
        <v>45988</v>
      </c>
      <c r="F201" s="105">
        <v>45987</v>
      </c>
      <c r="G201" s="105">
        <f t="shared" si="7"/>
        <v>45988</v>
      </c>
      <c r="H201" s="105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45972</v>
      </c>
      <c r="I201" s="95" t="s">
        <v>407</v>
      </c>
    </row>
    <row r="202" spans="1:9" x14ac:dyDescent="0.3">
      <c r="A202" s="96" t="s">
        <v>66</v>
      </c>
      <c r="B202" s="6"/>
      <c r="C202" s="1">
        <v>-1</v>
      </c>
      <c r="D202" s="105">
        <v>45975</v>
      </c>
      <c r="E202" s="105">
        <f t="shared" si="8"/>
        <v>45976</v>
      </c>
      <c r="F202" s="105">
        <v>45975</v>
      </c>
      <c r="G202" s="105">
        <f t="shared" si="7"/>
        <v>45976</v>
      </c>
      <c r="H202" s="105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45972</v>
      </c>
      <c r="I202" s="95" t="s">
        <v>408</v>
      </c>
    </row>
    <row r="203" spans="1:9" x14ac:dyDescent="0.3">
      <c r="A203" s="96" t="s">
        <v>66</v>
      </c>
      <c r="B203" s="6"/>
      <c r="C203" s="1">
        <v>-1</v>
      </c>
      <c r="D203" s="105">
        <v>45972</v>
      </c>
      <c r="E203" s="105">
        <f t="shared" si="8"/>
        <v>45992</v>
      </c>
      <c r="F203" s="105">
        <v>45991</v>
      </c>
      <c r="G203" s="105">
        <f t="shared" si="7"/>
        <v>45992</v>
      </c>
      <c r="H203" s="105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45972</v>
      </c>
      <c r="I203" s="95" t="s">
        <v>408</v>
      </c>
    </row>
    <row r="204" spans="1:9" x14ac:dyDescent="0.3">
      <c r="A204" s="96" t="s">
        <v>66</v>
      </c>
      <c r="B204" s="6"/>
      <c r="C204" s="1">
        <v>-1</v>
      </c>
      <c r="D204" s="105">
        <v>45978</v>
      </c>
      <c r="E204" s="105">
        <f t="shared" si="8"/>
        <v>45979</v>
      </c>
      <c r="F204" s="105">
        <v>45978</v>
      </c>
      <c r="G204" s="105">
        <f t="shared" si="7"/>
        <v>45979</v>
      </c>
      <c r="H204" s="105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45972</v>
      </c>
      <c r="I204" s="95" t="s">
        <v>409</v>
      </c>
    </row>
    <row r="205" spans="1:9" x14ac:dyDescent="0.3">
      <c r="A205" s="96" t="s">
        <v>132</v>
      </c>
      <c r="B205" s="6"/>
      <c r="C205" s="1">
        <v>-1</v>
      </c>
      <c r="D205" s="105">
        <v>45974</v>
      </c>
      <c r="E205" s="105">
        <f t="shared" si="8"/>
        <v>45975</v>
      </c>
      <c r="F205" s="105">
        <v>45974</v>
      </c>
      <c r="G205" s="105">
        <f t="shared" si="7"/>
        <v>45975</v>
      </c>
      <c r="H205" s="105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45972</v>
      </c>
      <c r="I205" s="95" t="s">
        <v>410</v>
      </c>
    </row>
    <row r="206" spans="1:9" x14ac:dyDescent="0.3">
      <c r="A206" s="96" t="s">
        <v>114</v>
      </c>
      <c r="B206" s="99"/>
      <c r="C206" s="1">
        <v>-1</v>
      </c>
      <c r="D206" s="105">
        <v>45974</v>
      </c>
      <c r="E206" s="105">
        <f t="shared" si="8"/>
        <v>45975</v>
      </c>
      <c r="F206" s="105">
        <v>45974</v>
      </c>
      <c r="G206" s="105">
        <f t="shared" si="7"/>
        <v>45975</v>
      </c>
      <c r="H206" s="105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45972</v>
      </c>
      <c r="I206" s="95" t="s">
        <v>410</v>
      </c>
    </row>
    <row r="207" spans="1:9" x14ac:dyDescent="0.3">
      <c r="A207" s="96" t="s">
        <v>114</v>
      </c>
      <c r="B207" s="5"/>
      <c r="C207" s="1">
        <v>-1</v>
      </c>
      <c r="D207" s="105">
        <v>45976</v>
      </c>
      <c r="E207" s="105">
        <f t="shared" si="8"/>
        <v>45978</v>
      </c>
      <c r="F207" s="105">
        <v>45977</v>
      </c>
      <c r="G207" s="105">
        <f t="shared" si="7"/>
        <v>45978</v>
      </c>
      <c r="H207" s="105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45972</v>
      </c>
      <c r="I207" s="95" t="s">
        <v>411</v>
      </c>
    </row>
    <row r="208" spans="1:9" x14ac:dyDescent="0.3">
      <c r="A208" s="96" t="s">
        <v>132</v>
      </c>
      <c r="B208" s="6"/>
      <c r="C208" s="1">
        <v>-1</v>
      </c>
      <c r="D208" s="105">
        <v>45976</v>
      </c>
      <c r="E208" s="105">
        <f t="shared" si="8"/>
        <v>45978</v>
      </c>
      <c r="F208" s="105">
        <v>45977</v>
      </c>
      <c r="G208" s="105">
        <f t="shared" si="7"/>
        <v>45978</v>
      </c>
      <c r="H208" s="105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45972</v>
      </c>
      <c r="I208" s="95" t="s">
        <v>412</v>
      </c>
    </row>
    <row r="209" spans="1:9" x14ac:dyDescent="0.3">
      <c r="A209" s="96" t="s">
        <v>88</v>
      </c>
      <c r="B209" s="6"/>
      <c r="C209" s="1">
        <v>-1</v>
      </c>
      <c r="D209" s="105">
        <v>45978</v>
      </c>
      <c r="E209" s="105">
        <f t="shared" si="8"/>
        <v>45980</v>
      </c>
      <c r="F209" s="105">
        <v>45979</v>
      </c>
      <c r="G209" s="105">
        <f t="shared" si="7"/>
        <v>45980</v>
      </c>
      <c r="H209" s="105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45972</v>
      </c>
      <c r="I209" s="95" t="s">
        <v>413</v>
      </c>
    </row>
    <row r="210" spans="1:9" x14ac:dyDescent="0.3">
      <c r="A210" s="96" t="s">
        <v>92</v>
      </c>
      <c r="B210" s="6"/>
      <c r="C210" s="1">
        <v>-1</v>
      </c>
      <c r="D210" s="105">
        <v>46019</v>
      </c>
      <c r="E210" s="105">
        <f t="shared" si="8"/>
        <v>46030</v>
      </c>
      <c r="F210" s="105">
        <v>46029</v>
      </c>
      <c r="G210" s="105">
        <f t="shared" si="7"/>
        <v>46030</v>
      </c>
      <c r="H210" s="105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45971</v>
      </c>
      <c r="I210" s="95" t="s">
        <v>414</v>
      </c>
    </row>
    <row r="211" spans="1:9" x14ac:dyDescent="0.3">
      <c r="A211" s="96" t="s">
        <v>92</v>
      </c>
      <c r="B211" s="6"/>
      <c r="C211" s="1">
        <v>-1</v>
      </c>
      <c r="D211" s="105">
        <v>46019</v>
      </c>
      <c r="E211" s="105">
        <f t="shared" si="8"/>
        <v>46030</v>
      </c>
      <c r="F211" s="105">
        <v>46029</v>
      </c>
      <c r="G211" s="105">
        <f t="shared" si="7"/>
        <v>46030</v>
      </c>
      <c r="H211" s="105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45971</v>
      </c>
      <c r="I211" s="95" t="s">
        <v>414</v>
      </c>
    </row>
    <row r="212" spans="1:9" x14ac:dyDescent="0.3">
      <c r="A212" s="96" t="s">
        <v>59</v>
      </c>
      <c r="B212" s="6"/>
      <c r="C212" s="1">
        <v>-1</v>
      </c>
      <c r="D212" s="105">
        <v>46023</v>
      </c>
      <c r="E212" s="105">
        <f t="shared" si="8"/>
        <v>46082</v>
      </c>
      <c r="F212" s="105">
        <v>46081</v>
      </c>
      <c r="G212" s="105">
        <f t="shared" si="7"/>
        <v>46082</v>
      </c>
      <c r="H212" s="105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45972</v>
      </c>
      <c r="I212" s="95" t="s">
        <v>415</v>
      </c>
    </row>
    <row r="213" spans="1:9" x14ac:dyDescent="0.3">
      <c r="A213" s="96" t="s">
        <v>125</v>
      </c>
      <c r="B213" s="6"/>
      <c r="C213" s="1">
        <v>-1</v>
      </c>
      <c r="D213" s="105">
        <v>45984</v>
      </c>
      <c r="E213" s="105"/>
      <c r="F213" s="105">
        <v>45985</v>
      </c>
      <c r="G213" s="105">
        <f t="shared" si="7"/>
        <v>45986</v>
      </c>
      <c r="H213" s="105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45972</v>
      </c>
      <c r="I213" s="95" t="s">
        <v>416</v>
      </c>
    </row>
    <row r="214" spans="1:9" x14ac:dyDescent="0.3">
      <c r="A214" s="96" t="s">
        <v>81</v>
      </c>
      <c r="B214" s="6"/>
      <c r="C214" s="1">
        <v>-1</v>
      </c>
      <c r="D214" s="105">
        <v>45987</v>
      </c>
      <c r="E214" s="105"/>
      <c r="F214" s="105">
        <v>45988</v>
      </c>
      <c r="G214" s="105">
        <f t="shared" si="7"/>
        <v>45989</v>
      </c>
      <c r="H214" s="105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45972</v>
      </c>
      <c r="I214" s="95" t="s">
        <v>417</v>
      </c>
    </row>
    <row r="215" spans="1:9" x14ac:dyDescent="0.3">
      <c r="A215" s="96" t="s">
        <v>302</v>
      </c>
      <c r="B215" s="6"/>
      <c r="C215" s="1">
        <v>-1</v>
      </c>
      <c r="D215" s="105">
        <v>45996</v>
      </c>
      <c r="E215" s="105">
        <f t="shared" ref="E215:E220" si="9">G215</f>
        <v>46001</v>
      </c>
      <c r="F215" s="105">
        <v>46000</v>
      </c>
      <c r="G215" s="105">
        <f t="shared" si="7"/>
        <v>46001</v>
      </c>
      <c r="H215" s="105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45972</v>
      </c>
      <c r="I215" s="95" t="s">
        <v>418</v>
      </c>
    </row>
    <row r="216" spans="1:9" x14ac:dyDescent="0.3">
      <c r="A216" s="96" t="s">
        <v>307</v>
      </c>
      <c r="B216" s="6"/>
      <c r="C216" s="1">
        <v>-1</v>
      </c>
      <c r="D216" s="105">
        <v>45982</v>
      </c>
      <c r="E216" s="105">
        <f t="shared" si="9"/>
        <v>45987</v>
      </c>
      <c r="F216" s="105">
        <v>45986</v>
      </c>
      <c r="G216" s="105">
        <f t="shared" si="7"/>
        <v>45987</v>
      </c>
      <c r="H216" s="105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45973</v>
      </c>
      <c r="I216" s="95" t="s">
        <v>419</v>
      </c>
    </row>
    <row r="217" spans="1:9" x14ac:dyDescent="0.3">
      <c r="A217" s="96" t="s">
        <v>307</v>
      </c>
      <c r="B217" s="6"/>
      <c r="C217" s="1">
        <v>-1</v>
      </c>
      <c r="D217" s="105">
        <v>45973</v>
      </c>
      <c r="E217" s="105">
        <f t="shared" si="9"/>
        <v>46030</v>
      </c>
      <c r="F217" s="105">
        <v>46029</v>
      </c>
      <c r="G217" s="105">
        <f t="shared" si="7"/>
        <v>46030</v>
      </c>
      <c r="H217" s="105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45973</v>
      </c>
      <c r="I217" s="95" t="s">
        <v>419</v>
      </c>
    </row>
    <row r="218" spans="1:9" x14ac:dyDescent="0.3">
      <c r="A218" s="96" t="s">
        <v>307</v>
      </c>
      <c r="B218" s="6"/>
      <c r="C218" s="1">
        <v>-1</v>
      </c>
      <c r="D218" s="105">
        <v>45973</v>
      </c>
      <c r="E218" s="105">
        <f t="shared" si="9"/>
        <v>46033</v>
      </c>
      <c r="F218" s="105">
        <v>46032</v>
      </c>
      <c r="G218" s="105">
        <f t="shared" si="7"/>
        <v>46033</v>
      </c>
      <c r="H218" s="105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45973</v>
      </c>
      <c r="I218" s="95" t="s">
        <v>419</v>
      </c>
    </row>
    <row r="219" spans="1:9" x14ac:dyDescent="0.3">
      <c r="A219" s="96" t="s">
        <v>307</v>
      </c>
      <c r="B219" s="6"/>
      <c r="C219" s="1">
        <v>-1</v>
      </c>
      <c r="D219" s="105">
        <v>45973</v>
      </c>
      <c r="E219" s="105">
        <f t="shared" si="9"/>
        <v>45994</v>
      </c>
      <c r="F219" s="105">
        <v>45993</v>
      </c>
      <c r="G219" s="105">
        <f t="shared" si="7"/>
        <v>45994</v>
      </c>
      <c r="H219" s="105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45973</v>
      </c>
      <c r="I219" s="95" t="s">
        <v>419</v>
      </c>
    </row>
    <row r="220" spans="1:9" x14ac:dyDescent="0.3">
      <c r="A220" s="96" t="s">
        <v>134</v>
      </c>
      <c r="B220" s="6"/>
      <c r="C220" s="1">
        <v>-1</v>
      </c>
      <c r="D220" s="105">
        <v>46017</v>
      </c>
      <c r="E220" s="105">
        <f t="shared" si="9"/>
        <v>46030</v>
      </c>
      <c r="F220" s="105">
        <v>46029</v>
      </c>
      <c r="G220" s="105">
        <f t="shared" si="7"/>
        <v>46030</v>
      </c>
      <c r="H220" s="105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45973</v>
      </c>
      <c r="I220" s="95" t="s">
        <v>419</v>
      </c>
    </row>
    <row r="221" spans="1:9" x14ac:dyDescent="0.3">
      <c r="A221" s="96" t="s">
        <v>122</v>
      </c>
      <c r="B221" s="6"/>
      <c r="C221" s="1">
        <v>-1</v>
      </c>
      <c r="D221" s="105">
        <v>45986</v>
      </c>
      <c r="E221" s="105">
        <v>45989</v>
      </c>
      <c r="F221" s="105">
        <v>45989</v>
      </c>
      <c r="G221" s="105">
        <f t="shared" si="7"/>
        <v>45990</v>
      </c>
      <c r="H221" s="105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45973</v>
      </c>
      <c r="I221" s="95" t="s">
        <v>420</v>
      </c>
    </row>
    <row r="222" spans="1:9" x14ac:dyDescent="0.3">
      <c r="A222" s="96" t="s">
        <v>122</v>
      </c>
      <c r="B222" s="6"/>
      <c r="C222" s="1">
        <v>-1</v>
      </c>
      <c r="D222" s="105">
        <v>45993</v>
      </c>
      <c r="E222" s="105">
        <f t="shared" ref="E222:E253" si="10">G222</f>
        <v>46003</v>
      </c>
      <c r="F222" s="105">
        <v>46002</v>
      </c>
      <c r="G222" s="105">
        <f t="shared" si="7"/>
        <v>46003</v>
      </c>
      <c r="H222" s="105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45973</v>
      </c>
      <c r="I222" s="95" t="s">
        <v>420</v>
      </c>
    </row>
    <row r="223" spans="1:9" x14ac:dyDescent="0.3">
      <c r="A223" s="96" t="s">
        <v>129</v>
      </c>
      <c r="B223" s="6"/>
      <c r="C223" s="1">
        <v>-1</v>
      </c>
      <c r="D223" s="105">
        <v>45986</v>
      </c>
      <c r="E223" s="105">
        <f t="shared" si="10"/>
        <v>45987</v>
      </c>
      <c r="F223" s="105">
        <v>45986</v>
      </c>
      <c r="G223" s="105">
        <f t="shared" si="7"/>
        <v>45987</v>
      </c>
      <c r="H223" s="105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45973</v>
      </c>
      <c r="I223" s="95" t="s">
        <v>421</v>
      </c>
    </row>
    <row r="224" spans="1:9" x14ac:dyDescent="0.3">
      <c r="A224" s="96" t="s">
        <v>66</v>
      </c>
      <c r="B224" s="6"/>
      <c r="C224" s="1">
        <v>-1</v>
      </c>
      <c r="D224" s="105">
        <v>46021</v>
      </c>
      <c r="E224" s="105">
        <f t="shared" si="10"/>
        <v>46022</v>
      </c>
      <c r="F224" s="105">
        <v>46021</v>
      </c>
      <c r="G224" s="105">
        <f t="shared" si="7"/>
        <v>46022</v>
      </c>
      <c r="H224" s="105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45974</v>
      </c>
      <c r="I224" s="95" t="s">
        <v>422</v>
      </c>
    </row>
    <row r="225" spans="1:9" x14ac:dyDescent="0.3">
      <c r="A225" s="96" t="s">
        <v>308</v>
      </c>
      <c r="B225" s="6"/>
      <c r="C225" s="1">
        <v>-1</v>
      </c>
      <c r="D225" s="105">
        <v>45987</v>
      </c>
      <c r="E225" s="105">
        <f t="shared" si="10"/>
        <v>45990</v>
      </c>
      <c r="F225" s="105">
        <v>45989</v>
      </c>
      <c r="G225" s="105">
        <f t="shared" si="7"/>
        <v>45990</v>
      </c>
      <c r="H225" s="105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45974</v>
      </c>
      <c r="I225" s="95" t="s">
        <v>423</v>
      </c>
    </row>
    <row r="226" spans="1:9" x14ac:dyDescent="0.3">
      <c r="A226" s="96" t="s">
        <v>108</v>
      </c>
      <c r="B226" s="6"/>
      <c r="C226" s="1">
        <v>-1</v>
      </c>
      <c r="D226" s="105">
        <v>45987</v>
      </c>
      <c r="E226" s="105">
        <f t="shared" si="10"/>
        <v>45990</v>
      </c>
      <c r="F226" s="105">
        <v>45989</v>
      </c>
      <c r="G226" s="105">
        <f t="shared" si="7"/>
        <v>45990</v>
      </c>
      <c r="H226" s="105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45974</v>
      </c>
      <c r="I226" s="95" t="s">
        <v>423</v>
      </c>
    </row>
    <row r="227" spans="1:9" x14ac:dyDescent="0.3">
      <c r="A227" s="96" t="s">
        <v>123</v>
      </c>
      <c r="B227" s="6"/>
      <c r="C227" s="1">
        <v>-1</v>
      </c>
      <c r="D227" s="105">
        <v>45990</v>
      </c>
      <c r="E227" s="105">
        <f t="shared" si="10"/>
        <v>45991</v>
      </c>
      <c r="F227" s="105">
        <v>45990</v>
      </c>
      <c r="G227" s="105">
        <f t="shared" si="7"/>
        <v>45991</v>
      </c>
      <c r="H227" s="105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45974</v>
      </c>
      <c r="I227" s="95" t="s">
        <v>423</v>
      </c>
    </row>
    <row r="228" spans="1:9" x14ac:dyDescent="0.3">
      <c r="A228" s="96" t="s">
        <v>123</v>
      </c>
      <c r="B228" s="6"/>
      <c r="C228" s="1">
        <v>-1</v>
      </c>
      <c r="D228" s="105">
        <v>46001</v>
      </c>
      <c r="E228" s="105">
        <f t="shared" si="10"/>
        <v>46002</v>
      </c>
      <c r="F228" s="105">
        <v>46001</v>
      </c>
      <c r="G228" s="105">
        <f t="shared" ref="G228:G291" si="11">F228+1</f>
        <v>46002</v>
      </c>
      <c r="H228" s="105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45974</v>
      </c>
      <c r="I228" s="95" t="s">
        <v>423</v>
      </c>
    </row>
    <row r="229" spans="1:9" x14ac:dyDescent="0.3">
      <c r="A229" s="96" t="s">
        <v>123</v>
      </c>
      <c r="B229" s="6"/>
      <c r="C229" s="1">
        <v>-1</v>
      </c>
      <c r="D229" s="105">
        <v>46003</v>
      </c>
      <c r="E229" s="105">
        <f t="shared" si="10"/>
        <v>46015</v>
      </c>
      <c r="F229" s="105">
        <v>46014</v>
      </c>
      <c r="G229" s="105">
        <f t="shared" si="11"/>
        <v>46015</v>
      </c>
      <c r="H229" s="105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45974</v>
      </c>
      <c r="I229" s="95" t="s">
        <v>423</v>
      </c>
    </row>
    <row r="230" spans="1:9" x14ac:dyDescent="0.3">
      <c r="A230" s="96" t="s">
        <v>123</v>
      </c>
      <c r="B230" s="6"/>
      <c r="C230" s="1">
        <v>-1</v>
      </c>
      <c r="D230" s="105">
        <v>45988</v>
      </c>
      <c r="E230" s="105">
        <f t="shared" si="10"/>
        <v>45989</v>
      </c>
      <c r="F230" s="105">
        <v>45988</v>
      </c>
      <c r="G230" s="105">
        <f t="shared" si="11"/>
        <v>45989</v>
      </c>
      <c r="H230" s="105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45974</v>
      </c>
      <c r="I230" s="95" t="s">
        <v>423</v>
      </c>
    </row>
    <row r="231" spans="1:9" x14ac:dyDescent="0.3">
      <c r="A231" s="96" t="s">
        <v>123</v>
      </c>
      <c r="B231" s="6"/>
      <c r="C231" s="1">
        <v>-1</v>
      </c>
      <c r="D231" s="105">
        <v>46001</v>
      </c>
      <c r="E231" s="105">
        <f t="shared" si="10"/>
        <v>46005</v>
      </c>
      <c r="F231" s="105">
        <v>46004</v>
      </c>
      <c r="G231" s="105">
        <f t="shared" si="11"/>
        <v>46005</v>
      </c>
      <c r="H231" s="105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45974</v>
      </c>
      <c r="I231" s="95" t="s">
        <v>423</v>
      </c>
    </row>
    <row r="232" spans="1:9" x14ac:dyDescent="0.3">
      <c r="A232" s="96" t="s">
        <v>76</v>
      </c>
      <c r="B232" s="6"/>
      <c r="C232" s="1">
        <v>-1</v>
      </c>
      <c r="D232" s="105">
        <v>45976</v>
      </c>
      <c r="E232" s="105">
        <f t="shared" si="10"/>
        <v>45984</v>
      </c>
      <c r="F232" s="105">
        <v>45983</v>
      </c>
      <c r="G232" s="105">
        <f t="shared" si="11"/>
        <v>45984</v>
      </c>
      <c r="H232" s="105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45974</v>
      </c>
      <c r="I232" s="95" t="s">
        <v>424</v>
      </c>
    </row>
    <row r="233" spans="1:9" x14ac:dyDescent="0.3">
      <c r="A233" s="96" t="s">
        <v>66</v>
      </c>
      <c r="B233" s="6"/>
      <c r="C233" s="1">
        <v>-1</v>
      </c>
      <c r="D233" s="105">
        <v>45995</v>
      </c>
      <c r="E233" s="105">
        <f t="shared" si="10"/>
        <v>45998</v>
      </c>
      <c r="F233" s="105">
        <v>45997</v>
      </c>
      <c r="G233" s="105">
        <f t="shared" si="11"/>
        <v>45998</v>
      </c>
      <c r="H233" s="105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45974</v>
      </c>
      <c r="I233" s="95" t="s">
        <v>425</v>
      </c>
    </row>
    <row r="234" spans="1:9" x14ac:dyDescent="0.3">
      <c r="A234" s="96" t="s">
        <v>113</v>
      </c>
      <c r="B234" s="6"/>
      <c r="C234" s="1">
        <v>-1</v>
      </c>
      <c r="D234" s="105">
        <v>45966</v>
      </c>
      <c r="E234" s="105">
        <f t="shared" si="10"/>
        <v>45977</v>
      </c>
      <c r="F234" s="105">
        <v>45976</v>
      </c>
      <c r="G234" s="105">
        <f t="shared" si="11"/>
        <v>45977</v>
      </c>
      <c r="H234" s="105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45974</v>
      </c>
      <c r="I234" s="95" t="s">
        <v>426</v>
      </c>
    </row>
    <row r="235" spans="1:9" x14ac:dyDescent="0.3">
      <c r="A235" s="96" t="s">
        <v>113</v>
      </c>
      <c r="B235" s="6"/>
      <c r="C235" s="1">
        <v>-1</v>
      </c>
      <c r="D235" s="105">
        <v>45980</v>
      </c>
      <c r="E235" s="105">
        <f t="shared" si="10"/>
        <v>45987</v>
      </c>
      <c r="F235" s="105">
        <v>45986</v>
      </c>
      <c r="G235" s="105">
        <f t="shared" si="11"/>
        <v>45987</v>
      </c>
      <c r="H235" s="105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45974</v>
      </c>
      <c r="I235" s="95" t="s">
        <v>426</v>
      </c>
    </row>
    <row r="236" spans="1:9" x14ac:dyDescent="0.3">
      <c r="A236" s="96" t="s">
        <v>113</v>
      </c>
      <c r="B236" s="6"/>
      <c r="C236" s="1">
        <v>-1</v>
      </c>
      <c r="D236" s="105">
        <v>46021</v>
      </c>
      <c r="E236" s="105">
        <f t="shared" si="10"/>
        <v>46027</v>
      </c>
      <c r="F236" s="105">
        <v>46026</v>
      </c>
      <c r="G236" s="105">
        <f t="shared" si="11"/>
        <v>46027</v>
      </c>
      <c r="H236" s="105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45974</v>
      </c>
      <c r="I236" s="95" t="s">
        <v>426</v>
      </c>
    </row>
    <row r="237" spans="1:9" x14ac:dyDescent="0.3">
      <c r="A237" s="96" t="s">
        <v>113</v>
      </c>
      <c r="B237" s="6"/>
      <c r="C237" s="1">
        <v>-1</v>
      </c>
      <c r="D237" s="105">
        <v>45965</v>
      </c>
      <c r="E237" s="105">
        <f t="shared" si="10"/>
        <v>45977</v>
      </c>
      <c r="F237" s="105">
        <v>45976</v>
      </c>
      <c r="G237" s="105">
        <f t="shared" si="11"/>
        <v>45977</v>
      </c>
      <c r="H237" s="105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45974</v>
      </c>
      <c r="I237" s="95" t="s">
        <v>426</v>
      </c>
    </row>
    <row r="238" spans="1:9" x14ac:dyDescent="0.3">
      <c r="A238" s="96" t="s">
        <v>113</v>
      </c>
      <c r="B238" s="6"/>
      <c r="C238" s="1">
        <v>-1</v>
      </c>
      <c r="D238" s="105">
        <v>45980</v>
      </c>
      <c r="E238" s="105">
        <f t="shared" si="10"/>
        <v>45986</v>
      </c>
      <c r="F238" s="105">
        <v>45985</v>
      </c>
      <c r="G238" s="105">
        <f t="shared" si="11"/>
        <v>45986</v>
      </c>
      <c r="H238" s="105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45974</v>
      </c>
      <c r="I238" s="95" t="s">
        <v>426</v>
      </c>
    </row>
    <row r="239" spans="1:9" x14ac:dyDescent="0.3">
      <c r="A239" s="96" t="s">
        <v>113</v>
      </c>
      <c r="B239" s="6"/>
      <c r="C239" s="1">
        <v>-1</v>
      </c>
      <c r="D239" s="105">
        <v>45974</v>
      </c>
      <c r="E239" s="105">
        <f t="shared" si="10"/>
        <v>45977</v>
      </c>
      <c r="F239" s="105">
        <v>45976</v>
      </c>
      <c r="G239" s="105">
        <f t="shared" si="11"/>
        <v>45977</v>
      </c>
      <c r="H239" s="105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45974</v>
      </c>
      <c r="I239" s="95" t="s">
        <v>426</v>
      </c>
    </row>
    <row r="240" spans="1:9" x14ac:dyDescent="0.3">
      <c r="A240" s="96" t="s">
        <v>113</v>
      </c>
      <c r="B240" s="6"/>
      <c r="C240" s="1">
        <v>-1</v>
      </c>
      <c r="D240" s="105">
        <v>45975</v>
      </c>
      <c r="E240" s="105">
        <f t="shared" si="10"/>
        <v>45977</v>
      </c>
      <c r="F240" s="105">
        <v>45976</v>
      </c>
      <c r="G240" s="105">
        <f t="shared" si="11"/>
        <v>45977</v>
      </c>
      <c r="H240" s="105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45974</v>
      </c>
      <c r="I240" s="95" t="s">
        <v>426</v>
      </c>
    </row>
    <row r="241" spans="1:9" x14ac:dyDescent="0.3">
      <c r="A241" s="96" t="s">
        <v>113</v>
      </c>
      <c r="B241" s="6"/>
      <c r="C241" s="1">
        <v>-1</v>
      </c>
      <c r="D241" s="105">
        <v>45972</v>
      </c>
      <c r="E241" s="105">
        <f t="shared" si="10"/>
        <v>45978</v>
      </c>
      <c r="F241" s="105">
        <v>45977</v>
      </c>
      <c r="G241" s="105">
        <f t="shared" si="11"/>
        <v>45978</v>
      </c>
      <c r="H241" s="105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45974</v>
      </c>
      <c r="I241" s="95" t="s">
        <v>426</v>
      </c>
    </row>
    <row r="242" spans="1:9" x14ac:dyDescent="0.3">
      <c r="A242" s="96" t="s">
        <v>113</v>
      </c>
      <c r="B242" s="6"/>
      <c r="C242" s="1">
        <v>-1</v>
      </c>
      <c r="D242" s="105">
        <v>46021</v>
      </c>
      <c r="E242" s="105">
        <f t="shared" si="10"/>
        <v>46027</v>
      </c>
      <c r="F242" s="105">
        <v>46026</v>
      </c>
      <c r="G242" s="105">
        <f t="shared" si="11"/>
        <v>46027</v>
      </c>
      <c r="H242" s="105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45974</v>
      </c>
      <c r="I242" s="95" t="s">
        <v>426</v>
      </c>
    </row>
    <row r="243" spans="1:9" x14ac:dyDescent="0.3">
      <c r="A243" s="96" t="s">
        <v>113</v>
      </c>
      <c r="B243" s="6"/>
      <c r="C243" s="1">
        <v>-1</v>
      </c>
      <c r="D243" s="105">
        <v>45975</v>
      </c>
      <c r="E243" s="105">
        <f t="shared" si="10"/>
        <v>45978</v>
      </c>
      <c r="F243" s="105">
        <v>45977</v>
      </c>
      <c r="G243" s="105">
        <f t="shared" si="11"/>
        <v>45978</v>
      </c>
      <c r="H243" s="105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45974</v>
      </c>
      <c r="I243" s="95" t="s">
        <v>426</v>
      </c>
    </row>
    <row r="244" spans="1:9" x14ac:dyDescent="0.3">
      <c r="A244" s="96" t="s">
        <v>113</v>
      </c>
      <c r="B244" s="6"/>
      <c r="C244" s="1">
        <v>-1</v>
      </c>
      <c r="D244" s="105">
        <v>45974</v>
      </c>
      <c r="E244" s="105">
        <f t="shared" si="10"/>
        <v>45981</v>
      </c>
      <c r="F244" s="105">
        <v>45980</v>
      </c>
      <c r="G244" s="105">
        <f t="shared" si="11"/>
        <v>45981</v>
      </c>
      <c r="H244" s="105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45974</v>
      </c>
      <c r="I244" s="95" t="s">
        <v>426</v>
      </c>
    </row>
    <row r="245" spans="1:9" x14ac:dyDescent="0.3">
      <c r="A245" s="96" t="s">
        <v>113</v>
      </c>
      <c r="B245" s="6"/>
      <c r="C245" s="1">
        <v>-1</v>
      </c>
      <c r="D245" s="105">
        <v>45975</v>
      </c>
      <c r="E245" s="105">
        <f t="shared" si="10"/>
        <v>45977</v>
      </c>
      <c r="F245" s="105">
        <v>45976</v>
      </c>
      <c r="G245" s="105">
        <f t="shared" si="11"/>
        <v>45977</v>
      </c>
      <c r="H245" s="105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45974</v>
      </c>
      <c r="I245" s="95" t="s">
        <v>426</v>
      </c>
    </row>
    <row r="246" spans="1:9" x14ac:dyDescent="0.3">
      <c r="A246" s="96" t="s">
        <v>125</v>
      </c>
      <c r="B246" s="6"/>
      <c r="C246" s="1">
        <v>-1</v>
      </c>
      <c r="D246" s="105">
        <v>46022</v>
      </c>
      <c r="E246" s="105">
        <f t="shared" si="10"/>
        <v>46023</v>
      </c>
      <c r="F246" s="105">
        <v>46022</v>
      </c>
      <c r="G246" s="105">
        <f t="shared" si="11"/>
        <v>46023</v>
      </c>
      <c r="H246" s="105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45974</v>
      </c>
      <c r="I246" s="95" t="s">
        <v>427</v>
      </c>
    </row>
    <row r="247" spans="1:9" x14ac:dyDescent="0.3">
      <c r="A247" s="96" t="s">
        <v>95</v>
      </c>
      <c r="B247" s="6"/>
      <c r="C247" s="1">
        <v>-1</v>
      </c>
      <c r="D247" s="105">
        <v>45987</v>
      </c>
      <c r="E247" s="105">
        <f t="shared" si="10"/>
        <v>45989</v>
      </c>
      <c r="F247" s="105">
        <v>45988</v>
      </c>
      <c r="G247" s="105">
        <f t="shared" si="11"/>
        <v>45989</v>
      </c>
      <c r="H247" s="105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45974</v>
      </c>
      <c r="I247" s="95" t="s">
        <v>428</v>
      </c>
    </row>
    <row r="248" spans="1:9" x14ac:dyDescent="0.3">
      <c r="A248" s="96" t="s">
        <v>103</v>
      </c>
      <c r="B248" s="6"/>
      <c r="C248" s="1">
        <v>-1</v>
      </c>
      <c r="D248" s="105">
        <v>45987</v>
      </c>
      <c r="E248" s="105">
        <f t="shared" si="10"/>
        <v>45989</v>
      </c>
      <c r="F248" s="105">
        <v>45988</v>
      </c>
      <c r="G248" s="105">
        <f t="shared" si="11"/>
        <v>45989</v>
      </c>
      <c r="H248" s="105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45974</v>
      </c>
      <c r="I248" s="95" t="s">
        <v>429</v>
      </c>
    </row>
    <row r="249" spans="1:9" s="97" customFormat="1" x14ac:dyDescent="0.3">
      <c r="A249" s="96" t="s">
        <v>126</v>
      </c>
      <c r="B249" s="9"/>
      <c r="C249" s="97">
        <v>-1</v>
      </c>
      <c r="D249" s="106">
        <v>46026</v>
      </c>
      <c r="E249" s="106">
        <f t="shared" si="10"/>
        <v>46028</v>
      </c>
      <c r="F249" s="106">
        <v>46027</v>
      </c>
      <c r="G249" s="106">
        <f t="shared" si="11"/>
        <v>46028</v>
      </c>
      <c r="H249" s="106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45974</v>
      </c>
      <c r="I249" s="98" t="s">
        <v>430</v>
      </c>
    </row>
    <row r="250" spans="1:9" x14ac:dyDescent="0.3">
      <c r="A250" s="96" t="s">
        <v>81</v>
      </c>
      <c r="B250" s="6"/>
      <c r="C250" s="1">
        <v>-1</v>
      </c>
      <c r="D250" s="105">
        <v>45989</v>
      </c>
      <c r="E250" s="105">
        <f t="shared" si="10"/>
        <v>45997</v>
      </c>
      <c r="F250" s="105">
        <v>45996</v>
      </c>
      <c r="G250" s="105">
        <f t="shared" si="11"/>
        <v>45997</v>
      </c>
      <c r="H250" s="105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45974</v>
      </c>
      <c r="I250" s="95" t="s">
        <v>431</v>
      </c>
    </row>
    <row r="251" spans="1:9" x14ac:dyDescent="0.3">
      <c r="A251" s="96" t="s">
        <v>76</v>
      </c>
      <c r="B251" s="6"/>
      <c r="C251" s="1">
        <v>-1</v>
      </c>
      <c r="D251" s="105">
        <v>46021</v>
      </c>
      <c r="E251" s="105">
        <f t="shared" si="10"/>
        <v>46026</v>
      </c>
      <c r="F251" s="105">
        <v>46025</v>
      </c>
      <c r="G251" s="105">
        <f t="shared" si="11"/>
        <v>46026</v>
      </c>
      <c r="H251" s="105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45974</v>
      </c>
      <c r="I251" s="95" t="s">
        <v>424</v>
      </c>
    </row>
    <row r="252" spans="1:9" x14ac:dyDescent="0.3">
      <c r="A252" s="96" t="s">
        <v>119</v>
      </c>
      <c r="B252" s="6"/>
      <c r="C252" s="1">
        <v>-1</v>
      </c>
      <c r="D252" s="105">
        <v>46020</v>
      </c>
      <c r="E252" s="105">
        <f t="shared" si="10"/>
        <v>46026</v>
      </c>
      <c r="F252" s="105">
        <v>46025</v>
      </c>
      <c r="G252" s="105">
        <f t="shared" si="11"/>
        <v>46026</v>
      </c>
      <c r="H252" s="105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45974</v>
      </c>
      <c r="I252" s="95" t="s">
        <v>432</v>
      </c>
    </row>
    <row r="253" spans="1:9" x14ac:dyDescent="0.3">
      <c r="A253" s="96" t="s">
        <v>136</v>
      </c>
      <c r="B253" s="6"/>
      <c r="C253" s="1">
        <v>-1</v>
      </c>
      <c r="D253" s="105">
        <v>46015</v>
      </c>
      <c r="E253" s="105">
        <f t="shared" si="10"/>
        <v>46016</v>
      </c>
      <c r="F253" s="105">
        <v>46015</v>
      </c>
      <c r="G253" s="105">
        <f t="shared" si="11"/>
        <v>46016</v>
      </c>
      <c r="H253" s="105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45974</v>
      </c>
      <c r="I253" s="95" t="s">
        <v>433</v>
      </c>
    </row>
    <row r="254" spans="1:9" x14ac:dyDescent="0.3">
      <c r="A254" s="96" t="s">
        <v>76</v>
      </c>
      <c r="B254" s="6"/>
      <c r="C254" s="1">
        <v>-1</v>
      </c>
      <c r="D254" s="105">
        <v>46014</v>
      </c>
      <c r="E254" s="105">
        <f t="shared" ref="E254:E285" si="12">G254</f>
        <v>46022</v>
      </c>
      <c r="F254" s="105">
        <v>46021</v>
      </c>
      <c r="G254" s="105">
        <f t="shared" si="11"/>
        <v>46022</v>
      </c>
      <c r="H254" s="105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45975</v>
      </c>
      <c r="I254" s="95" t="s">
        <v>434</v>
      </c>
    </row>
    <row r="255" spans="1:9" x14ac:dyDescent="0.3">
      <c r="A255" s="96" t="s">
        <v>118</v>
      </c>
      <c r="B255" s="6"/>
      <c r="C255" s="1">
        <v>-1</v>
      </c>
      <c r="D255" s="105">
        <v>45995</v>
      </c>
      <c r="E255" s="105">
        <f t="shared" si="12"/>
        <v>45998</v>
      </c>
      <c r="F255" s="105">
        <v>45997</v>
      </c>
      <c r="G255" s="105">
        <f t="shared" si="11"/>
        <v>45998</v>
      </c>
      <c r="H255" s="105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45975</v>
      </c>
      <c r="I255" s="95" t="s">
        <v>435</v>
      </c>
    </row>
    <row r="256" spans="1:9" x14ac:dyDescent="0.3">
      <c r="A256" s="96" t="s">
        <v>66</v>
      </c>
      <c r="B256" s="6"/>
      <c r="C256" s="1">
        <v>-1</v>
      </c>
      <c r="D256" s="105">
        <v>46020</v>
      </c>
      <c r="E256" s="105">
        <f t="shared" si="12"/>
        <v>46021</v>
      </c>
      <c r="F256" s="105">
        <v>46020</v>
      </c>
      <c r="G256" s="105">
        <f t="shared" si="11"/>
        <v>46021</v>
      </c>
      <c r="H256" s="105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45975</v>
      </c>
      <c r="I256" s="95" t="s">
        <v>436</v>
      </c>
    </row>
    <row r="257" spans="1:9" x14ac:dyDescent="0.3">
      <c r="A257" s="96" t="s">
        <v>66</v>
      </c>
      <c r="B257" s="6"/>
      <c r="C257" s="1">
        <v>-1</v>
      </c>
      <c r="D257" s="105">
        <v>46023</v>
      </c>
      <c r="E257" s="105">
        <f t="shared" si="12"/>
        <v>46024</v>
      </c>
      <c r="F257" s="105">
        <v>46023</v>
      </c>
      <c r="G257" s="105">
        <f t="shared" si="11"/>
        <v>46024</v>
      </c>
      <c r="H257" s="105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45975</v>
      </c>
      <c r="I257" s="95" t="s">
        <v>436</v>
      </c>
    </row>
    <row r="258" spans="1:9" x14ac:dyDescent="0.3">
      <c r="A258" s="96" t="s">
        <v>127</v>
      </c>
      <c r="B258" s="6"/>
      <c r="C258" s="1">
        <v>-1</v>
      </c>
      <c r="D258" s="105">
        <v>46027</v>
      </c>
      <c r="E258" s="105">
        <f t="shared" si="12"/>
        <v>46028</v>
      </c>
      <c r="F258" s="105">
        <v>46027</v>
      </c>
      <c r="G258" s="105">
        <f t="shared" si="11"/>
        <v>46028</v>
      </c>
      <c r="H258" s="105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45975</v>
      </c>
      <c r="I258" s="95" t="s">
        <v>437</v>
      </c>
    </row>
    <row r="259" spans="1:9" x14ac:dyDescent="0.3">
      <c r="A259" s="96" t="s">
        <v>127</v>
      </c>
      <c r="B259" s="6"/>
      <c r="C259" s="1">
        <v>-1</v>
      </c>
      <c r="D259" s="105">
        <v>46069</v>
      </c>
      <c r="E259" s="105">
        <f t="shared" si="12"/>
        <v>46075</v>
      </c>
      <c r="F259" s="105">
        <v>46074</v>
      </c>
      <c r="G259" s="105">
        <f t="shared" si="11"/>
        <v>46075</v>
      </c>
      <c r="H259" s="105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45975</v>
      </c>
      <c r="I259" s="95" t="s">
        <v>437</v>
      </c>
    </row>
    <row r="260" spans="1:9" x14ac:dyDescent="0.3">
      <c r="A260" s="96" t="s">
        <v>127</v>
      </c>
      <c r="B260" s="6"/>
      <c r="C260" s="1">
        <v>-1</v>
      </c>
      <c r="D260" s="105">
        <v>46060</v>
      </c>
      <c r="E260" s="105">
        <f t="shared" si="12"/>
        <v>46063</v>
      </c>
      <c r="F260" s="105">
        <v>46062</v>
      </c>
      <c r="G260" s="105">
        <f t="shared" si="11"/>
        <v>46063</v>
      </c>
      <c r="H260" s="105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45975</v>
      </c>
      <c r="I260" s="95" t="s">
        <v>437</v>
      </c>
    </row>
    <row r="261" spans="1:9" x14ac:dyDescent="0.3">
      <c r="A261" s="96" t="s">
        <v>127</v>
      </c>
      <c r="B261" s="6"/>
      <c r="C261" s="1">
        <v>-1</v>
      </c>
      <c r="D261" s="105">
        <v>46082</v>
      </c>
      <c r="E261" s="105">
        <f t="shared" si="12"/>
        <v>46083</v>
      </c>
      <c r="F261" s="105">
        <v>46082</v>
      </c>
      <c r="G261" s="105">
        <f t="shared" si="11"/>
        <v>46083</v>
      </c>
      <c r="H261" s="105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45975</v>
      </c>
      <c r="I261" s="95" t="s">
        <v>437</v>
      </c>
    </row>
    <row r="262" spans="1:9" x14ac:dyDescent="0.3">
      <c r="A262" s="96" t="s">
        <v>85</v>
      </c>
      <c r="B262" s="6"/>
      <c r="C262" s="1">
        <v>-1</v>
      </c>
      <c r="D262" s="105">
        <v>45985</v>
      </c>
      <c r="E262" s="105">
        <f t="shared" si="12"/>
        <v>45986</v>
      </c>
      <c r="F262" s="105">
        <v>45985</v>
      </c>
      <c r="G262" s="105">
        <f t="shared" si="11"/>
        <v>45986</v>
      </c>
      <c r="H262" s="105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45975</v>
      </c>
      <c r="I262" s="95" t="s">
        <v>438</v>
      </c>
    </row>
    <row r="263" spans="1:9" x14ac:dyDescent="0.3">
      <c r="A263" s="96" t="s">
        <v>85</v>
      </c>
      <c r="B263" s="6"/>
      <c r="C263" s="1">
        <v>-1</v>
      </c>
      <c r="D263" s="105">
        <v>45984</v>
      </c>
      <c r="E263" s="105">
        <f t="shared" si="12"/>
        <v>45986</v>
      </c>
      <c r="F263" s="105">
        <v>45985</v>
      </c>
      <c r="G263" s="105">
        <f t="shared" si="11"/>
        <v>45986</v>
      </c>
      <c r="H263" s="105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45975</v>
      </c>
      <c r="I263" s="95" t="s">
        <v>438</v>
      </c>
    </row>
    <row r="264" spans="1:9" ht="14.25" customHeight="1" x14ac:dyDescent="0.3">
      <c r="A264" s="96" t="s">
        <v>85</v>
      </c>
      <c r="B264" s="6"/>
      <c r="C264" s="1">
        <v>-1</v>
      </c>
      <c r="D264" s="105">
        <v>45985</v>
      </c>
      <c r="E264" s="105">
        <f t="shared" si="12"/>
        <v>45987</v>
      </c>
      <c r="F264" s="105">
        <v>45986</v>
      </c>
      <c r="G264" s="105">
        <f t="shared" si="11"/>
        <v>45987</v>
      </c>
      <c r="H264" s="105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45975</v>
      </c>
      <c r="I264" s="95" t="s">
        <v>438</v>
      </c>
    </row>
    <row r="265" spans="1:9" x14ac:dyDescent="0.3">
      <c r="A265" s="96" t="s">
        <v>88</v>
      </c>
      <c r="B265" s="6"/>
      <c r="C265" s="1">
        <v>-1</v>
      </c>
      <c r="D265" s="105">
        <v>45978</v>
      </c>
      <c r="E265" s="105">
        <f t="shared" si="12"/>
        <v>45979</v>
      </c>
      <c r="F265" s="105">
        <v>45978</v>
      </c>
      <c r="G265" s="105">
        <f t="shared" si="11"/>
        <v>45979</v>
      </c>
      <c r="H265" s="105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45975</v>
      </c>
      <c r="I265" s="95" t="s">
        <v>439</v>
      </c>
    </row>
    <row r="266" spans="1:9" x14ac:dyDescent="0.3">
      <c r="A266" s="96" t="s">
        <v>113</v>
      </c>
      <c r="B266" s="6"/>
      <c r="C266" s="1">
        <v>-1</v>
      </c>
      <c r="D266" s="105">
        <v>45982</v>
      </c>
      <c r="E266" s="105">
        <f t="shared" si="12"/>
        <v>45989</v>
      </c>
      <c r="F266" s="105">
        <v>45988</v>
      </c>
      <c r="G266" s="105">
        <f t="shared" si="11"/>
        <v>45989</v>
      </c>
      <c r="H266" s="105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45975</v>
      </c>
      <c r="I266" s="95" t="s">
        <v>440</v>
      </c>
    </row>
    <row r="267" spans="1:9" x14ac:dyDescent="0.3">
      <c r="A267" s="96" t="s">
        <v>113</v>
      </c>
      <c r="B267" s="6"/>
      <c r="C267" s="1">
        <v>-1</v>
      </c>
      <c r="D267" s="105">
        <v>45988</v>
      </c>
      <c r="E267" s="105">
        <f t="shared" si="12"/>
        <v>45997</v>
      </c>
      <c r="F267" s="105">
        <v>45996</v>
      </c>
      <c r="G267" s="105">
        <f t="shared" si="11"/>
        <v>45997</v>
      </c>
      <c r="H267" s="105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45975</v>
      </c>
      <c r="I267" s="95" t="s">
        <v>440</v>
      </c>
    </row>
    <row r="268" spans="1:9" x14ac:dyDescent="0.3">
      <c r="A268" s="96" t="s">
        <v>113</v>
      </c>
      <c r="B268" s="6"/>
      <c r="C268" s="1">
        <v>-1</v>
      </c>
      <c r="D268" s="105">
        <v>46021</v>
      </c>
      <c r="E268" s="105">
        <f t="shared" si="12"/>
        <v>46026</v>
      </c>
      <c r="F268" s="105">
        <v>46025</v>
      </c>
      <c r="G268" s="105">
        <f t="shared" si="11"/>
        <v>46026</v>
      </c>
      <c r="H268" s="105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45975</v>
      </c>
      <c r="I268" s="95" t="s">
        <v>440</v>
      </c>
    </row>
    <row r="269" spans="1:9" x14ac:dyDescent="0.3">
      <c r="A269" s="96" t="s">
        <v>284</v>
      </c>
      <c r="B269" s="6"/>
      <c r="C269" s="1">
        <v>-1</v>
      </c>
      <c r="D269" s="105">
        <v>46025</v>
      </c>
      <c r="E269" s="105">
        <f t="shared" si="12"/>
        <v>46026</v>
      </c>
      <c r="F269" s="105">
        <v>46025</v>
      </c>
      <c r="G269" s="105">
        <f t="shared" si="11"/>
        <v>46026</v>
      </c>
      <c r="H269" s="105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45975</v>
      </c>
      <c r="I269" s="95" t="s">
        <v>441</v>
      </c>
    </row>
    <row r="270" spans="1:9" x14ac:dyDescent="0.3">
      <c r="A270" s="96" t="s">
        <v>81</v>
      </c>
      <c r="B270" s="6"/>
      <c r="C270" s="1">
        <v>-1</v>
      </c>
      <c r="D270" s="105">
        <v>45989</v>
      </c>
      <c r="E270" s="105">
        <f t="shared" si="12"/>
        <v>45991</v>
      </c>
      <c r="F270" s="105">
        <v>45990</v>
      </c>
      <c r="G270" s="105">
        <f t="shared" si="11"/>
        <v>45991</v>
      </c>
      <c r="H270" s="105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45975</v>
      </c>
      <c r="I270" s="95" t="s">
        <v>442</v>
      </c>
    </row>
    <row r="271" spans="1:9" x14ac:dyDescent="0.3">
      <c r="A271" s="96" t="s">
        <v>307</v>
      </c>
      <c r="B271" s="6"/>
      <c r="C271" s="1">
        <v>-1</v>
      </c>
      <c r="D271" s="105">
        <v>45981</v>
      </c>
      <c r="E271" s="105">
        <f t="shared" si="12"/>
        <v>45986</v>
      </c>
      <c r="F271" s="105">
        <v>45985</v>
      </c>
      <c r="G271" s="105">
        <f t="shared" si="11"/>
        <v>45986</v>
      </c>
      <c r="H271" s="105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45975</v>
      </c>
      <c r="I271" s="95" t="s">
        <v>443</v>
      </c>
    </row>
    <row r="272" spans="1:9" x14ac:dyDescent="0.3">
      <c r="A272" s="96" t="s">
        <v>307</v>
      </c>
      <c r="B272" s="6"/>
      <c r="C272" s="1">
        <v>-1</v>
      </c>
      <c r="D272" s="105">
        <v>45976</v>
      </c>
      <c r="E272" s="105">
        <f t="shared" si="12"/>
        <v>46030</v>
      </c>
      <c r="F272" s="105">
        <v>46029</v>
      </c>
      <c r="G272" s="105">
        <f t="shared" si="11"/>
        <v>46030</v>
      </c>
      <c r="H272" s="105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45975</v>
      </c>
      <c r="I272" s="95" t="s">
        <v>443</v>
      </c>
    </row>
    <row r="273" spans="1:9" x14ac:dyDescent="0.3">
      <c r="A273" s="96" t="s">
        <v>307</v>
      </c>
      <c r="B273" s="6"/>
      <c r="C273" s="1">
        <v>-1</v>
      </c>
      <c r="D273" s="105">
        <v>45976</v>
      </c>
      <c r="E273" s="105">
        <f t="shared" si="12"/>
        <v>46033</v>
      </c>
      <c r="F273" s="105">
        <v>46032</v>
      </c>
      <c r="G273" s="105">
        <f t="shared" si="11"/>
        <v>46033</v>
      </c>
      <c r="H273" s="105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45975</v>
      </c>
      <c r="I273" s="95" t="s">
        <v>443</v>
      </c>
    </row>
    <row r="274" spans="1:9" x14ac:dyDescent="0.3">
      <c r="A274" s="96" t="s">
        <v>307</v>
      </c>
      <c r="B274" s="6"/>
      <c r="C274" s="1">
        <v>-1</v>
      </c>
      <c r="D274" s="105">
        <v>45976</v>
      </c>
      <c r="E274" s="105">
        <f t="shared" si="12"/>
        <v>46000</v>
      </c>
      <c r="F274" s="105">
        <v>45999</v>
      </c>
      <c r="G274" s="105">
        <f t="shared" si="11"/>
        <v>46000</v>
      </c>
      <c r="H274" s="105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45975</v>
      </c>
      <c r="I274" s="95" t="s">
        <v>443</v>
      </c>
    </row>
    <row r="275" spans="1:9" x14ac:dyDescent="0.3">
      <c r="A275" s="96" t="s">
        <v>307</v>
      </c>
      <c r="B275" s="6"/>
      <c r="C275" s="1">
        <v>-1</v>
      </c>
      <c r="D275" s="105">
        <v>46017</v>
      </c>
      <c r="E275" s="105">
        <f t="shared" si="12"/>
        <v>45667</v>
      </c>
      <c r="F275" s="105">
        <v>45666</v>
      </c>
      <c r="G275" s="105">
        <f t="shared" si="11"/>
        <v>45667</v>
      </c>
      <c r="H275" s="105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45975</v>
      </c>
      <c r="I275" s="95" t="s">
        <v>443</v>
      </c>
    </row>
    <row r="276" spans="1:9" x14ac:dyDescent="0.3">
      <c r="A276" s="96" t="s">
        <v>129</v>
      </c>
      <c r="B276" s="6"/>
      <c r="C276" s="1">
        <v>-1</v>
      </c>
      <c r="D276" s="105">
        <v>46018</v>
      </c>
      <c r="E276" s="105">
        <f t="shared" si="12"/>
        <v>46025</v>
      </c>
      <c r="F276" s="105">
        <v>46024</v>
      </c>
      <c r="G276" s="105">
        <f t="shared" si="11"/>
        <v>46025</v>
      </c>
      <c r="H276" s="105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45974</v>
      </c>
      <c r="I276" s="95" t="s">
        <v>444</v>
      </c>
    </row>
    <row r="277" spans="1:9" x14ac:dyDescent="0.3">
      <c r="A277" s="96" t="s">
        <v>118</v>
      </c>
      <c r="B277" s="6"/>
      <c r="C277" s="1">
        <v>-1</v>
      </c>
      <c r="D277" s="105">
        <v>45995</v>
      </c>
      <c r="E277" s="105">
        <f t="shared" si="12"/>
        <v>45998</v>
      </c>
      <c r="F277" s="105">
        <v>45997</v>
      </c>
      <c r="G277" s="105">
        <f t="shared" si="11"/>
        <v>45998</v>
      </c>
      <c r="H277" s="105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45975</v>
      </c>
      <c r="I277" s="95" t="s">
        <v>435</v>
      </c>
    </row>
    <row r="278" spans="1:9" x14ac:dyDescent="0.3">
      <c r="A278" s="96" t="s">
        <v>125</v>
      </c>
      <c r="B278" s="6"/>
      <c r="C278" s="1">
        <v>-1</v>
      </c>
      <c r="D278" s="105">
        <v>45986</v>
      </c>
      <c r="E278" s="105">
        <f t="shared" si="12"/>
        <v>45987</v>
      </c>
      <c r="F278" s="105">
        <v>45986</v>
      </c>
      <c r="G278" s="105">
        <f t="shared" si="11"/>
        <v>45987</v>
      </c>
      <c r="H278" s="105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45976</v>
      </c>
      <c r="I278" s="95" t="s">
        <v>445</v>
      </c>
    </row>
    <row r="279" spans="1:9" x14ac:dyDescent="0.3">
      <c r="A279" s="96" t="s">
        <v>64</v>
      </c>
      <c r="B279" s="6"/>
      <c r="C279" s="1">
        <v>-1</v>
      </c>
      <c r="D279" s="105">
        <v>45997</v>
      </c>
      <c r="E279" s="105">
        <f t="shared" si="12"/>
        <v>46000</v>
      </c>
      <c r="F279" s="105">
        <v>45999</v>
      </c>
      <c r="G279" s="105">
        <f t="shared" si="11"/>
        <v>46000</v>
      </c>
      <c r="H279" s="105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45976</v>
      </c>
      <c r="I279" s="95" t="s">
        <v>446</v>
      </c>
    </row>
    <row r="280" spans="1:9" x14ac:dyDescent="0.3">
      <c r="A280" s="96" t="s">
        <v>122</v>
      </c>
      <c r="B280" s="6"/>
      <c r="C280" s="1">
        <v>-1</v>
      </c>
      <c r="D280" s="105">
        <v>46021</v>
      </c>
      <c r="E280" s="105">
        <f t="shared" si="12"/>
        <v>46028</v>
      </c>
      <c r="F280" s="105">
        <v>46027</v>
      </c>
      <c r="G280" s="105">
        <f t="shared" si="11"/>
        <v>46028</v>
      </c>
      <c r="H280" s="105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45976</v>
      </c>
      <c r="I280" s="95" t="s">
        <v>447</v>
      </c>
    </row>
    <row r="281" spans="1:9" x14ac:dyDescent="0.3">
      <c r="A281" s="96" t="s">
        <v>122</v>
      </c>
      <c r="B281" s="6"/>
      <c r="C281" s="1">
        <v>-1</v>
      </c>
      <c r="D281" s="105">
        <v>46026</v>
      </c>
      <c r="E281" s="105">
        <f t="shared" si="12"/>
        <v>46036</v>
      </c>
      <c r="F281" s="105">
        <v>46035</v>
      </c>
      <c r="G281" s="105">
        <f t="shared" si="11"/>
        <v>46036</v>
      </c>
      <c r="H281" s="105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45976</v>
      </c>
      <c r="I281" s="95" t="s">
        <v>447</v>
      </c>
    </row>
    <row r="282" spans="1:9" x14ac:dyDescent="0.3">
      <c r="A282" s="96" t="s">
        <v>122</v>
      </c>
      <c r="B282" s="6"/>
      <c r="C282" s="1">
        <v>-1</v>
      </c>
      <c r="D282" s="105">
        <v>46022</v>
      </c>
      <c r="E282" s="105">
        <f t="shared" si="12"/>
        <v>46023</v>
      </c>
      <c r="F282" s="105">
        <v>46022</v>
      </c>
      <c r="G282" s="105">
        <f t="shared" si="11"/>
        <v>46023</v>
      </c>
      <c r="H282" s="105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45976</v>
      </c>
      <c r="I282" s="95" t="s">
        <v>447</v>
      </c>
    </row>
    <row r="283" spans="1:9" x14ac:dyDescent="0.3">
      <c r="A283" s="96" t="s">
        <v>122</v>
      </c>
      <c r="B283" s="6"/>
      <c r="C283" s="1">
        <v>-1</v>
      </c>
      <c r="D283" s="105">
        <v>46025</v>
      </c>
      <c r="E283" s="105">
        <f t="shared" si="12"/>
        <v>46028</v>
      </c>
      <c r="F283" s="105">
        <v>46027</v>
      </c>
      <c r="G283" s="105">
        <f t="shared" si="11"/>
        <v>46028</v>
      </c>
      <c r="H283" s="105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45976</v>
      </c>
      <c r="I283" s="95" t="s">
        <v>447</v>
      </c>
    </row>
    <row r="284" spans="1:9" x14ac:dyDescent="0.3">
      <c r="A284" s="96" t="s">
        <v>134</v>
      </c>
      <c r="B284" s="6"/>
      <c r="C284" s="1">
        <v>-1</v>
      </c>
      <c r="D284" s="105">
        <v>45989</v>
      </c>
      <c r="E284" s="105">
        <f t="shared" si="12"/>
        <v>46001</v>
      </c>
      <c r="F284" s="105">
        <v>46000</v>
      </c>
      <c r="G284" s="105">
        <f t="shared" si="11"/>
        <v>46001</v>
      </c>
      <c r="H284" s="105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45976</v>
      </c>
      <c r="I284" s="95" t="s">
        <v>448</v>
      </c>
    </row>
    <row r="285" spans="1:9" x14ac:dyDescent="0.3">
      <c r="A285" s="96" t="s">
        <v>134</v>
      </c>
      <c r="B285" s="6"/>
      <c r="C285" s="1">
        <v>-1</v>
      </c>
      <c r="D285" s="105">
        <v>46021</v>
      </c>
      <c r="E285" s="105">
        <f t="shared" si="12"/>
        <v>46026</v>
      </c>
      <c r="F285" s="105">
        <v>46025</v>
      </c>
      <c r="G285" s="105">
        <f t="shared" si="11"/>
        <v>46026</v>
      </c>
      <c r="H285" s="105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45976</v>
      </c>
      <c r="I285" s="95" t="s">
        <v>448</v>
      </c>
    </row>
    <row r="286" spans="1:9" x14ac:dyDescent="0.3">
      <c r="A286" s="96" t="s">
        <v>104</v>
      </c>
      <c r="B286" s="6"/>
      <c r="C286" s="1">
        <v>-1</v>
      </c>
      <c r="D286" s="105">
        <v>45990</v>
      </c>
      <c r="E286" s="105">
        <f t="shared" ref="E286:E307" si="13">G286</f>
        <v>46004</v>
      </c>
      <c r="F286" s="105">
        <v>46003</v>
      </c>
      <c r="G286" s="105">
        <f t="shared" si="11"/>
        <v>46004</v>
      </c>
      <c r="H286" s="105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45976</v>
      </c>
      <c r="I286" s="95" t="s">
        <v>449</v>
      </c>
    </row>
    <row r="287" spans="1:9" x14ac:dyDescent="0.3">
      <c r="A287" s="96" t="s">
        <v>307</v>
      </c>
      <c r="B287" s="6"/>
      <c r="C287" s="1">
        <v>-1</v>
      </c>
      <c r="D287" s="105">
        <v>45983</v>
      </c>
      <c r="E287" s="105">
        <f t="shared" si="13"/>
        <v>45988</v>
      </c>
      <c r="F287" s="105">
        <v>45987</v>
      </c>
      <c r="G287" s="105">
        <f t="shared" si="11"/>
        <v>45988</v>
      </c>
      <c r="H287" s="105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45976</v>
      </c>
      <c r="I287" s="95" t="s">
        <v>450</v>
      </c>
    </row>
    <row r="288" spans="1:9" x14ac:dyDescent="0.3">
      <c r="A288" s="96" t="s">
        <v>307</v>
      </c>
      <c r="B288" s="6"/>
      <c r="C288" s="1">
        <v>-1</v>
      </c>
      <c r="D288" s="105">
        <v>45977</v>
      </c>
      <c r="E288" s="105">
        <f t="shared" si="13"/>
        <v>46030</v>
      </c>
      <c r="F288" s="105">
        <v>46029</v>
      </c>
      <c r="G288" s="105">
        <f t="shared" si="11"/>
        <v>46030</v>
      </c>
      <c r="H288" s="105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45976</v>
      </c>
      <c r="I288" s="95" t="s">
        <v>450</v>
      </c>
    </row>
    <row r="289" spans="1:9" x14ac:dyDescent="0.3">
      <c r="A289" s="96" t="s">
        <v>307</v>
      </c>
      <c r="B289" s="6"/>
      <c r="C289" s="1">
        <v>-1</v>
      </c>
      <c r="D289" s="105">
        <v>45977</v>
      </c>
      <c r="E289" s="105">
        <f t="shared" si="13"/>
        <v>46033</v>
      </c>
      <c r="F289" s="105">
        <v>46032</v>
      </c>
      <c r="G289" s="105">
        <f t="shared" si="11"/>
        <v>46033</v>
      </c>
      <c r="H289" s="105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45976</v>
      </c>
      <c r="I289" s="95" t="s">
        <v>450</v>
      </c>
    </row>
    <row r="290" spans="1:9" x14ac:dyDescent="0.3">
      <c r="A290" s="96" t="s">
        <v>307</v>
      </c>
      <c r="B290" s="6"/>
      <c r="C290" s="1">
        <v>-1</v>
      </c>
      <c r="D290" s="105">
        <v>45977</v>
      </c>
      <c r="E290" s="105">
        <f t="shared" si="13"/>
        <v>46365</v>
      </c>
      <c r="F290" s="105">
        <v>46364</v>
      </c>
      <c r="G290" s="105">
        <f t="shared" si="11"/>
        <v>46365</v>
      </c>
      <c r="H290" s="105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45976</v>
      </c>
      <c r="I290" s="95" t="s">
        <v>450</v>
      </c>
    </row>
    <row r="291" spans="1:9" x14ac:dyDescent="0.3">
      <c r="A291" s="96" t="s">
        <v>307</v>
      </c>
      <c r="B291" s="6"/>
      <c r="C291" s="1">
        <v>-1</v>
      </c>
      <c r="D291" s="105">
        <v>45997</v>
      </c>
      <c r="E291" s="105">
        <f t="shared" si="13"/>
        <v>45668</v>
      </c>
      <c r="F291" s="105">
        <v>45667</v>
      </c>
      <c r="G291" s="105">
        <f t="shared" si="11"/>
        <v>45668</v>
      </c>
      <c r="H291" s="105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45976</v>
      </c>
      <c r="I291" s="95" t="s">
        <v>450</v>
      </c>
    </row>
    <row r="292" spans="1:9" x14ac:dyDescent="0.3">
      <c r="A292" s="96" t="s">
        <v>321</v>
      </c>
      <c r="B292" s="6"/>
      <c r="C292" s="1">
        <v>-1</v>
      </c>
      <c r="D292" s="105">
        <v>46018</v>
      </c>
      <c r="E292" s="105">
        <f t="shared" si="13"/>
        <v>46019</v>
      </c>
      <c r="F292" s="105">
        <v>46018</v>
      </c>
      <c r="G292" s="105">
        <f t="shared" ref="G292:G355" si="14">F292+1</f>
        <v>46019</v>
      </c>
      <c r="H292" s="105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45976</v>
      </c>
      <c r="I292" s="95" t="s">
        <v>451</v>
      </c>
    </row>
    <row r="293" spans="1:9" x14ac:dyDescent="0.3">
      <c r="A293" s="96" t="s">
        <v>127</v>
      </c>
      <c r="B293" s="6"/>
      <c r="C293" s="1">
        <v>-1</v>
      </c>
      <c r="D293" s="105">
        <v>46019</v>
      </c>
      <c r="E293" s="105">
        <f t="shared" si="13"/>
        <v>46022</v>
      </c>
      <c r="F293" s="105">
        <v>46021</v>
      </c>
      <c r="G293" s="105">
        <f t="shared" si="14"/>
        <v>46022</v>
      </c>
      <c r="H293" s="105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45977</v>
      </c>
      <c r="I293" s="95" t="s">
        <v>452</v>
      </c>
    </row>
    <row r="294" spans="1:9" x14ac:dyDescent="0.3">
      <c r="A294" s="96" t="s">
        <v>109</v>
      </c>
      <c r="B294" s="6"/>
      <c r="C294" s="1">
        <v>-1</v>
      </c>
      <c r="D294" s="105">
        <v>45978</v>
      </c>
      <c r="E294" s="105">
        <f t="shared" si="13"/>
        <v>45983</v>
      </c>
      <c r="F294" s="105">
        <v>45982</v>
      </c>
      <c r="G294" s="105">
        <f t="shared" si="14"/>
        <v>45983</v>
      </c>
      <c r="H294" s="105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45977</v>
      </c>
      <c r="I294" s="95" t="s">
        <v>453</v>
      </c>
    </row>
    <row r="295" spans="1:9" x14ac:dyDescent="0.3">
      <c r="A295" s="96" t="s">
        <v>109</v>
      </c>
      <c r="B295" s="6"/>
      <c r="C295" s="1">
        <v>-1</v>
      </c>
      <c r="D295" s="105">
        <v>45987</v>
      </c>
      <c r="E295" s="105">
        <f t="shared" si="13"/>
        <v>45990</v>
      </c>
      <c r="F295" s="105">
        <v>45989</v>
      </c>
      <c r="G295" s="105">
        <f t="shared" si="14"/>
        <v>45990</v>
      </c>
      <c r="H295" s="105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45977</v>
      </c>
      <c r="I295" s="95" t="s">
        <v>453</v>
      </c>
    </row>
    <row r="296" spans="1:9" x14ac:dyDescent="0.3">
      <c r="A296" s="96" t="s">
        <v>119</v>
      </c>
      <c r="B296" s="6"/>
      <c r="C296" s="1">
        <v>-1</v>
      </c>
      <c r="D296" s="105">
        <v>45966</v>
      </c>
      <c r="E296" s="105">
        <f t="shared" si="13"/>
        <v>45989</v>
      </c>
      <c r="F296" s="105">
        <v>45988</v>
      </c>
      <c r="G296" s="105">
        <f t="shared" si="14"/>
        <v>45989</v>
      </c>
      <c r="H296" s="105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45977</v>
      </c>
      <c r="I296" s="95" t="s">
        <v>453</v>
      </c>
    </row>
    <row r="297" spans="1:9" x14ac:dyDescent="0.3">
      <c r="A297" s="96" t="s">
        <v>119</v>
      </c>
      <c r="B297" s="6"/>
      <c r="C297" s="1">
        <v>-1</v>
      </c>
      <c r="D297" s="105">
        <v>45996</v>
      </c>
      <c r="E297" s="105">
        <f t="shared" si="13"/>
        <v>45998</v>
      </c>
      <c r="F297" s="105">
        <v>45997</v>
      </c>
      <c r="G297" s="105">
        <f t="shared" si="14"/>
        <v>45998</v>
      </c>
      <c r="H297" s="105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45977</v>
      </c>
      <c r="I297" s="95" t="s">
        <v>453</v>
      </c>
    </row>
    <row r="298" spans="1:9" x14ac:dyDescent="0.3">
      <c r="A298" s="96" t="s">
        <v>119</v>
      </c>
      <c r="B298" s="6"/>
      <c r="C298" s="1">
        <v>-1</v>
      </c>
      <c r="D298" s="105">
        <v>46018</v>
      </c>
      <c r="E298" s="105">
        <f t="shared" si="13"/>
        <v>46028</v>
      </c>
      <c r="F298" s="105">
        <v>46027</v>
      </c>
      <c r="G298" s="105">
        <f t="shared" si="14"/>
        <v>46028</v>
      </c>
      <c r="H298" s="105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45977</v>
      </c>
      <c r="I298" s="95" t="s">
        <v>453</v>
      </c>
    </row>
    <row r="299" spans="1:9" x14ac:dyDescent="0.3">
      <c r="A299" s="96" t="s">
        <v>51</v>
      </c>
      <c r="B299" s="6"/>
      <c r="C299" s="1">
        <v>-1</v>
      </c>
      <c r="D299" s="105">
        <v>46016</v>
      </c>
      <c r="E299" s="105">
        <f t="shared" si="13"/>
        <v>46021</v>
      </c>
      <c r="F299" s="105">
        <v>46020</v>
      </c>
      <c r="G299" s="105">
        <f t="shared" si="14"/>
        <v>46021</v>
      </c>
      <c r="H299" s="105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45977</v>
      </c>
      <c r="I299" s="95" t="s">
        <v>454</v>
      </c>
    </row>
    <row r="300" spans="1:9" x14ac:dyDescent="0.3">
      <c r="A300" s="96" t="s">
        <v>104</v>
      </c>
      <c r="B300" s="6"/>
      <c r="C300" s="1">
        <v>-1</v>
      </c>
      <c r="D300" s="105">
        <v>45987</v>
      </c>
      <c r="E300" s="105">
        <f t="shared" si="13"/>
        <v>45988</v>
      </c>
      <c r="F300" s="105">
        <v>45987</v>
      </c>
      <c r="G300" s="105">
        <f t="shared" si="14"/>
        <v>45988</v>
      </c>
      <c r="H300" s="105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45977</v>
      </c>
      <c r="I300" s="95" t="s">
        <v>455</v>
      </c>
    </row>
    <row r="301" spans="1:9" x14ac:dyDescent="0.3">
      <c r="A301" s="96" t="s">
        <v>132</v>
      </c>
      <c r="B301" s="6"/>
      <c r="C301" s="1">
        <v>-1</v>
      </c>
      <c r="D301" s="105">
        <v>45981</v>
      </c>
      <c r="E301" s="105">
        <f t="shared" si="13"/>
        <v>45983</v>
      </c>
      <c r="F301" s="105">
        <v>45982</v>
      </c>
      <c r="G301" s="105">
        <f t="shared" si="14"/>
        <v>45983</v>
      </c>
      <c r="H301" s="105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45977</v>
      </c>
      <c r="I301" s="95" t="s">
        <v>456</v>
      </c>
    </row>
    <row r="302" spans="1:9" x14ac:dyDescent="0.3">
      <c r="A302" s="96" t="s">
        <v>114</v>
      </c>
      <c r="B302" s="6"/>
      <c r="C302" s="1">
        <v>-1</v>
      </c>
      <c r="D302" s="105">
        <v>45981</v>
      </c>
      <c r="E302" s="105">
        <f t="shared" si="13"/>
        <v>45983</v>
      </c>
      <c r="F302" s="105">
        <v>45982</v>
      </c>
      <c r="G302" s="105">
        <f t="shared" si="14"/>
        <v>45983</v>
      </c>
      <c r="H302" s="105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45977</v>
      </c>
      <c r="I302" s="95" t="s">
        <v>456</v>
      </c>
    </row>
    <row r="303" spans="1:9" x14ac:dyDescent="0.3">
      <c r="A303" s="96" t="s">
        <v>132</v>
      </c>
      <c r="B303" s="6"/>
      <c r="C303" s="1">
        <v>-1</v>
      </c>
      <c r="D303" s="105">
        <v>46016</v>
      </c>
      <c r="E303" s="105">
        <f t="shared" si="13"/>
        <v>46019</v>
      </c>
      <c r="F303" s="105">
        <v>46018</v>
      </c>
      <c r="G303" s="105">
        <f t="shared" si="14"/>
        <v>46019</v>
      </c>
      <c r="H303" s="105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45977</v>
      </c>
      <c r="I303" s="95" t="s">
        <v>457</v>
      </c>
    </row>
    <row r="304" spans="1:9" x14ac:dyDescent="0.3">
      <c r="A304" s="96" t="s">
        <v>273</v>
      </c>
      <c r="B304" s="6"/>
      <c r="C304" s="1">
        <v>-1</v>
      </c>
      <c r="D304" s="105">
        <v>46113</v>
      </c>
      <c r="E304" s="105">
        <f t="shared" si="13"/>
        <v>46120</v>
      </c>
      <c r="F304" s="105">
        <v>46119</v>
      </c>
      <c r="G304" s="105">
        <f t="shared" si="14"/>
        <v>46120</v>
      </c>
      <c r="H304" s="105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45977</v>
      </c>
      <c r="I304" s="95" t="s">
        <v>458</v>
      </c>
    </row>
    <row r="305" spans="1:9" x14ac:dyDescent="0.3">
      <c r="A305" s="96" t="s">
        <v>123</v>
      </c>
      <c r="B305" s="6"/>
      <c r="C305" s="1">
        <v>-1</v>
      </c>
      <c r="D305" s="105">
        <v>46008</v>
      </c>
      <c r="E305" s="105">
        <f t="shared" si="13"/>
        <v>46010</v>
      </c>
      <c r="F305" s="105">
        <v>46009</v>
      </c>
      <c r="G305" s="105">
        <f t="shared" si="14"/>
        <v>46010</v>
      </c>
      <c r="H305" s="105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45977</v>
      </c>
      <c r="I305" s="95" t="s">
        <v>459</v>
      </c>
    </row>
    <row r="306" spans="1:9" x14ac:dyDescent="0.3">
      <c r="A306" s="96" t="s">
        <v>123</v>
      </c>
      <c r="B306" s="6"/>
      <c r="C306" s="1">
        <v>-1</v>
      </c>
      <c r="D306" s="105">
        <v>46014</v>
      </c>
      <c r="E306" s="105">
        <f t="shared" si="13"/>
        <v>46015</v>
      </c>
      <c r="F306" s="105">
        <v>46014</v>
      </c>
      <c r="G306" s="105">
        <f t="shared" si="14"/>
        <v>46015</v>
      </c>
      <c r="H306" s="105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45977</v>
      </c>
      <c r="I306" s="95" t="s">
        <v>459</v>
      </c>
    </row>
    <row r="307" spans="1:9" x14ac:dyDescent="0.3">
      <c r="A307" s="96" t="s">
        <v>123</v>
      </c>
      <c r="B307" s="6"/>
      <c r="C307" s="1">
        <v>-1</v>
      </c>
      <c r="D307" s="105">
        <v>46028</v>
      </c>
      <c r="E307" s="105">
        <f t="shared" si="13"/>
        <v>46031</v>
      </c>
      <c r="F307" s="105">
        <v>46030</v>
      </c>
      <c r="G307" s="105">
        <f t="shared" si="14"/>
        <v>46031</v>
      </c>
      <c r="H307" s="105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45977</v>
      </c>
      <c r="I307" s="95" t="s">
        <v>459</v>
      </c>
    </row>
    <row r="308" spans="1:9" x14ac:dyDescent="0.3">
      <c r="A308" s="96" t="s">
        <v>123</v>
      </c>
      <c r="B308" s="6"/>
      <c r="C308" s="1">
        <v>-1</v>
      </c>
      <c r="D308" s="105">
        <v>46000</v>
      </c>
      <c r="E308" s="105"/>
      <c r="F308" s="105">
        <v>46000</v>
      </c>
      <c r="G308" s="105">
        <f t="shared" si="14"/>
        <v>46001</v>
      </c>
      <c r="H308" s="105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45977</v>
      </c>
      <c r="I308" s="95" t="s">
        <v>459</v>
      </c>
    </row>
    <row r="309" spans="1:9" x14ac:dyDescent="0.3">
      <c r="A309" s="96" t="s">
        <v>123</v>
      </c>
      <c r="B309" s="6"/>
      <c r="C309" s="1">
        <v>-1</v>
      </c>
      <c r="D309" s="105">
        <v>45988</v>
      </c>
      <c r="E309" s="105">
        <f t="shared" ref="E309:E340" si="15">G309</f>
        <v>45993</v>
      </c>
      <c r="F309" s="105">
        <v>45992</v>
      </c>
      <c r="G309" s="105">
        <f t="shared" si="14"/>
        <v>45993</v>
      </c>
      <c r="H309" s="105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45977</v>
      </c>
      <c r="I309" s="95" t="s">
        <v>459</v>
      </c>
    </row>
    <row r="310" spans="1:9" x14ac:dyDescent="0.3">
      <c r="A310" s="96" t="s">
        <v>123</v>
      </c>
      <c r="B310" s="6"/>
      <c r="C310" s="1">
        <v>-1</v>
      </c>
      <c r="D310" s="105">
        <v>45997</v>
      </c>
      <c r="E310" s="105">
        <f t="shared" si="15"/>
        <v>46001</v>
      </c>
      <c r="F310" s="105">
        <v>46000</v>
      </c>
      <c r="G310" s="105">
        <f t="shared" si="14"/>
        <v>46001</v>
      </c>
      <c r="H310" s="105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45977</v>
      </c>
      <c r="I310" s="95" t="s">
        <v>459</v>
      </c>
    </row>
    <row r="311" spans="1:9" x14ac:dyDescent="0.3">
      <c r="A311" s="96" t="s">
        <v>123</v>
      </c>
      <c r="B311" s="6"/>
      <c r="C311" s="1">
        <v>-1</v>
      </c>
      <c r="D311" s="105">
        <v>46005</v>
      </c>
      <c r="E311" s="105">
        <f t="shared" si="15"/>
        <v>46007</v>
      </c>
      <c r="F311" s="105">
        <v>46006</v>
      </c>
      <c r="G311" s="105">
        <f t="shared" si="14"/>
        <v>46007</v>
      </c>
      <c r="H311" s="105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45977</v>
      </c>
      <c r="I311" s="95" t="s">
        <v>459</v>
      </c>
    </row>
    <row r="312" spans="1:9" x14ac:dyDescent="0.3">
      <c r="A312" s="96" t="s">
        <v>123</v>
      </c>
      <c r="B312" s="6"/>
      <c r="C312" s="1">
        <v>-1</v>
      </c>
      <c r="D312" s="105">
        <v>46028</v>
      </c>
      <c r="E312" s="105">
        <f t="shared" si="15"/>
        <v>46029</v>
      </c>
      <c r="F312" s="105">
        <v>46028</v>
      </c>
      <c r="G312" s="105">
        <f t="shared" si="14"/>
        <v>46029</v>
      </c>
      <c r="H312" s="105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45977</v>
      </c>
      <c r="I312" s="95" t="s">
        <v>459</v>
      </c>
    </row>
    <row r="313" spans="1:9" x14ac:dyDescent="0.3">
      <c r="A313" s="96" t="s">
        <v>123</v>
      </c>
      <c r="B313" s="6"/>
      <c r="C313" s="1">
        <v>-1</v>
      </c>
      <c r="D313" s="105">
        <v>46020</v>
      </c>
      <c r="E313" s="105">
        <f t="shared" si="15"/>
        <v>46021</v>
      </c>
      <c r="F313" s="105">
        <v>46020</v>
      </c>
      <c r="G313" s="105">
        <f t="shared" si="14"/>
        <v>46021</v>
      </c>
      <c r="H313" s="105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45977</v>
      </c>
      <c r="I313" s="95" t="s">
        <v>459</v>
      </c>
    </row>
    <row r="314" spans="1:9" x14ac:dyDescent="0.3">
      <c r="A314" s="96" t="s">
        <v>132</v>
      </c>
      <c r="B314" s="6"/>
      <c r="C314" s="1">
        <v>-1</v>
      </c>
      <c r="D314" s="105">
        <v>45983</v>
      </c>
      <c r="E314" s="105">
        <f t="shared" si="15"/>
        <v>45984</v>
      </c>
      <c r="F314" s="105">
        <v>45983</v>
      </c>
      <c r="G314" s="105">
        <f t="shared" si="14"/>
        <v>45984</v>
      </c>
      <c r="H314" s="105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45978</v>
      </c>
      <c r="I314" s="95" t="s">
        <v>460</v>
      </c>
    </row>
    <row r="315" spans="1:9" x14ac:dyDescent="0.3">
      <c r="A315" s="96" t="s">
        <v>114</v>
      </c>
      <c r="B315" s="6"/>
      <c r="C315" s="1">
        <v>-1</v>
      </c>
      <c r="D315" s="105">
        <v>45983</v>
      </c>
      <c r="E315" s="105">
        <f t="shared" si="15"/>
        <v>45984</v>
      </c>
      <c r="F315" s="105">
        <v>45983</v>
      </c>
      <c r="G315" s="105">
        <f t="shared" si="14"/>
        <v>45984</v>
      </c>
      <c r="H315" s="105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45978</v>
      </c>
      <c r="I315" s="95" t="s">
        <v>460</v>
      </c>
    </row>
    <row r="316" spans="1:9" x14ac:dyDescent="0.3">
      <c r="A316" s="96" t="s">
        <v>57</v>
      </c>
      <c r="B316" s="6"/>
      <c r="C316" s="1">
        <v>-1</v>
      </c>
      <c r="D316" s="105">
        <v>45992</v>
      </c>
      <c r="E316" s="105">
        <f t="shared" si="15"/>
        <v>45996</v>
      </c>
      <c r="F316" s="105">
        <v>45995</v>
      </c>
      <c r="G316" s="105">
        <f t="shared" si="14"/>
        <v>45996</v>
      </c>
      <c r="H316" s="105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45978</v>
      </c>
      <c r="I316" s="95" t="s">
        <v>461</v>
      </c>
    </row>
    <row r="317" spans="1:9" x14ac:dyDescent="0.3">
      <c r="A317" s="96" t="s">
        <v>57</v>
      </c>
      <c r="B317" s="6"/>
      <c r="C317" s="1">
        <v>-1</v>
      </c>
      <c r="D317" s="105">
        <v>46019</v>
      </c>
      <c r="E317" s="105">
        <f t="shared" si="15"/>
        <v>46026</v>
      </c>
      <c r="F317" s="105">
        <v>46025</v>
      </c>
      <c r="G317" s="105">
        <f t="shared" si="14"/>
        <v>46026</v>
      </c>
      <c r="H317" s="105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45978</v>
      </c>
      <c r="I317" s="95" t="s">
        <v>461</v>
      </c>
    </row>
    <row r="318" spans="1:9" x14ac:dyDescent="0.3">
      <c r="A318" s="96" t="s">
        <v>57</v>
      </c>
      <c r="B318" s="6"/>
      <c r="C318" s="1">
        <v>-1</v>
      </c>
      <c r="D318" s="105">
        <v>46108</v>
      </c>
      <c r="E318" s="105">
        <f t="shared" si="15"/>
        <v>46115</v>
      </c>
      <c r="F318" s="105">
        <v>46114</v>
      </c>
      <c r="G318" s="105">
        <f t="shared" si="14"/>
        <v>46115</v>
      </c>
      <c r="H318" s="105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45978</v>
      </c>
      <c r="I318" s="95" t="s">
        <v>461</v>
      </c>
    </row>
    <row r="319" spans="1:9" x14ac:dyDescent="0.3">
      <c r="A319" s="96" t="s">
        <v>57</v>
      </c>
      <c r="B319" s="6"/>
      <c r="C319" s="1">
        <v>-1</v>
      </c>
      <c r="D319" s="105">
        <v>45991</v>
      </c>
      <c r="E319" s="105">
        <f t="shared" si="15"/>
        <v>45996</v>
      </c>
      <c r="F319" s="105">
        <v>45995</v>
      </c>
      <c r="G319" s="105">
        <f t="shared" si="14"/>
        <v>45996</v>
      </c>
      <c r="H319" s="105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45978</v>
      </c>
      <c r="I319" s="95" t="s">
        <v>461</v>
      </c>
    </row>
    <row r="320" spans="1:9" x14ac:dyDescent="0.3">
      <c r="A320" s="96" t="s">
        <v>57</v>
      </c>
      <c r="B320" s="6"/>
      <c r="C320" s="1">
        <v>-1</v>
      </c>
      <c r="D320" s="105">
        <v>46019</v>
      </c>
      <c r="E320" s="105">
        <f t="shared" si="15"/>
        <v>46026</v>
      </c>
      <c r="F320" s="105">
        <v>46025</v>
      </c>
      <c r="G320" s="105">
        <f t="shared" si="14"/>
        <v>46026</v>
      </c>
      <c r="H320" s="105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45978</v>
      </c>
      <c r="I320" s="95" t="s">
        <v>461</v>
      </c>
    </row>
    <row r="321" spans="1:9" x14ac:dyDescent="0.3">
      <c r="A321" s="96" t="s">
        <v>57</v>
      </c>
      <c r="B321" s="6"/>
      <c r="C321" s="1">
        <v>-1</v>
      </c>
      <c r="D321" s="105">
        <v>45988</v>
      </c>
      <c r="E321" s="105">
        <f t="shared" si="15"/>
        <v>45995</v>
      </c>
      <c r="F321" s="105">
        <v>45994</v>
      </c>
      <c r="G321" s="105">
        <f t="shared" si="14"/>
        <v>45995</v>
      </c>
      <c r="H321" s="105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45978</v>
      </c>
      <c r="I321" s="95" t="s">
        <v>461</v>
      </c>
    </row>
    <row r="322" spans="1:9" x14ac:dyDescent="0.3">
      <c r="A322" s="96" t="s">
        <v>57</v>
      </c>
      <c r="B322" s="6"/>
      <c r="C322" s="1">
        <v>-1</v>
      </c>
      <c r="D322" s="105">
        <v>45992</v>
      </c>
      <c r="E322" s="105">
        <f t="shared" si="15"/>
        <v>45994</v>
      </c>
      <c r="F322" s="105">
        <v>45993</v>
      </c>
      <c r="G322" s="105">
        <f t="shared" si="14"/>
        <v>45994</v>
      </c>
      <c r="H322" s="105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45978</v>
      </c>
      <c r="I322" s="95" t="s">
        <v>461</v>
      </c>
    </row>
    <row r="323" spans="1:9" x14ac:dyDescent="0.3">
      <c r="A323" s="96" t="s">
        <v>57</v>
      </c>
      <c r="B323" s="6"/>
      <c r="C323" s="1">
        <v>-1</v>
      </c>
      <c r="D323" s="105">
        <v>45992</v>
      </c>
      <c r="E323" s="105">
        <f t="shared" si="15"/>
        <v>45994</v>
      </c>
      <c r="F323" s="105">
        <v>45993</v>
      </c>
      <c r="G323" s="105">
        <f t="shared" si="14"/>
        <v>45994</v>
      </c>
      <c r="H323" s="105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45978</v>
      </c>
      <c r="I323" s="95" t="s">
        <v>461</v>
      </c>
    </row>
    <row r="324" spans="1:9" x14ac:dyDescent="0.3">
      <c r="A324" s="96" t="s">
        <v>57</v>
      </c>
      <c r="B324" s="6"/>
      <c r="C324" s="1">
        <v>-1</v>
      </c>
      <c r="D324" s="105">
        <v>45997</v>
      </c>
      <c r="E324" s="105">
        <f t="shared" si="15"/>
        <v>46004</v>
      </c>
      <c r="F324" s="105">
        <v>46003</v>
      </c>
      <c r="G324" s="105">
        <f t="shared" si="14"/>
        <v>46004</v>
      </c>
      <c r="H324" s="105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45978</v>
      </c>
      <c r="I324" s="95" t="s">
        <v>461</v>
      </c>
    </row>
    <row r="325" spans="1:9" x14ac:dyDescent="0.3">
      <c r="A325" s="96" t="s">
        <v>57</v>
      </c>
      <c r="B325" s="6"/>
      <c r="C325" s="1">
        <v>-1</v>
      </c>
      <c r="D325" s="105">
        <v>45992</v>
      </c>
      <c r="E325" s="105">
        <f t="shared" si="15"/>
        <v>45994</v>
      </c>
      <c r="F325" s="105">
        <v>45993</v>
      </c>
      <c r="G325" s="105">
        <f t="shared" si="14"/>
        <v>45994</v>
      </c>
      <c r="H325" s="105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45978</v>
      </c>
      <c r="I325" s="95" t="s">
        <v>461</v>
      </c>
    </row>
    <row r="326" spans="1:9" x14ac:dyDescent="0.3">
      <c r="A326" s="96" t="s">
        <v>88</v>
      </c>
      <c r="B326" s="6"/>
      <c r="C326" s="1">
        <v>-1</v>
      </c>
      <c r="D326" s="105">
        <v>46167</v>
      </c>
      <c r="E326" s="105">
        <f t="shared" si="15"/>
        <v>46173</v>
      </c>
      <c r="F326" s="105">
        <v>46172</v>
      </c>
      <c r="G326" s="105">
        <f t="shared" si="14"/>
        <v>46173</v>
      </c>
      <c r="H326" s="105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45978</v>
      </c>
      <c r="I326" s="95" t="s">
        <v>462</v>
      </c>
    </row>
    <row r="327" spans="1:9" x14ac:dyDescent="0.3">
      <c r="A327" s="96" t="s">
        <v>134</v>
      </c>
      <c r="B327" s="6"/>
      <c r="C327" s="1">
        <v>-1</v>
      </c>
      <c r="D327" s="105">
        <v>45988</v>
      </c>
      <c r="E327" s="105">
        <f t="shared" si="15"/>
        <v>45991</v>
      </c>
      <c r="F327" s="105">
        <v>45990</v>
      </c>
      <c r="G327" s="105">
        <f t="shared" si="14"/>
        <v>45991</v>
      </c>
      <c r="H327" s="105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45978</v>
      </c>
      <c r="I327" s="95" t="s">
        <v>463</v>
      </c>
    </row>
    <row r="328" spans="1:9" x14ac:dyDescent="0.3">
      <c r="A328" s="96" t="s">
        <v>307</v>
      </c>
      <c r="B328" s="6"/>
      <c r="C328" s="1">
        <v>-1</v>
      </c>
      <c r="D328" s="105">
        <v>45998</v>
      </c>
      <c r="E328" s="105">
        <f t="shared" si="15"/>
        <v>46001</v>
      </c>
      <c r="F328" s="105">
        <v>46000</v>
      </c>
      <c r="G328" s="105">
        <f t="shared" si="14"/>
        <v>46001</v>
      </c>
      <c r="H328" s="105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45978</v>
      </c>
      <c r="I328" s="95" t="s">
        <v>463</v>
      </c>
    </row>
    <row r="329" spans="1:9" x14ac:dyDescent="0.3">
      <c r="A329" s="96" t="s">
        <v>307</v>
      </c>
      <c r="B329" s="6"/>
      <c r="C329" s="1">
        <v>-1</v>
      </c>
      <c r="D329" s="105">
        <v>45980</v>
      </c>
      <c r="E329" s="105">
        <f t="shared" si="15"/>
        <v>46030</v>
      </c>
      <c r="F329" s="105">
        <v>46029</v>
      </c>
      <c r="G329" s="105">
        <f t="shared" si="14"/>
        <v>46030</v>
      </c>
      <c r="H329" s="105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45978</v>
      </c>
      <c r="I329" s="95" t="s">
        <v>464</v>
      </c>
    </row>
    <row r="330" spans="1:9" x14ac:dyDescent="0.3">
      <c r="A330" s="96" t="s">
        <v>307</v>
      </c>
      <c r="B330" s="6"/>
      <c r="C330" s="1">
        <v>-1</v>
      </c>
      <c r="D330" s="105">
        <v>45980</v>
      </c>
      <c r="E330" s="105">
        <f t="shared" si="15"/>
        <v>46033</v>
      </c>
      <c r="F330" s="105">
        <v>46032</v>
      </c>
      <c r="G330" s="105">
        <f t="shared" si="14"/>
        <v>46033</v>
      </c>
      <c r="H330" s="105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45978</v>
      </c>
      <c r="I330" s="95" t="s">
        <v>464</v>
      </c>
    </row>
    <row r="331" spans="1:9" x14ac:dyDescent="0.3">
      <c r="A331" s="96" t="s">
        <v>307</v>
      </c>
      <c r="B331" s="6"/>
      <c r="C331" s="1">
        <v>-1</v>
      </c>
      <c r="D331" s="105">
        <v>45980</v>
      </c>
      <c r="E331" s="105">
        <f t="shared" si="15"/>
        <v>46004</v>
      </c>
      <c r="F331" s="105">
        <v>46003</v>
      </c>
      <c r="G331" s="105">
        <f t="shared" si="14"/>
        <v>46004</v>
      </c>
      <c r="H331" s="105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45978</v>
      </c>
      <c r="I331" s="95" t="s">
        <v>464</v>
      </c>
    </row>
    <row r="332" spans="1:9" x14ac:dyDescent="0.3">
      <c r="A332" s="96" t="s">
        <v>307</v>
      </c>
      <c r="B332" s="6"/>
      <c r="C332" s="1">
        <v>-1</v>
      </c>
      <c r="D332" s="105">
        <v>46015</v>
      </c>
      <c r="E332" s="105">
        <f t="shared" si="15"/>
        <v>46033</v>
      </c>
      <c r="F332" s="105">
        <v>46032</v>
      </c>
      <c r="G332" s="105">
        <f t="shared" si="14"/>
        <v>46033</v>
      </c>
      <c r="H332" s="105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45978</v>
      </c>
      <c r="I332" s="95" t="s">
        <v>464</v>
      </c>
    </row>
    <row r="333" spans="1:9" x14ac:dyDescent="0.3">
      <c r="A333" s="96" t="s">
        <v>85</v>
      </c>
      <c r="B333" s="6"/>
      <c r="C333" s="1">
        <v>-1</v>
      </c>
      <c r="D333" s="105">
        <v>46024</v>
      </c>
      <c r="E333" s="105">
        <f t="shared" si="15"/>
        <v>46026</v>
      </c>
      <c r="F333" s="105">
        <v>46025</v>
      </c>
      <c r="G333" s="105">
        <f t="shared" si="14"/>
        <v>46026</v>
      </c>
      <c r="H333" s="105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45979</v>
      </c>
      <c r="I333" s="95" t="s">
        <v>465</v>
      </c>
    </row>
    <row r="334" spans="1:9" x14ac:dyDescent="0.3">
      <c r="A334" s="96" t="s">
        <v>85</v>
      </c>
      <c r="B334" s="6"/>
      <c r="C334" s="1">
        <v>-1</v>
      </c>
      <c r="D334" s="105">
        <v>46024</v>
      </c>
      <c r="E334" s="105">
        <f t="shared" si="15"/>
        <v>46032</v>
      </c>
      <c r="F334" s="105">
        <v>46031</v>
      </c>
      <c r="G334" s="105">
        <f t="shared" si="14"/>
        <v>46032</v>
      </c>
      <c r="H334" s="105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45979</v>
      </c>
      <c r="I334" s="95" t="s">
        <v>465</v>
      </c>
    </row>
    <row r="335" spans="1:9" x14ac:dyDescent="0.3">
      <c r="A335" s="96" t="s">
        <v>85</v>
      </c>
      <c r="B335" s="6"/>
      <c r="C335" s="1">
        <v>-1</v>
      </c>
      <c r="D335" s="105">
        <v>46024</v>
      </c>
      <c r="E335" s="105">
        <f t="shared" si="15"/>
        <v>46025</v>
      </c>
      <c r="F335" s="105">
        <v>46024</v>
      </c>
      <c r="G335" s="105">
        <f t="shared" si="14"/>
        <v>46025</v>
      </c>
      <c r="H335" s="105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45979</v>
      </c>
      <c r="I335" s="95" t="s">
        <v>465</v>
      </c>
    </row>
    <row r="336" spans="1:9" x14ac:dyDescent="0.3">
      <c r="A336" s="96" t="s">
        <v>85</v>
      </c>
      <c r="B336" s="6"/>
      <c r="C336" s="1">
        <v>-1</v>
      </c>
      <c r="D336" s="105">
        <v>46029</v>
      </c>
      <c r="E336" s="105">
        <f t="shared" si="15"/>
        <v>46032</v>
      </c>
      <c r="F336" s="105">
        <v>46031</v>
      </c>
      <c r="G336" s="105">
        <f t="shared" si="14"/>
        <v>46032</v>
      </c>
      <c r="H336" s="105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45979</v>
      </c>
      <c r="I336" s="95" t="s">
        <v>465</v>
      </c>
    </row>
    <row r="337" spans="1:9" x14ac:dyDescent="0.3">
      <c r="A337" s="96" t="s">
        <v>85</v>
      </c>
      <c r="B337" s="6"/>
      <c r="C337" s="1">
        <v>-1</v>
      </c>
      <c r="D337" s="105">
        <v>46024</v>
      </c>
      <c r="E337" s="105">
        <f t="shared" si="15"/>
        <v>46025</v>
      </c>
      <c r="F337" s="105">
        <v>46024</v>
      </c>
      <c r="G337" s="105">
        <f t="shared" si="14"/>
        <v>46025</v>
      </c>
      <c r="H337" s="105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45979</v>
      </c>
      <c r="I337" s="95" t="s">
        <v>465</v>
      </c>
    </row>
    <row r="338" spans="1:9" x14ac:dyDescent="0.3">
      <c r="A338" s="96" t="s">
        <v>132</v>
      </c>
      <c r="B338" s="6"/>
      <c r="C338" s="1">
        <v>-1</v>
      </c>
      <c r="D338" s="105">
        <v>46021</v>
      </c>
      <c r="E338" s="105">
        <f t="shared" si="15"/>
        <v>46022</v>
      </c>
      <c r="F338" s="105">
        <v>46021</v>
      </c>
      <c r="G338" s="105">
        <f t="shared" si="14"/>
        <v>46022</v>
      </c>
      <c r="H338" s="105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45979</v>
      </c>
      <c r="I338" s="95" t="s">
        <v>466</v>
      </c>
    </row>
    <row r="339" spans="1:9" x14ac:dyDescent="0.3">
      <c r="A339" s="96" t="s">
        <v>62</v>
      </c>
      <c r="B339" s="6"/>
      <c r="C339" s="1">
        <v>-1</v>
      </c>
      <c r="D339" s="105">
        <v>46004</v>
      </c>
      <c r="E339" s="105">
        <f t="shared" si="15"/>
        <v>46005</v>
      </c>
      <c r="F339" s="105">
        <v>46004</v>
      </c>
      <c r="G339" s="105">
        <f t="shared" si="14"/>
        <v>46005</v>
      </c>
      <c r="H339" s="105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45979</v>
      </c>
      <c r="I339" s="95" t="s">
        <v>467</v>
      </c>
    </row>
    <row r="340" spans="1:9" x14ac:dyDescent="0.3">
      <c r="A340" s="96" t="s">
        <v>62</v>
      </c>
      <c r="B340" s="6"/>
      <c r="C340" s="1">
        <v>-1</v>
      </c>
      <c r="D340" s="105">
        <v>46006</v>
      </c>
      <c r="E340" s="105">
        <f t="shared" si="15"/>
        <v>46007</v>
      </c>
      <c r="F340" s="105">
        <v>46006</v>
      </c>
      <c r="G340" s="105">
        <f t="shared" si="14"/>
        <v>46007</v>
      </c>
      <c r="H340" s="105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45979</v>
      </c>
      <c r="I340" s="95" t="s">
        <v>467</v>
      </c>
    </row>
    <row r="341" spans="1:9" x14ac:dyDescent="0.3">
      <c r="A341" s="96" t="s">
        <v>301</v>
      </c>
      <c r="B341" s="6"/>
      <c r="C341" s="1">
        <v>-1</v>
      </c>
      <c r="D341" s="105">
        <v>46019</v>
      </c>
      <c r="E341" s="105">
        <f t="shared" ref="E341:E377" si="16">G341</f>
        <v>46023</v>
      </c>
      <c r="F341" s="105">
        <v>46022</v>
      </c>
      <c r="G341" s="105">
        <f t="shared" si="14"/>
        <v>46023</v>
      </c>
      <c r="H341" s="105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45979</v>
      </c>
      <c r="I341" s="95" t="s">
        <v>468</v>
      </c>
    </row>
    <row r="342" spans="1:9" x14ac:dyDescent="0.3">
      <c r="A342" s="96" t="s">
        <v>120</v>
      </c>
      <c r="B342" s="6"/>
      <c r="C342" s="1">
        <v>-1</v>
      </c>
      <c r="D342" s="105">
        <v>46013</v>
      </c>
      <c r="E342" s="105">
        <f t="shared" si="16"/>
        <v>46019</v>
      </c>
      <c r="F342" s="105">
        <v>46018</v>
      </c>
      <c r="G342" s="105">
        <f t="shared" si="14"/>
        <v>46019</v>
      </c>
      <c r="H342" s="105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45979</v>
      </c>
      <c r="I342" s="95" t="s">
        <v>469</v>
      </c>
    </row>
    <row r="343" spans="1:9" x14ac:dyDescent="0.3">
      <c r="A343" s="96" t="s">
        <v>134</v>
      </c>
      <c r="B343" s="6"/>
      <c r="C343" s="1">
        <v>-1</v>
      </c>
      <c r="D343" s="105">
        <v>45993</v>
      </c>
      <c r="E343" s="105">
        <f t="shared" si="16"/>
        <v>45994</v>
      </c>
      <c r="F343" s="105">
        <v>45993</v>
      </c>
      <c r="G343" s="105">
        <f t="shared" si="14"/>
        <v>45994</v>
      </c>
      <c r="H343" s="105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45979</v>
      </c>
      <c r="I343" s="95" t="s">
        <v>470</v>
      </c>
    </row>
    <row r="344" spans="1:9" x14ac:dyDescent="0.3">
      <c r="A344" s="96" t="s">
        <v>134</v>
      </c>
      <c r="B344" s="6"/>
      <c r="C344" s="1">
        <v>-1</v>
      </c>
      <c r="D344" s="105">
        <v>46003</v>
      </c>
      <c r="E344" s="105">
        <f t="shared" si="16"/>
        <v>46006</v>
      </c>
      <c r="F344" s="105">
        <v>46005</v>
      </c>
      <c r="G344" s="105">
        <f t="shared" si="14"/>
        <v>46006</v>
      </c>
      <c r="H344" s="105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45979</v>
      </c>
      <c r="I344" s="95" t="s">
        <v>470</v>
      </c>
    </row>
    <row r="345" spans="1:9" x14ac:dyDescent="0.3">
      <c r="A345" s="96" t="s">
        <v>134</v>
      </c>
      <c r="B345" s="6"/>
      <c r="C345" s="1">
        <v>-1</v>
      </c>
      <c r="D345" s="105">
        <v>46010</v>
      </c>
      <c r="E345" s="105">
        <f t="shared" si="16"/>
        <v>46012</v>
      </c>
      <c r="F345" s="105">
        <v>46011</v>
      </c>
      <c r="G345" s="105">
        <f t="shared" si="14"/>
        <v>46012</v>
      </c>
      <c r="H345" s="105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45979</v>
      </c>
      <c r="I345" s="95" t="s">
        <v>470</v>
      </c>
    </row>
    <row r="346" spans="1:9" x14ac:dyDescent="0.3">
      <c r="A346" s="96" t="s">
        <v>134</v>
      </c>
      <c r="B346" s="6"/>
      <c r="C346" s="1">
        <v>-1</v>
      </c>
      <c r="D346" s="105">
        <v>46021</v>
      </c>
      <c r="E346" s="105">
        <f t="shared" si="16"/>
        <v>46026</v>
      </c>
      <c r="F346" s="105">
        <v>46025</v>
      </c>
      <c r="G346" s="105">
        <f t="shared" si="14"/>
        <v>46026</v>
      </c>
      <c r="H346" s="105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45979</v>
      </c>
      <c r="I346" s="95" t="s">
        <v>470</v>
      </c>
    </row>
    <row r="347" spans="1:9" x14ac:dyDescent="0.3">
      <c r="A347" s="96" t="s">
        <v>85</v>
      </c>
      <c r="B347" s="6"/>
      <c r="C347" s="1">
        <v>-1</v>
      </c>
      <c r="D347" s="105">
        <v>46113</v>
      </c>
      <c r="E347" s="105">
        <f t="shared" si="16"/>
        <v>46478</v>
      </c>
      <c r="F347" s="105">
        <v>46477</v>
      </c>
      <c r="G347" s="105">
        <f t="shared" si="14"/>
        <v>46478</v>
      </c>
      <c r="H347" s="105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45979</v>
      </c>
      <c r="I347" s="95" t="s">
        <v>465</v>
      </c>
    </row>
    <row r="348" spans="1:9" x14ac:dyDescent="0.3">
      <c r="A348" s="96" t="s">
        <v>301</v>
      </c>
      <c r="B348" s="6"/>
      <c r="C348" s="1">
        <v>-1</v>
      </c>
      <c r="D348" s="105">
        <v>45981</v>
      </c>
      <c r="E348" s="105">
        <f t="shared" si="16"/>
        <v>45982</v>
      </c>
      <c r="F348" s="105">
        <v>45981</v>
      </c>
      <c r="G348" s="105">
        <f t="shared" si="14"/>
        <v>45982</v>
      </c>
      <c r="H348" s="105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45979</v>
      </c>
      <c r="I348" s="95" t="s">
        <v>471</v>
      </c>
    </row>
    <row r="349" spans="1:9" x14ac:dyDescent="0.3">
      <c r="A349" s="1" t="s">
        <v>123</v>
      </c>
      <c r="B349" s="6"/>
      <c r="C349" s="1">
        <v>-1</v>
      </c>
      <c r="D349" s="105">
        <v>46028</v>
      </c>
      <c r="E349" s="105">
        <f t="shared" si="16"/>
        <v>46034</v>
      </c>
      <c r="F349" s="105">
        <v>46033</v>
      </c>
      <c r="G349" s="105">
        <f t="shared" si="14"/>
        <v>46034</v>
      </c>
      <c r="H349" s="105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45979</v>
      </c>
      <c r="I349" s="95" t="s">
        <v>472</v>
      </c>
    </row>
    <row r="350" spans="1:9" x14ac:dyDescent="0.3">
      <c r="A350" s="1" t="s">
        <v>123</v>
      </c>
      <c r="B350" s="6"/>
      <c r="C350" s="1">
        <v>-1</v>
      </c>
      <c r="D350" s="105">
        <v>46032</v>
      </c>
      <c r="E350" s="105">
        <f t="shared" si="16"/>
        <v>46037</v>
      </c>
      <c r="F350" s="105">
        <v>46036</v>
      </c>
      <c r="G350" s="105">
        <f t="shared" si="14"/>
        <v>46037</v>
      </c>
      <c r="H350" s="105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45979</v>
      </c>
      <c r="I350" s="95" t="s">
        <v>472</v>
      </c>
    </row>
    <row r="351" spans="1:9" x14ac:dyDescent="0.3">
      <c r="A351" s="1" t="s">
        <v>123</v>
      </c>
      <c r="B351" s="6"/>
      <c r="C351" s="1">
        <v>-1</v>
      </c>
      <c r="D351" s="105">
        <v>46007</v>
      </c>
      <c r="E351" s="105">
        <f t="shared" si="16"/>
        <v>46008</v>
      </c>
      <c r="F351" s="105">
        <v>46007</v>
      </c>
      <c r="G351" s="105">
        <f t="shared" si="14"/>
        <v>46008</v>
      </c>
      <c r="H351" s="105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45979</v>
      </c>
      <c r="I351" s="95" t="s">
        <v>472</v>
      </c>
    </row>
    <row r="352" spans="1:9" x14ac:dyDescent="0.3">
      <c r="A352" s="1" t="s">
        <v>123</v>
      </c>
      <c r="B352" s="6"/>
      <c r="C352" s="1">
        <v>-1</v>
      </c>
      <c r="D352" s="105">
        <v>46022</v>
      </c>
      <c r="E352" s="105">
        <f t="shared" si="16"/>
        <v>46025</v>
      </c>
      <c r="F352" s="105">
        <v>46024</v>
      </c>
      <c r="G352" s="105">
        <f t="shared" si="14"/>
        <v>46025</v>
      </c>
      <c r="H352" s="105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45979</v>
      </c>
      <c r="I352" s="95" t="s">
        <v>472</v>
      </c>
    </row>
    <row r="353" spans="1:9" x14ac:dyDescent="0.3">
      <c r="A353" s="1" t="s">
        <v>120</v>
      </c>
      <c r="B353" s="6"/>
      <c r="C353" s="1">
        <v>-1</v>
      </c>
      <c r="D353" s="105">
        <v>45992</v>
      </c>
      <c r="E353" s="105">
        <f t="shared" si="16"/>
        <v>46082</v>
      </c>
      <c r="F353" s="105">
        <v>46081</v>
      </c>
      <c r="G353" s="105">
        <f t="shared" si="14"/>
        <v>46082</v>
      </c>
      <c r="H353" s="105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45979</v>
      </c>
      <c r="I353" s="95" t="s">
        <v>473</v>
      </c>
    </row>
    <row r="354" spans="1:9" x14ac:dyDescent="0.3">
      <c r="A354" s="1" t="s">
        <v>104</v>
      </c>
      <c r="B354" s="6"/>
      <c r="C354" s="1">
        <v>-1</v>
      </c>
      <c r="D354" s="105">
        <v>45989</v>
      </c>
      <c r="E354" s="105">
        <f t="shared" si="16"/>
        <v>45992</v>
      </c>
      <c r="F354" s="105">
        <v>45991</v>
      </c>
      <c r="G354" s="105">
        <f t="shared" si="14"/>
        <v>45992</v>
      </c>
      <c r="H354" s="105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45979</v>
      </c>
      <c r="I354" s="95" t="s">
        <v>474</v>
      </c>
    </row>
    <row r="355" spans="1:9" x14ac:dyDescent="0.3">
      <c r="A355" s="1" t="s">
        <v>104</v>
      </c>
      <c r="B355" s="6"/>
      <c r="C355" s="1">
        <v>-1</v>
      </c>
      <c r="D355" s="105">
        <v>45988</v>
      </c>
      <c r="E355" s="105">
        <f t="shared" si="16"/>
        <v>45990</v>
      </c>
      <c r="F355" s="105">
        <v>45989</v>
      </c>
      <c r="G355" s="105">
        <f t="shared" si="14"/>
        <v>45990</v>
      </c>
      <c r="H355" s="105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45979</v>
      </c>
      <c r="I355" s="95" t="s">
        <v>474</v>
      </c>
    </row>
    <row r="356" spans="1:9" x14ac:dyDescent="0.3">
      <c r="A356" s="1" t="s">
        <v>104</v>
      </c>
      <c r="B356" s="6"/>
      <c r="C356" s="1">
        <v>-1</v>
      </c>
      <c r="D356" s="105">
        <v>46072</v>
      </c>
      <c r="E356" s="105">
        <f t="shared" si="16"/>
        <v>46074</v>
      </c>
      <c r="F356" s="105">
        <v>46073</v>
      </c>
      <c r="G356" s="105">
        <f t="shared" ref="G356:G419" si="17">F356+1</f>
        <v>46074</v>
      </c>
      <c r="H356" s="105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45979</v>
      </c>
      <c r="I356" s="95" t="s">
        <v>474</v>
      </c>
    </row>
    <row r="357" spans="1:9" x14ac:dyDescent="0.3">
      <c r="A357" s="1" t="s">
        <v>104</v>
      </c>
      <c r="B357" s="6"/>
      <c r="C357" s="1">
        <v>-1</v>
      </c>
      <c r="D357" s="105">
        <v>45988</v>
      </c>
      <c r="E357" s="105">
        <f t="shared" si="16"/>
        <v>45990</v>
      </c>
      <c r="F357" s="105">
        <v>45989</v>
      </c>
      <c r="G357" s="105">
        <f t="shared" si="17"/>
        <v>45990</v>
      </c>
      <c r="H357" s="105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45979</v>
      </c>
      <c r="I357" s="95" t="s">
        <v>474</v>
      </c>
    </row>
    <row r="358" spans="1:9" x14ac:dyDescent="0.3">
      <c r="A358" s="1" t="s">
        <v>78</v>
      </c>
      <c r="B358" s="6"/>
      <c r="C358" s="1">
        <v>-1</v>
      </c>
      <c r="D358" s="105">
        <v>45983</v>
      </c>
      <c r="E358" s="105">
        <f t="shared" si="16"/>
        <v>45984</v>
      </c>
      <c r="F358" s="105">
        <v>45983</v>
      </c>
      <c r="G358" s="105">
        <f t="shared" si="17"/>
        <v>45984</v>
      </c>
      <c r="H358" s="105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45980</v>
      </c>
      <c r="I358" s="95" t="s">
        <v>475</v>
      </c>
    </row>
    <row r="359" spans="1:9" x14ac:dyDescent="0.3">
      <c r="A359" s="1" t="s">
        <v>134</v>
      </c>
      <c r="B359" s="6"/>
      <c r="C359" s="1">
        <v>-1</v>
      </c>
      <c r="D359" s="105">
        <v>45998</v>
      </c>
      <c r="E359" s="105">
        <f t="shared" si="16"/>
        <v>46001</v>
      </c>
      <c r="F359" s="105">
        <v>46000</v>
      </c>
      <c r="G359" s="105">
        <f t="shared" si="17"/>
        <v>46001</v>
      </c>
      <c r="H359" s="105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45978</v>
      </c>
      <c r="I359" s="95" t="s">
        <v>476</v>
      </c>
    </row>
    <row r="360" spans="1:9" x14ac:dyDescent="0.3">
      <c r="A360" s="1" t="s">
        <v>134</v>
      </c>
      <c r="B360" s="6"/>
      <c r="C360" s="1">
        <v>-1</v>
      </c>
      <c r="D360" s="105">
        <v>45988</v>
      </c>
      <c r="E360" s="105">
        <f t="shared" si="16"/>
        <v>45991</v>
      </c>
      <c r="F360" s="105">
        <v>45990</v>
      </c>
      <c r="G360" s="105">
        <f t="shared" si="17"/>
        <v>45991</v>
      </c>
      <c r="H360" s="105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45978</v>
      </c>
      <c r="I360" s="95" t="s">
        <v>476</v>
      </c>
    </row>
    <row r="361" spans="1:9" x14ac:dyDescent="0.3">
      <c r="A361" s="1" t="s">
        <v>66</v>
      </c>
      <c r="B361" s="6"/>
      <c r="C361" s="1">
        <v>-1</v>
      </c>
      <c r="D361" s="105">
        <v>46019</v>
      </c>
      <c r="E361" s="105">
        <f t="shared" si="16"/>
        <v>46020</v>
      </c>
      <c r="F361" s="105">
        <v>46019</v>
      </c>
      <c r="G361" s="105">
        <f t="shared" si="17"/>
        <v>46020</v>
      </c>
      <c r="H361" s="105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45980</v>
      </c>
      <c r="I361" s="95" t="s">
        <v>477</v>
      </c>
    </row>
    <row r="362" spans="1:9" x14ac:dyDescent="0.3">
      <c r="A362" s="1" t="s">
        <v>67</v>
      </c>
      <c r="B362" s="6"/>
      <c r="C362" s="1">
        <v>-1</v>
      </c>
      <c r="D362" s="105">
        <v>45992</v>
      </c>
      <c r="E362" s="105">
        <f t="shared" si="16"/>
        <v>45993</v>
      </c>
      <c r="F362" s="105">
        <v>45992</v>
      </c>
      <c r="G362" s="105">
        <f t="shared" si="17"/>
        <v>45993</v>
      </c>
      <c r="H362" s="105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45980</v>
      </c>
      <c r="I362" s="95" t="s">
        <v>478</v>
      </c>
    </row>
    <row r="363" spans="1:9" x14ac:dyDescent="0.3">
      <c r="A363" s="1" t="s">
        <v>67</v>
      </c>
      <c r="B363" s="6"/>
      <c r="C363" s="1">
        <v>-1</v>
      </c>
      <c r="D363" s="105">
        <v>46005</v>
      </c>
      <c r="E363" s="105">
        <f t="shared" si="16"/>
        <v>46014</v>
      </c>
      <c r="F363" s="105">
        <v>46013</v>
      </c>
      <c r="G363" s="105">
        <f t="shared" si="17"/>
        <v>46014</v>
      </c>
      <c r="H363" s="105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45980</v>
      </c>
      <c r="I363" s="95" t="s">
        <v>478</v>
      </c>
    </row>
    <row r="364" spans="1:9" x14ac:dyDescent="0.3">
      <c r="A364" s="1" t="s">
        <v>67</v>
      </c>
      <c r="B364" s="6"/>
      <c r="C364" s="1">
        <v>-1</v>
      </c>
      <c r="D364" s="105">
        <v>46024</v>
      </c>
      <c r="E364" s="105">
        <f t="shared" si="16"/>
        <v>46025</v>
      </c>
      <c r="F364" s="105">
        <v>46024</v>
      </c>
      <c r="G364" s="105">
        <f t="shared" si="17"/>
        <v>46025</v>
      </c>
      <c r="H364" s="105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45980</v>
      </c>
      <c r="I364" s="95" t="s">
        <v>478</v>
      </c>
    </row>
    <row r="365" spans="1:9" x14ac:dyDescent="0.3">
      <c r="A365" s="1" t="s">
        <v>67</v>
      </c>
      <c r="B365" s="6"/>
      <c r="C365" s="1">
        <v>-1</v>
      </c>
      <c r="D365" s="105">
        <v>46137</v>
      </c>
      <c r="E365" s="105">
        <f t="shared" si="16"/>
        <v>46138</v>
      </c>
      <c r="F365" s="105">
        <v>46137</v>
      </c>
      <c r="G365" s="105">
        <f t="shared" si="17"/>
        <v>46138</v>
      </c>
      <c r="H365" s="105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45980</v>
      </c>
      <c r="I365" s="95" t="s">
        <v>478</v>
      </c>
    </row>
    <row r="366" spans="1:9" x14ac:dyDescent="0.3">
      <c r="A366" s="1" t="s">
        <v>307</v>
      </c>
      <c r="B366" s="6"/>
      <c r="C366" s="1">
        <v>-1</v>
      </c>
      <c r="D366" s="105">
        <v>45993</v>
      </c>
      <c r="E366" s="105">
        <f t="shared" si="16"/>
        <v>45997</v>
      </c>
      <c r="F366" s="105">
        <v>45996</v>
      </c>
      <c r="G366" s="105">
        <f t="shared" si="17"/>
        <v>45997</v>
      </c>
      <c r="H366" s="105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45980</v>
      </c>
      <c r="I366" s="95" t="s">
        <v>479</v>
      </c>
    </row>
    <row r="367" spans="1:9" x14ac:dyDescent="0.3">
      <c r="A367" s="1" t="s">
        <v>307</v>
      </c>
      <c r="B367" s="6"/>
      <c r="C367" s="1">
        <v>-1</v>
      </c>
      <c r="D367" s="105">
        <v>46018</v>
      </c>
      <c r="E367" s="105">
        <f t="shared" si="16"/>
        <v>46019</v>
      </c>
      <c r="F367" s="105">
        <v>46018</v>
      </c>
      <c r="G367" s="105">
        <f t="shared" si="17"/>
        <v>46019</v>
      </c>
      <c r="H367" s="105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45980</v>
      </c>
      <c r="I367" s="95" t="s">
        <v>479</v>
      </c>
    </row>
    <row r="368" spans="1:9" x14ac:dyDescent="0.3">
      <c r="A368" s="1" t="s">
        <v>307</v>
      </c>
      <c r="B368" s="6"/>
      <c r="C368" s="1">
        <v>-1</v>
      </c>
      <c r="D368" s="105">
        <v>45980</v>
      </c>
      <c r="E368" s="105">
        <f t="shared" si="16"/>
        <v>46030</v>
      </c>
      <c r="F368" s="105">
        <v>46029</v>
      </c>
      <c r="G368" s="105">
        <f t="shared" si="17"/>
        <v>46030</v>
      </c>
      <c r="H368" s="105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45980</v>
      </c>
      <c r="I368" s="95" t="s">
        <v>479</v>
      </c>
    </row>
    <row r="369" spans="1:9" x14ac:dyDescent="0.3">
      <c r="A369" s="1" t="s">
        <v>307</v>
      </c>
      <c r="B369" s="6"/>
      <c r="C369" s="1">
        <v>-1</v>
      </c>
      <c r="D369" s="105">
        <v>45980</v>
      </c>
      <c r="E369" s="105">
        <f t="shared" si="16"/>
        <v>46033</v>
      </c>
      <c r="F369" s="105">
        <v>46032</v>
      </c>
      <c r="G369" s="105">
        <f t="shared" si="17"/>
        <v>46033</v>
      </c>
      <c r="H369" s="105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45980</v>
      </c>
      <c r="I369" s="95" t="s">
        <v>479</v>
      </c>
    </row>
    <row r="370" spans="1:9" x14ac:dyDescent="0.3">
      <c r="A370" s="1" t="s">
        <v>307</v>
      </c>
      <c r="B370" s="6"/>
      <c r="C370" s="1">
        <v>-1</v>
      </c>
      <c r="D370" s="105">
        <v>45980</v>
      </c>
      <c r="E370" s="105">
        <f t="shared" si="16"/>
        <v>46007</v>
      </c>
      <c r="F370" s="105">
        <v>46006</v>
      </c>
      <c r="G370" s="105">
        <f t="shared" si="17"/>
        <v>46007</v>
      </c>
      <c r="H370" s="105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45980</v>
      </c>
      <c r="I370" s="95" t="s">
        <v>479</v>
      </c>
    </row>
    <row r="371" spans="1:9" x14ac:dyDescent="0.3">
      <c r="A371" s="1" t="s">
        <v>307</v>
      </c>
      <c r="B371" s="6"/>
      <c r="C371" s="1">
        <v>-1</v>
      </c>
      <c r="D371" s="105">
        <v>46015</v>
      </c>
      <c r="E371" s="105">
        <f t="shared" si="16"/>
        <v>46018</v>
      </c>
      <c r="F371" s="105">
        <v>46017</v>
      </c>
      <c r="G371" s="105">
        <f t="shared" si="17"/>
        <v>46018</v>
      </c>
      <c r="H371" s="105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45980</v>
      </c>
      <c r="I371" s="95" t="s">
        <v>479</v>
      </c>
    </row>
    <row r="372" spans="1:9" x14ac:dyDescent="0.3">
      <c r="A372" s="1" t="s">
        <v>307</v>
      </c>
      <c r="B372" s="6"/>
      <c r="C372" s="1">
        <v>-1</v>
      </c>
      <c r="D372" s="105">
        <v>46009</v>
      </c>
      <c r="E372" s="105">
        <f t="shared" si="16"/>
        <v>46033</v>
      </c>
      <c r="F372" s="105">
        <v>46032</v>
      </c>
      <c r="G372" s="105">
        <f t="shared" si="17"/>
        <v>46033</v>
      </c>
      <c r="H372" s="105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45980</v>
      </c>
      <c r="I372" s="95" t="s">
        <v>479</v>
      </c>
    </row>
    <row r="373" spans="1:9" x14ac:dyDescent="0.3">
      <c r="A373" s="1" t="s">
        <v>148</v>
      </c>
      <c r="B373" s="6"/>
      <c r="C373" s="1">
        <v>-1</v>
      </c>
      <c r="D373" s="105">
        <v>45994</v>
      </c>
      <c r="E373" s="105">
        <f t="shared" si="16"/>
        <v>45995</v>
      </c>
      <c r="F373" s="105">
        <v>45994</v>
      </c>
      <c r="G373" s="105">
        <f t="shared" si="17"/>
        <v>45995</v>
      </c>
      <c r="H373" s="105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45980</v>
      </c>
      <c r="I373" s="95" t="s">
        <v>480</v>
      </c>
    </row>
    <row r="374" spans="1:9" x14ac:dyDescent="0.3">
      <c r="A374" s="1" t="s">
        <v>126</v>
      </c>
      <c r="B374" s="6"/>
      <c r="C374" s="1">
        <v>-1</v>
      </c>
      <c r="D374" s="105">
        <v>46025</v>
      </c>
      <c r="E374" s="105">
        <f t="shared" si="16"/>
        <v>46026</v>
      </c>
      <c r="F374" s="105">
        <v>46025</v>
      </c>
      <c r="G374" s="105">
        <f t="shared" si="17"/>
        <v>46026</v>
      </c>
      <c r="H374" s="105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45980</v>
      </c>
      <c r="I374" s="95" t="s">
        <v>481</v>
      </c>
    </row>
    <row r="375" spans="1:9" x14ac:dyDescent="0.3">
      <c r="A375" s="1" t="s">
        <v>110</v>
      </c>
      <c r="B375" s="6"/>
      <c r="C375" s="1">
        <v>-1</v>
      </c>
      <c r="D375" s="105">
        <v>46022</v>
      </c>
      <c r="E375" s="105">
        <f t="shared" si="16"/>
        <v>46023</v>
      </c>
      <c r="F375" s="105">
        <v>46022</v>
      </c>
      <c r="G375" s="105">
        <f t="shared" si="17"/>
        <v>46023</v>
      </c>
      <c r="H375" s="105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45980</v>
      </c>
      <c r="I375" s="95" t="s">
        <v>481</v>
      </c>
    </row>
    <row r="376" spans="1:9" x14ac:dyDescent="0.3">
      <c r="A376" s="1" t="s">
        <v>104</v>
      </c>
      <c r="B376" s="6"/>
      <c r="C376" s="1">
        <v>-1</v>
      </c>
      <c r="D376" s="105">
        <v>46023</v>
      </c>
      <c r="E376" s="105">
        <f t="shared" si="16"/>
        <v>46028</v>
      </c>
      <c r="F376" s="105">
        <v>46027</v>
      </c>
      <c r="G376" s="105">
        <f t="shared" si="17"/>
        <v>46028</v>
      </c>
      <c r="H376" s="105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45980</v>
      </c>
      <c r="I376" s="95" t="s">
        <v>482</v>
      </c>
    </row>
    <row r="377" spans="1:9" x14ac:dyDescent="0.3">
      <c r="A377" s="1" t="s">
        <v>104</v>
      </c>
      <c r="B377" s="6"/>
      <c r="C377" s="1">
        <v>-1</v>
      </c>
      <c r="D377" s="105">
        <v>46013</v>
      </c>
      <c r="E377" s="105">
        <f t="shared" si="16"/>
        <v>46016</v>
      </c>
      <c r="F377" s="105">
        <v>46015</v>
      </c>
      <c r="G377" s="105">
        <f t="shared" si="17"/>
        <v>46016</v>
      </c>
      <c r="H377" s="105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45980</v>
      </c>
      <c r="I377" s="95" t="s">
        <v>482</v>
      </c>
    </row>
    <row r="378" spans="1:9" x14ac:dyDescent="0.3">
      <c r="A378" s="1" t="s">
        <v>89</v>
      </c>
      <c r="B378" s="6"/>
      <c r="C378" s="1">
        <v>-1</v>
      </c>
      <c r="D378" s="105">
        <v>45986</v>
      </c>
      <c r="E378" s="105">
        <v>45986</v>
      </c>
      <c r="F378" s="105">
        <v>45986</v>
      </c>
      <c r="G378" s="105">
        <f t="shared" si="17"/>
        <v>45987</v>
      </c>
      <c r="H378" s="105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45980</v>
      </c>
      <c r="I378" s="95" t="s">
        <v>483</v>
      </c>
    </row>
    <row r="379" spans="1:9" x14ac:dyDescent="0.3">
      <c r="A379" s="1" t="s">
        <v>132</v>
      </c>
      <c r="B379" s="6"/>
      <c r="C379" s="1">
        <v>-1</v>
      </c>
      <c r="D379" s="105">
        <v>46015</v>
      </c>
      <c r="E379" s="105">
        <f t="shared" ref="E379:E442" si="18">G379</f>
        <v>46021</v>
      </c>
      <c r="F379" s="105">
        <v>46020</v>
      </c>
      <c r="G379" s="105">
        <f t="shared" si="17"/>
        <v>46021</v>
      </c>
      <c r="H379" s="105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45981</v>
      </c>
      <c r="I379" s="95" t="s">
        <v>484</v>
      </c>
    </row>
    <row r="380" spans="1:9" x14ac:dyDescent="0.3">
      <c r="A380" s="104" t="s">
        <v>114</v>
      </c>
      <c r="B380" s="6"/>
      <c r="C380" s="1">
        <v>-1</v>
      </c>
      <c r="D380" s="105">
        <v>46015</v>
      </c>
      <c r="E380" s="105">
        <f>G380</f>
        <v>46021</v>
      </c>
      <c r="F380" s="105">
        <v>46020</v>
      </c>
      <c r="G380" s="105">
        <f t="shared" si="17"/>
        <v>46021</v>
      </c>
      <c r="H380" s="105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45981</v>
      </c>
      <c r="I380" s="95" t="s">
        <v>484</v>
      </c>
    </row>
    <row r="381" spans="1:9" x14ac:dyDescent="0.3">
      <c r="A381" s="1" t="s">
        <v>104</v>
      </c>
      <c r="B381" s="6"/>
      <c r="C381" s="1">
        <v>-1</v>
      </c>
      <c r="D381" s="105">
        <v>46023</v>
      </c>
      <c r="E381" s="105">
        <f t="shared" si="18"/>
        <v>46028</v>
      </c>
      <c r="F381" s="105">
        <v>46027</v>
      </c>
      <c r="G381" s="105">
        <f t="shared" si="17"/>
        <v>46028</v>
      </c>
      <c r="H381" s="105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45980</v>
      </c>
      <c r="I381" s="95" t="s">
        <v>485</v>
      </c>
    </row>
    <row r="382" spans="1:9" x14ac:dyDescent="0.3">
      <c r="A382" s="1" t="s">
        <v>104</v>
      </c>
      <c r="B382" s="6"/>
      <c r="C382" s="1">
        <v>-1</v>
      </c>
      <c r="D382" s="105">
        <v>46013</v>
      </c>
      <c r="E382" s="105">
        <f t="shared" si="18"/>
        <v>46016</v>
      </c>
      <c r="F382" s="105">
        <v>46015</v>
      </c>
      <c r="G382" s="105">
        <f t="shared" si="17"/>
        <v>46016</v>
      </c>
      <c r="H382" s="105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45980</v>
      </c>
      <c r="I382" s="95" t="s">
        <v>485</v>
      </c>
    </row>
    <row r="383" spans="1:9" x14ac:dyDescent="0.3">
      <c r="A383" s="1" t="s">
        <v>66</v>
      </c>
      <c r="B383" s="6"/>
      <c r="C383" s="1">
        <v>-1</v>
      </c>
      <c r="D383" s="105">
        <v>46019</v>
      </c>
      <c r="E383" s="105">
        <f t="shared" si="18"/>
        <v>46020</v>
      </c>
      <c r="F383" s="105">
        <v>46019</v>
      </c>
      <c r="G383" s="105">
        <f t="shared" si="17"/>
        <v>46020</v>
      </c>
      <c r="H383" s="105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45980</v>
      </c>
      <c r="I383" s="95" t="s">
        <v>486</v>
      </c>
    </row>
    <row r="384" spans="1:9" x14ac:dyDescent="0.3">
      <c r="A384" s="1" t="s">
        <v>123</v>
      </c>
      <c r="B384" s="6"/>
      <c r="C384" s="1">
        <v>-1</v>
      </c>
      <c r="D384" s="105">
        <v>46017</v>
      </c>
      <c r="E384" s="105">
        <f>G384</f>
        <v>46019</v>
      </c>
      <c r="F384" s="105">
        <v>46018</v>
      </c>
      <c r="G384" s="105">
        <f t="shared" si="17"/>
        <v>46019</v>
      </c>
      <c r="H384" s="105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45981</v>
      </c>
      <c r="I384" s="95" t="s">
        <v>487</v>
      </c>
    </row>
    <row r="385" spans="1:9" x14ac:dyDescent="0.3">
      <c r="A385" s="1" t="s">
        <v>78</v>
      </c>
      <c r="B385" s="6"/>
      <c r="C385" s="1">
        <v>-1</v>
      </c>
      <c r="D385" s="105">
        <v>46021</v>
      </c>
      <c r="E385" s="105">
        <f>G385</f>
        <v>46023</v>
      </c>
      <c r="F385" s="105">
        <v>46022</v>
      </c>
      <c r="G385" s="105">
        <f t="shared" si="17"/>
        <v>46023</v>
      </c>
      <c r="H385" s="105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45981</v>
      </c>
      <c r="I385" s="95" t="s">
        <v>488</v>
      </c>
    </row>
    <row r="386" spans="1:9" x14ac:dyDescent="0.3">
      <c r="A386" s="104" t="s">
        <v>321</v>
      </c>
      <c r="B386" s="6"/>
      <c r="C386" s="1">
        <v>-1</v>
      </c>
      <c r="D386" s="105">
        <v>46016</v>
      </c>
      <c r="E386" s="105">
        <f t="shared" si="18"/>
        <v>46021</v>
      </c>
      <c r="F386" s="105">
        <v>46020</v>
      </c>
      <c r="G386" s="2">
        <f t="shared" si="17"/>
        <v>46021</v>
      </c>
      <c r="H386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45981</v>
      </c>
      <c r="I386" s="95" t="s">
        <v>489</v>
      </c>
    </row>
    <row r="387" spans="1:9" x14ac:dyDescent="0.3">
      <c r="A387" s="1" t="s">
        <v>126</v>
      </c>
      <c r="B387" s="6"/>
      <c r="C387" s="1">
        <v>-1</v>
      </c>
      <c r="D387" s="105">
        <v>46019</v>
      </c>
      <c r="E387" s="105">
        <f t="shared" si="18"/>
        <v>46020</v>
      </c>
      <c r="F387" s="105">
        <v>46019</v>
      </c>
      <c r="G387" s="2">
        <f t="shared" si="17"/>
        <v>46020</v>
      </c>
      <c r="H387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45981</v>
      </c>
      <c r="I387" s="95" t="s">
        <v>490</v>
      </c>
    </row>
    <row r="388" spans="1:9" x14ac:dyDescent="0.3">
      <c r="A388" s="1" t="s">
        <v>110</v>
      </c>
      <c r="B388" s="6"/>
      <c r="C388" s="1">
        <v>-1</v>
      </c>
      <c r="D388" s="105">
        <v>46021</v>
      </c>
      <c r="E388" s="105">
        <f t="shared" si="18"/>
        <v>46022</v>
      </c>
      <c r="F388" s="105">
        <v>46021</v>
      </c>
      <c r="G388" s="2">
        <f t="shared" si="17"/>
        <v>46022</v>
      </c>
      <c r="H388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45981</v>
      </c>
      <c r="I388" s="95" t="s">
        <v>490</v>
      </c>
    </row>
    <row r="389" spans="1:9" x14ac:dyDescent="0.3">
      <c r="A389" s="104" t="s">
        <v>118</v>
      </c>
      <c r="B389" s="6"/>
      <c r="C389" s="1">
        <v>-1</v>
      </c>
      <c r="D389" s="105">
        <v>45996</v>
      </c>
      <c r="E389" s="105">
        <f t="shared" si="18"/>
        <v>45998</v>
      </c>
      <c r="F389" s="105">
        <v>45997</v>
      </c>
      <c r="G389" s="2">
        <f t="shared" si="17"/>
        <v>45998</v>
      </c>
      <c r="H389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45981</v>
      </c>
      <c r="I389" s="95" t="s">
        <v>491</v>
      </c>
    </row>
    <row r="390" spans="1:9" x14ac:dyDescent="0.3">
      <c r="A390" s="104" t="s">
        <v>118</v>
      </c>
      <c r="B390" s="6"/>
      <c r="C390" s="1">
        <v>-1</v>
      </c>
      <c r="D390" s="105">
        <v>45998</v>
      </c>
      <c r="E390" s="105">
        <f t="shared" si="18"/>
        <v>46001</v>
      </c>
      <c r="F390" s="105">
        <v>46000</v>
      </c>
      <c r="G390" s="2">
        <f t="shared" si="17"/>
        <v>46001</v>
      </c>
      <c r="H390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45981</v>
      </c>
      <c r="I390" s="95" t="s">
        <v>491</v>
      </c>
    </row>
    <row r="391" spans="1:9" x14ac:dyDescent="0.3">
      <c r="A391" s="104" t="s">
        <v>492</v>
      </c>
      <c r="B391" s="6"/>
      <c r="C391" s="1">
        <v>-1</v>
      </c>
      <c r="D391" s="105">
        <v>46025</v>
      </c>
      <c r="E391" s="105">
        <f t="shared" si="18"/>
        <v>46026</v>
      </c>
      <c r="F391" s="105">
        <v>46025</v>
      </c>
      <c r="G391" s="2">
        <f t="shared" si="17"/>
        <v>46026</v>
      </c>
      <c r="H391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45981</v>
      </c>
      <c r="I391" s="95" t="s">
        <v>489</v>
      </c>
    </row>
    <row r="392" spans="1:9" x14ac:dyDescent="0.3">
      <c r="A392" s="104" t="s">
        <v>492</v>
      </c>
      <c r="B392" s="6"/>
      <c r="C392" s="1">
        <v>-1</v>
      </c>
      <c r="D392" s="105">
        <v>46072</v>
      </c>
      <c r="E392" s="105">
        <f t="shared" si="18"/>
        <v>46074</v>
      </c>
      <c r="F392" s="105">
        <v>46073</v>
      </c>
      <c r="G392" s="2">
        <f t="shared" si="17"/>
        <v>46074</v>
      </c>
      <c r="H392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45981</v>
      </c>
      <c r="I392" s="95" t="s">
        <v>489</v>
      </c>
    </row>
    <row r="393" spans="1:9" x14ac:dyDescent="0.3">
      <c r="A393" s="96" t="s">
        <v>127</v>
      </c>
      <c r="B393" s="6"/>
      <c r="C393" s="1">
        <v>-1</v>
      </c>
      <c r="D393" s="105">
        <v>45995</v>
      </c>
      <c r="E393" s="105">
        <f t="shared" si="18"/>
        <v>45999</v>
      </c>
      <c r="F393" s="105">
        <v>45998</v>
      </c>
      <c r="G393" s="2">
        <f t="shared" si="17"/>
        <v>45999</v>
      </c>
      <c r="H393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45981</v>
      </c>
      <c r="I393" s="95" t="s">
        <v>493</v>
      </c>
    </row>
    <row r="394" spans="1:9" x14ac:dyDescent="0.3">
      <c r="A394" s="96" t="s">
        <v>127</v>
      </c>
      <c r="B394" s="6"/>
      <c r="C394" s="1">
        <v>-1</v>
      </c>
      <c r="D394" s="105">
        <v>46041</v>
      </c>
      <c r="E394" s="105">
        <f t="shared" si="18"/>
        <v>46044</v>
      </c>
      <c r="F394" s="105">
        <v>46043</v>
      </c>
      <c r="G394" s="2">
        <f t="shared" si="17"/>
        <v>46044</v>
      </c>
      <c r="H394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45981</v>
      </c>
      <c r="I394" s="95" t="s">
        <v>493</v>
      </c>
    </row>
    <row r="395" spans="1:9" x14ac:dyDescent="0.3">
      <c r="A395" s="96" t="s">
        <v>127</v>
      </c>
      <c r="B395" s="6"/>
      <c r="C395" s="1">
        <v>-1</v>
      </c>
      <c r="D395" s="105">
        <v>45992</v>
      </c>
      <c r="E395" s="105">
        <f t="shared" si="18"/>
        <v>45996</v>
      </c>
      <c r="F395" s="105">
        <v>45995</v>
      </c>
      <c r="G395" s="2">
        <f t="shared" si="17"/>
        <v>45996</v>
      </c>
      <c r="H395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45981</v>
      </c>
      <c r="I395" s="95" t="s">
        <v>493</v>
      </c>
    </row>
    <row r="396" spans="1:9" x14ac:dyDescent="0.3">
      <c r="A396" s="96" t="s">
        <v>127</v>
      </c>
      <c r="B396" s="6"/>
      <c r="C396" s="1">
        <v>-1</v>
      </c>
      <c r="D396" s="105">
        <v>46000</v>
      </c>
      <c r="E396" s="105">
        <f t="shared" si="18"/>
        <v>46003</v>
      </c>
      <c r="F396" s="105">
        <v>46002</v>
      </c>
      <c r="G396" s="2">
        <f t="shared" si="17"/>
        <v>46003</v>
      </c>
      <c r="H396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45981</v>
      </c>
      <c r="I396" s="95" t="s">
        <v>493</v>
      </c>
    </row>
    <row r="397" spans="1:9" x14ac:dyDescent="0.3">
      <c r="A397" s="96" t="s">
        <v>127</v>
      </c>
      <c r="B397" s="6"/>
      <c r="C397" s="1">
        <v>-1</v>
      </c>
      <c r="D397" s="105">
        <v>46007</v>
      </c>
      <c r="E397" s="105">
        <f t="shared" si="18"/>
        <v>46010</v>
      </c>
      <c r="F397" s="105">
        <v>46009</v>
      </c>
      <c r="G397" s="2">
        <f t="shared" si="17"/>
        <v>46010</v>
      </c>
      <c r="H397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45981</v>
      </c>
      <c r="I397" s="95" t="s">
        <v>493</v>
      </c>
    </row>
    <row r="398" spans="1:9" x14ac:dyDescent="0.3">
      <c r="A398" s="1" t="s">
        <v>148</v>
      </c>
      <c r="B398" s="6"/>
      <c r="C398" s="1">
        <v>-1</v>
      </c>
      <c r="D398" s="105">
        <v>46024</v>
      </c>
      <c r="E398" s="105">
        <f t="shared" si="18"/>
        <v>46143.041666666599</v>
      </c>
      <c r="F398" s="105">
        <v>46142.041666666599</v>
      </c>
      <c r="G398" s="2">
        <f t="shared" si="17"/>
        <v>46143.041666666599</v>
      </c>
      <c r="H398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45981</v>
      </c>
      <c r="I398" s="95" t="s">
        <v>494</v>
      </c>
    </row>
    <row r="399" spans="1:9" x14ac:dyDescent="0.3">
      <c r="A399" s="1" t="s">
        <v>123</v>
      </c>
      <c r="B399" s="6"/>
      <c r="C399" s="1">
        <v>-1</v>
      </c>
      <c r="D399" s="105">
        <v>46020</v>
      </c>
      <c r="E399" s="105">
        <f t="shared" si="18"/>
        <v>46028</v>
      </c>
      <c r="F399" s="105">
        <v>46027</v>
      </c>
      <c r="G399" s="2">
        <f t="shared" si="17"/>
        <v>46028</v>
      </c>
      <c r="H399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45981</v>
      </c>
      <c r="I399" s="95" t="s">
        <v>495</v>
      </c>
    </row>
    <row r="400" spans="1:9" x14ac:dyDescent="0.3">
      <c r="A400" s="1" t="s">
        <v>66</v>
      </c>
      <c r="B400" s="6"/>
      <c r="C400" s="1">
        <v>-1</v>
      </c>
      <c r="D400" s="105">
        <v>46003</v>
      </c>
      <c r="E400" s="105">
        <f t="shared" si="18"/>
        <v>46005</v>
      </c>
      <c r="F400" s="105">
        <v>46004</v>
      </c>
      <c r="G400" s="2">
        <f t="shared" si="17"/>
        <v>46005</v>
      </c>
      <c r="H400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45981</v>
      </c>
      <c r="I400" s="95" t="s">
        <v>496</v>
      </c>
    </row>
    <row r="401" spans="1:9" x14ac:dyDescent="0.3">
      <c r="A401" s="1" t="s">
        <v>57</v>
      </c>
      <c r="B401" s="6"/>
      <c r="C401" s="1">
        <v>-1</v>
      </c>
      <c r="D401" s="105">
        <v>45996</v>
      </c>
      <c r="E401" s="105">
        <f t="shared" si="18"/>
        <v>46001</v>
      </c>
      <c r="F401" s="105">
        <v>46000</v>
      </c>
      <c r="G401" s="2">
        <f t="shared" si="17"/>
        <v>46001</v>
      </c>
      <c r="H401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45981</v>
      </c>
      <c r="I401" s="95" t="s">
        <v>497</v>
      </c>
    </row>
    <row r="402" spans="1:9" x14ac:dyDescent="0.3">
      <c r="A402" s="1" t="s">
        <v>57</v>
      </c>
      <c r="B402" s="6"/>
      <c r="C402" s="1">
        <v>-1</v>
      </c>
      <c r="D402" s="105">
        <v>45995</v>
      </c>
      <c r="E402" s="105">
        <f t="shared" si="18"/>
        <v>45997</v>
      </c>
      <c r="F402" s="105">
        <v>45996</v>
      </c>
      <c r="G402" s="2">
        <f t="shared" si="17"/>
        <v>45997</v>
      </c>
      <c r="H402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45981</v>
      </c>
      <c r="I402" s="95" t="s">
        <v>497</v>
      </c>
    </row>
    <row r="403" spans="1:9" x14ac:dyDescent="0.3">
      <c r="A403" s="1" t="s">
        <v>110</v>
      </c>
      <c r="B403" s="6"/>
      <c r="C403" s="1">
        <v>-1</v>
      </c>
      <c r="D403" s="105">
        <v>46020</v>
      </c>
      <c r="E403" s="105">
        <f t="shared" si="18"/>
        <v>46021</v>
      </c>
      <c r="F403" s="105">
        <v>46020</v>
      </c>
      <c r="G403" s="2">
        <f t="shared" si="17"/>
        <v>46021</v>
      </c>
      <c r="H403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45981</v>
      </c>
      <c r="I403" s="95" t="s">
        <v>498</v>
      </c>
    </row>
    <row r="404" spans="1:9" x14ac:dyDescent="0.3">
      <c r="A404" s="1" t="s">
        <v>122</v>
      </c>
      <c r="B404" s="6"/>
      <c r="C404" s="1">
        <v>-1</v>
      </c>
      <c r="D404" s="105">
        <v>45988</v>
      </c>
      <c r="E404" s="105">
        <f t="shared" si="18"/>
        <v>46002</v>
      </c>
      <c r="F404" s="105">
        <v>46001</v>
      </c>
      <c r="G404" s="2">
        <f t="shared" si="17"/>
        <v>46002</v>
      </c>
      <c r="H404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45981</v>
      </c>
      <c r="I404" s="95" t="s">
        <v>499</v>
      </c>
    </row>
    <row r="405" spans="1:9" x14ac:dyDescent="0.3">
      <c r="A405" s="1" t="s">
        <v>122</v>
      </c>
      <c r="B405" s="6"/>
      <c r="C405" s="1">
        <v>-1</v>
      </c>
      <c r="D405" s="105">
        <v>45987</v>
      </c>
      <c r="E405" s="105">
        <f t="shared" si="18"/>
        <v>45988</v>
      </c>
      <c r="F405" s="105">
        <v>45987</v>
      </c>
      <c r="G405" s="2">
        <f t="shared" si="17"/>
        <v>45988</v>
      </c>
      <c r="H405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45981</v>
      </c>
      <c r="I405" s="95" t="s">
        <v>499</v>
      </c>
    </row>
    <row r="406" spans="1:9" x14ac:dyDescent="0.3">
      <c r="A406" s="1" t="s">
        <v>132</v>
      </c>
      <c r="B406" s="6"/>
      <c r="C406" s="1">
        <v>-1</v>
      </c>
      <c r="D406" s="105">
        <v>46022</v>
      </c>
      <c r="E406" s="105">
        <f t="shared" si="18"/>
        <v>46023</v>
      </c>
      <c r="F406" s="105">
        <v>46022</v>
      </c>
      <c r="G406" s="2">
        <f t="shared" si="17"/>
        <v>46023</v>
      </c>
      <c r="H406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45982</v>
      </c>
      <c r="I406" s="95" t="s">
        <v>500</v>
      </c>
    </row>
    <row r="407" spans="1:9" x14ac:dyDescent="0.3">
      <c r="A407" s="1" t="s">
        <v>114</v>
      </c>
      <c r="B407" s="6"/>
      <c r="C407" s="1">
        <v>-1</v>
      </c>
      <c r="D407" s="105">
        <v>46021</v>
      </c>
      <c r="E407" s="105">
        <f t="shared" si="18"/>
        <v>46023</v>
      </c>
      <c r="F407" s="105">
        <v>46022</v>
      </c>
      <c r="G407" s="2">
        <f t="shared" si="17"/>
        <v>46023</v>
      </c>
      <c r="H407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45982</v>
      </c>
      <c r="I407" s="95" t="s">
        <v>500</v>
      </c>
    </row>
    <row r="408" spans="1:9" x14ac:dyDescent="0.3">
      <c r="A408" s="1" t="s">
        <v>92</v>
      </c>
      <c r="B408" s="6"/>
      <c r="C408" s="1">
        <v>-1</v>
      </c>
      <c r="D408" s="105">
        <v>45993</v>
      </c>
      <c r="E408" s="105">
        <f t="shared" si="18"/>
        <v>46001</v>
      </c>
      <c r="F408" s="105">
        <v>46000</v>
      </c>
      <c r="G408" s="2">
        <f t="shared" si="17"/>
        <v>46001</v>
      </c>
      <c r="H408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45982</v>
      </c>
      <c r="I408" s="95" t="s">
        <v>501</v>
      </c>
    </row>
    <row r="409" spans="1:9" x14ac:dyDescent="0.3">
      <c r="A409" s="1" t="s">
        <v>92</v>
      </c>
      <c r="B409" s="6"/>
      <c r="C409" s="1">
        <v>-1</v>
      </c>
      <c r="D409" s="105">
        <v>46096</v>
      </c>
      <c r="E409" s="105">
        <f t="shared" si="18"/>
        <v>46104</v>
      </c>
      <c r="F409" s="105">
        <v>46103</v>
      </c>
      <c r="G409" s="2">
        <f t="shared" si="17"/>
        <v>46104</v>
      </c>
      <c r="H409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45982</v>
      </c>
      <c r="I409" s="95" t="s">
        <v>501</v>
      </c>
    </row>
    <row r="410" spans="1:9" x14ac:dyDescent="0.3">
      <c r="A410" s="1" t="s">
        <v>66</v>
      </c>
      <c r="B410" s="6"/>
      <c r="C410" s="1">
        <v>-1</v>
      </c>
      <c r="D410" s="105">
        <v>46002</v>
      </c>
      <c r="E410" s="105">
        <f t="shared" si="18"/>
        <v>46006</v>
      </c>
      <c r="F410" s="105">
        <v>46005</v>
      </c>
      <c r="G410" s="2">
        <f t="shared" si="17"/>
        <v>46006</v>
      </c>
      <c r="H410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45982</v>
      </c>
      <c r="I410" s="95" t="s">
        <v>502</v>
      </c>
    </row>
    <row r="411" spans="1:9" x14ac:dyDescent="0.3">
      <c r="A411" s="1" t="s">
        <v>85</v>
      </c>
      <c r="B411" s="6"/>
      <c r="C411" s="1">
        <v>-1</v>
      </c>
      <c r="D411" s="105">
        <v>46015</v>
      </c>
      <c r="E411" s="105">
        <f t="shared" si="18"/>
        <v>46017</v>
      </c>
      <c r="F411" s="105">
        <v>46016</v>
      </c>
      <c r="G411" s="2">
        <f t="shared" si="17"/>
        <v>46017</v>
      </c>
      <c r="H411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45982</v>
      </c>
      <c r="I411" s="95" t="s">
        <v>503</v>
      </c>
    </row>
    <row r="412" spans="1:9" x14ac:dyDescent="0.3">
      <c r="A412" s="1" t="s">
        <v>101</v>
      </c>
      <c r="B412" s="6"/>
      <c r="C412" s="1">
        <v>-1</v>
      </c>
      <c r="D412" s="105">
        <v>45990</v>
      </c>
      <c r="E412" s="105">
        <f t="shared" si="18"/>
        <v>45992</v>
      </c>
      <c r="F412" s="105">
        <v>45991</v>
      </c>
      <c r="G412" s="2">
        <f t="shared" si="17"/>
        <v>45992</v>
      </c>
      <c r="H412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45982</v>
      </c>
      <c r="I412" s="95" t="s">
        <v>504</v>
      </c>
    </row>
    <row r="413" spans="1:9" x14ac:dyDescent="0.3">
      <c r="A413" s="1" t="s">
        <v>125</v>
      </c>
      <c r="B413" s="6"/>
      <c r="C413" s="1">
        <v>-1</v>
      </c>
      <c r="D413" s="105">
        <v>45992</v>
      </c>
      <c r="E413" s="105">
        <f t="shared" si="18"/>
        <v>45997</v>
      </c>
      <c r="F413" s="105">
        <v>45996</v>
      </c>
      <c r="G413" s="2">
        <f t="shared" si="17"/>
        <v>45997</v>
      </c>
      <c r="H413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45982</v>
      </c>
      <c r="I413" s="95" t="s">
        <v>505</v>
      </c>
    </row>
    <row r="414" spans="1:9" x14ac:dyDescent="0.3">
      <c r="A414" s="1" t="s">
        <v>302</v>
      </c>
      <c r="B414" s="6"/>
      <c r="C414" s="1">
        <v>-1</v>
      </c>
      <c r="D414" s="105">
        <v>46174</v>
      </c>
      <c r="E414" s="105">
        <f t="shared" si="18"/>
        <v>46328</v>
      </c>
      <c r="F414" s="105">
        <v>46327</v>
      </c>
      <c r="G414" s="2">
        <f t="shared" si="17"/>
        <v>46328</v>
      </c>
      <c r="H414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45982</v>
      </c>
      <c r="I414" s="95" t="s">
        <v>506</v>
      </c>
    </row>
    <row r="415" spans="1:9" x14ac:dyDescent="0.3">
      <c r="A415" s="1" t="s">
        <v>105</v>
      </c>
      <c r="B415" s="6"/>
      <c r="C415" s="1">
        <v>-1</v>
      </c>
      <c r="D415" s="105">
        <v>45986</v>
      </c>
      <c r="E415" s="105">
        <f t="shared" si="18"/>
        <v>46024</v>
      </c>
      <c r="F415" s="105">
        <v>46023</v>
      </c>
      <c r="G415" s="2">
        <f t="shared" si="17"/>
        <v>46024</v>
      </c>
      <c r="H415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45982</v>
      </c>
      <c r="I415" s="95" t="s">
        <v>506</v>
      </c>
    </row>
    <row r="416" spans="1:9" x14ac:dyDescent="0.3">
      <c r="A416" s="1" t="s">
        <v>110</v>
      </c>
      <c r="B416" s="6"/>
      <c r="C416" s="1">
        <v>-1</v>
      </c>
      <c r="D416" s="105">
        <v>46019</v>
      </c>
      <c r="E416" s="105">
        <f t="shared" si="18"/>
        <v>46020</v>
      </c>
      <c r="F416" s="105">
        <v>46019</v>
      </c>
      <c r="G416" s="2">
        <f t="shared" si="17"/>
        <v>46020</v>
      </c>
      <c r="H416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45982</v>
      </c>
      <c r="I416" s="95" t="s">
        <v>507</v>
      </c>
    </row>
    <row r="417" spans="1:9" x14ac:dyDescent="0.3">
      <c r="A417" s="1" t="s">
        <v>321</v>
      </c>
      <c r="B417" s="6"/>
      <c r="C417" s="1">
        <v>-1</v>
      </c>
      <c r="D417" s="105">
        <v>45985</v>
      </c>
      <c r="E417" s="105">
        <f t="shared" si="18"/>
        <v>45986</v>
      </c>
      <c r="F417" s="105">
        <v>45985</v>
      </c>
      <c r="G417" s="2">
        <f t="shared" si="17"/>
        <v>45986</v>
      </c>
      <c r="H417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45982</v>
      </c>
      <c r="I417" s="95" t="s">
        <v>508</v>
      </c>
    </row>
    <row r="418" spans="1:9" x14ac:dyDescent="0.3">
      <c r="A418" s="1" t="s">
        <v>125</v>
      </c>
      <c r="B418" s="6"/>
      <c r="C418" s="1">
        <v>-1</v>
      </c>
      <c r="D418" s="105">
        <v>45997</v>
      </c>
      <c r="E418" s="105">
        <f t="shared" si="18"/>
        <v>45998</v>
      </c>
      <c r="F418" s="105">
        <v>45997</v>
      </c>
      <c r="G418" s="2">
        <f t="shared" si="17"/>
        <v>45998</v>
      </c>
      <c r="H418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45982</v>
      </c>
      <c r="I418" s="95" t="s">
        <v>509</v>
      </c>
    </row>
    <row r="419" spans="1:9" x14ac:dyDescent="0.3">
      <c r="A419" s="1" t="s">
        <v>121</v>
      </c>
      <c r="B419" s="6"/>
      <c r="C419" s="1">
        <v>-1</v>
      </c>
      <c r="D419" s="105">
        <v>45988</v>
      </c>
      <c r="E419" s="105">
        <f t="shared" si="18"/>
        <v>45992</v>
      </c>
      <c r="F419" s="105">
        <v>45991</v>
      </c>
      <c r="G419" s="2">
        <f t="shared" si="17"/>
        <v>45992</v>
      </c>
      <c r="H419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45983</v>
      </c>
      <c r="I419" s="95" t="s">
        <v>510</v>
      </c>
    </row>
    <row r="420" spans="1:9" x14ac:dyDescent="0.3">
      <c r="A420" s="1" t="s">
        <v>125</v>
      </c>
      <c r="B420" s="6"/>
      <c r="C420" s="1">
        <v>-1</v>
      </c>
      <c r="D420" s="105">
        <v>45987</v>
      </c>
      <c r="E420" s="105">
        <f t="shared" si="18"/>
        <v>45992</v>
      </c>
      <c r="F420" s="105">
        <v>45991</v>
      </c>
      <c r="G420" s="2">
        <f t="shared" ref="G420:G483" si="19">F420+1</f>
        <v>45992</v>
      </c>
      <c r="H420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45983</v>
      </c>
      <c r="I420" s="95" t="s">
        <v>511</v>
      </c>
    </row>
    <row r="421" spans="1:9" x14ac:dyDescent="0.3">
      <c r="A421" s="1" t="s">
        <v>307</v>
      </c>
      <c r="B421" s="6"/>
      <c r="C421" s="1">
        <v>-1</v>
      </c>
      <c r="D421" s="105">
        <v>45993</v>
      </c>
      <c r="E421" s="105">
        <f t="shared" si="18"/>
        <v>45998</v>
      </c>
      <c r="F421" s="105">
        <v>45997</v>
      </c>
      <c r="G421" s="2">
        <f t="shared" si="19"/>
        <v>45998</v>
      </c>
      <c r="H421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45983</v>
      </c>
      <c r="I421" s="95" t="s">
        <v>512</v>
      </c>
    </row>
    <row r="422" spans="1:9" x14ac:dyDescent="0.3">
      <c r="A422" s="1" t="s">
        <v>307</v>
      </c>
      <c r="B422" s="6"/>
      <c r="C422" s="1">
        <v>-1</v>
      </c>
      <c r="D422" s="105">
        <v>46003</v>
      </c>
      <c r="E422" s="105">
        <f t="shared" si="18"/>
        <v>46010</v>
      </c>
      <c r="F422" s="105">
        <v>46009</v>
      </c>
      <c r="G422" s="2">
        <f t="shared" si="19"/>
        <v>46010</v>
      </c>
      <c r="H422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45983</v>
      </c>
      <c r="I422" s="95" t="s">
        <v>512</v>
      </c>
    </row>
    <row r="423" spans="1:9" x14ac:dyDescent="0.3">
      <c r="A423" s="1" t="s">
        <v>307</v>
      </c>
      <c r="B423" s="6"/>
      <c r="C423" s="1">
        <v>-1</v>
      </c>
      <c r="D423" s="105">
        <v>46015</v>
      </c>
      <c r="E423" s="105">
        <f t="shared" si="18"/>
        <v>46019</v>
      </c>
      <c r="F423" s="105">
        <v>46018</v>
      </c>
      <c r="G423" s="2">
        <f t="shared" si="19"/>
        <v>46019</v>
      </c>
      <c r="H423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45983</v>
      </c>
      <c r="I423" s="95" t="s">
        <v>512</v>
      </c>
    </row>
    <row r="424" spans="1:9" x14ac:dyDescent="0.3">
      <c r="A424" s="1" t="s">
        <v>307</v>
      </c>
      <c r="B424" s="6"/>
      <c r="C424" s="1">
        <v>-1</v>
      </c>
      <c r="D424" s="105">
        <v>45983</v>
      </c>
      <c r="E424" s="105">
        <f t="shared" si="18"/>
        <v>46030</v>
      </c>
      <c r="F424" s="105">
        <v>46029</v>
      </c>
      <c r="G424" s="2">
        <f t="shared" si="19"/>
        <v>46030</v>
      </c>
      <c r="H424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45983</v>
      </c>
      <c r="I424" s="95" t="s">
        <v>512</v>
      </c>
    </row>
    <row r="425" spans="1:9" x14ac:dyDescent="0.3">
      <c r="A425" s="1" t="s">
        <v>307</v>
      </c>
      <c r="B425" s="6"/>
      <c r="C425" s="1">
        <v>-1</v>
      </c>
      <c r="D425" s="105">
        <v>45983</v>
      </c>
      <c r="E425" s="105">
        <f t="shared" si="18"/>
        <v>46033</v>
      </c>
      <c r="F425" s="105">
        <v>46032</v>
      </c>
      <c r="G425" s="2">
        <f t="shared" si="19"/>
        <v>46033</v>
      </c>
      <c r="H425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45983</v>
      </c>
      <c r="I425" s="95" t="s">
        <v>512</v>
      </c>
    </row>
    <row r="426" spans="1:9" x14ac:dyDescent="0.3">
      <c r="A426" s="1" t="s">
        <v>307</v>
      </c>
      <c r="B426" s="6"/>
      <c r="C426" s="1">
        <v>-1</v>
      </c>
      <c r="D426" s="105">
        <v>45983</v>
      </c>
      <c r="E426" s="105">
        <f t="shared" si="18"/>
        <v>46015</v>
      </c>
      <c r="F426" s="105">
        <v>46014</v>
      </c>
      <c r="G426" s="2">
        <f t="shared" si="19"/>
        <v>46015</v>
      </c>
      <c r="H426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45983</v>
      </c>
      <c r="I426" s="95" t="s">
        <v>512</v>
      </c>
    </row>
    <row r="427" spans="1:9" x14ac:dyDescent="0.3">
      <c r="A427" s="1" t="s">
        <v>307</v>
      </c>
      <c r="B427" s="6"/>
      <c r="C427" s="1">
        <v>-1</v>
      </c>
      <c r="D427" s="105">
        <v>46006</v>
      </c>
      <c r="E427" s="105">
        <f t="shared" si="18"/>
        <v>46033</v>
      </c>
      <c r="F427" s="105">
        <v>46032</v>
      </c>
      <c r="G427" s="2">
        <f t="shared" si="19"/>
        <v>46033</v>
      </c>
      <c r="H427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45983</v>
      </c>
      <c r="I427" s="95" t="s">
        <v>512</v>
      </c>
    </row>
    <row r="428" spans="1:9" x14ac:dyDescent="0.3">
      <c r="A428" s="1" t="s">
        <v>104</v>
      </c>
      <c r="B428" s="6"/>
      <c r="C428" s="1">
        <v>-1</v>
      </c>
      <c r="D428" s="105">
        <v>46025</v>
      </c>
      <c r="E428" s="105">
        <f t="shared" si="18"/>
        <v>46028</v>
      </c>
      <c r="F428" s="105">
        <v>46027</v>
      </c>
      <c r="G428" s="2">
        <f t="shared" si="19"/>
        <v>46028</v>
      </c>
      <c r="H428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45983</v>
      </c>
      <c r="I428" s="95" t="s">
        <v>513</v>
      </c>
    </row>
    <row r="429" spans="1:9" x14ac:dyDescent="0.3">
      <c r="A429" s="1" t="s">
        <v>64</v>
      </c>
      <c r="B429" s="6"/>
      <c r="C429" s="1">
        <v>-1</v>
      </c>
      <c r="D429" s="105">
        <v>45999</v>
      </c>
      <c r="E429" s="105">
        <f t="shared" si="18"/>
        <v>46000</v>
      </c>
      <c r="F429" s="105">
        <v>45999</v>
      </c>
      <c r="G429" s="2">
        <f t="shared" si="19"/>
        <v>46000</v>
      </c>
      <c r="H429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45983</v>
      </c>
      <c r="I429" s="95" t="s">
        <v>514</v>
      </c>
    </row>
    <row r="430" spans="1:9" x14ac:dyDescent="0.3">
      <c r="A430" s="1" t="s">
        <v>67</v>
      </c>
      <c r="B430" s="6"/>
      <c r="C430" s="1">
        <v>-1</v>
      </c>
      <c r="D430" s="105">
        <v>46138</v>
      </c>
      <c r="E430" s="105">
        <f t="shared" si="18"/>
        <v>46140</v>
      </c>
      <c r="F430" s="105">
        <v>46139</v>
      </c>
      <c r="G430" s="2">
        <f t="shared" si="19"/>
        <v>46140</v>
      </c>
      <c r="H430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45983</v>
      </c>
      <c r="I430" s="95" t="s">
        <v>515</v>
      </c>
    </row>
    <row r="431" spans="1:9" x14ac:dyDescent="0.3">
      <c r="A431" s="1" t="s">
        <v>136</v>
      </c>
      <c r="B431" s="6"/>
      <c r="C431" s="1">
        <v>-1</v>
      </c>
      <c r="D431" s="105">
        <v>45986</v>
      </c>
      <c r="E431" s="105">
        <f t="shared" si="18"/>
        <v>45992</v>
      </c>
      <c r="F431" s="105">
        <v>45991</v>
      </c>
      <c r="G431" s="2">
        <f t="shared" si="19"/>
        <v>45992</v>
      </c>
      <c r="H431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45983</v>
      </c>
      <c r="I431" s="95" t="s">
        <v>516</v>
      </c>
    </row>
    <row r="432" spans="1:9" x14ac:dyDescent="0.3">
      <c r="A432" s="1" t="s">
        <v>136</v>
      </c>
      <c r="B432" s="6"/>
      <c r="C432" s="1">
        <v>-1</v>
      </c>
      <c r="D432" s="105">
        <v>45992</v>
      </c>
      <c r="E432" s="105">
        <f t="shared" si="18"/>
        <v>45993</v>
      </c>
      <c r="F432" s="105">
        <v>45992</v>
      </c>
      <c r="G432" s="2">
        <f t="shared" si="19"/>
        <v>45993</v>
      </c>
      <c r="H432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45983</v>
      </c>
      <c r="I432" s="95" t="s">
        <v>516</v>
      </c>
    </row>
    <row r="433" spans="1:9" x14ac:dyDescent="0.3">
      <c r="A433" s="1" t="s">
        <v>136</v>
      </c>
      <c r="B433" s="6"/>
      <c r="C433" s="1">
        <v>-1</v>
      </c>
      <c r="D433" s="105">
        <v>45997</v>
      </c>
      <c r="E433" s="105">
        <f t="shared" si="18"/>
        <v>45999</v>
      </c>
      <c r="F433" s="105">
        <v>45998</v>
      </c>
      <c r="G433" s="2">
        <f t="shared" si="19"/>
        <v>45999</v>
      </c>
      <c r="H433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45983</v>
      </c>
      <c r="I433" s="95" t="s">
        <v>516</v>
      </c>
    </row>
    <row r="434" spans="1:9" x14ac:dyDescent="0.3">
      <c r="A434" s="1" t="s">
        <v>160</v>
      </c>
      <c r="B434" s="6"/>
      <c r="C434" s="1">
        <v>-1</v>
      </c>
      <c r="D434" s="105">
        <v>46016</v>
      </c>
      <c r="E434" s="105">
        <f t="shared" si="18"/>
        <v>46017</v>
      </c>
      <c r="F434" s="105">
        <v>46016</v>
      </c>
      <c r="G434" s="2">
        <f t="shared" si="19"/>
        <v>46017</v>
      </c>
      <c r="H434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45983</v>
      </c>
      <c r="I434" s="95" t="s">
        <v>517</v>
      </c>
    </row>
    <row r="435" spans="1:9" x14ac:dyDescent="0.3">
      <c r="A435" s="1" t="s">
        <v>123</v>
      </c>
      <c r="B435" s="6"/>
      <c r="C435" s="1">
        <v>-1</v>
      </c>
      <c r="D435" s="105">
        <v>46002</v>
      </c>
      <c r="E435" s="105">
        <f t="shared" si="18"/>
        <v>46005</v>
      </c>
      <c r="F435" s="105">
        <v>46004</v>
      </c>
      <c r="G435" s="2">
        <f t="shared" si="19"/>
        <v>46005</v>
      </c>
      <c r="H435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45984</v>
      </c>
      <c r="I435" s="95" t="s">
        <v>518</v>
      </c>
    </row>
    <row r="436" spans="1:9" x14ac:dyDescent="0.3">
      <c r="A436" s="1" t="s">
        <v>123</v>
      </c>
      <c r="B436" s="6"/>
      <c r="C436" s="1">
        <v>-1</v>
      </c>
      <c r="D436" s="105">
        <v>45989</v>
      </c>
      <c r="E436" s="105">
        <f t="shared" si="18"/>
        <v>45991</v>
      </c>
      <c r="F436" s="105">
        <v>45990</v>
      </c>
      <c r="G436" s="2">
        <f t="shared" si="19"/>
        <v>45991</v>
      </c>
      <c r="H436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45984</v>
      </c>
      <c r="I436" s="95" t="s">
        <v>518</v>
      </c>
    </row>
    <row r="437" spans="1:9" x14ac:dyDescent="0.3">
      <c r="A437" s="1" t="s">
        <v>123</v>
      </c>
      <c r="B437" s="6"/>
      <c r="C437" s="1">
        <v>-1</v>
      </c>
      <c r="D437" s="105">
        <v>46106</v>
      </c>
      <c r="E437" s="105">
        <f t="shared" si="18"/>
        <v>46108</v>
      </c>
      <c r="F437" s="105">
        <v>46107</v>
      </c>
      <c r="G437" s="2">
        <f t="shared" si="19"/>
        <v>46108</v>
      </c>
      <c r="H437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45984</v>
      </c>
      <c r="I437" s="95" t="s">
        <v>518</v>
      </c>
    </row>
    <row r="438" spans="1:9" x14ac:dyDescent="0.3">
      <c r="A438" s="1" t="s">
        <v>125</v>
      </c>
      <c r="B438" s="6"/>
      <c r="C438" s="1">
        <v>-1</v>
      </c>
      <c r="D438" s="105">
        <v>46023</v>
      </c>
      <c r="E438" s="105">
        <f t="shared" si="18"/>
        <v>46024</v>
      </c>
      <c r="F438" s="105">
        <v>46023</v>
      </c>
      <c r="G438" s="2">
        <f t="shared" si="19"/>
        <v>46024</v>
      </c>
      <c r="H438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45984</v>
      </c>
      <c r="I438" s="95" t="s">
        <v>519</v>
      </c>
    </row>
    <row r="439" spans="1:9" x14ac:dyDescent="0.3">
      <c r="A439" s="1" t="s">
        <v>87</v>
      </c>
      <c r="B439" s="6"/>
      <c r="C439" s="1">
        <v>-1</v>
      </c>
      <c r="D439" s="105">
        <v>45992</v>
      </c>
      <c r="E439" s="105">
        <f t="shared" si="18"/>
        <v>45993</v>
      </c>
      <c r="F439" s="105">
        <v>45992</v>
      </c>
      <c r="G439" s="2">
        <f t="shared" si="19"/>
        <v>45993</v>
      </c>
      <c r="H439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45984</v>
      </c>
      <c r="I439" s="95" t="s">
        <v>520</v>
      </c>
    </row>
    <row r="440" spans="1:9" x14ac:dyDescent="0.3">
      <c r="A440" s="1" t="s">
        <v>307</v>
      </c>
      <c r="B440" s="6"/>
      <c r="C440" s="1">
        <v>-1</v>
      </c>
      <c r="D440" s="105">
        <v>45994</v>
      </c>
      <c r="E440" s="105">
        <f t="shared" si="18"/>
        <v>46019</v>
      </c>
      <c r="F440" s="105">
        <v>46018</v>
      </c>
      <c r="G440" s="2">
        <f t="shared" si="19"/>
        <v>46019</v>
      </c>
      <c r="H440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45984</v>
      </c>
      <c r="I440" s="95" t="s">
        <v>521</v>
      </c>
    </row>
    <row r="441" spans="1:9" x14ac:dyDescent="0.3">
      <c r="A441" s="1" t="s">
        <v>307</v>
      </c>
      <c r="B441" s="6"/>
      <c r="C441" s="1">
        <v>-1</v>
      </c>
      <c r="D441" s="105">
        <v>45985</v>
      </c>
      <c r="E441" s="105">
        <f t="shared" si="18"/>
        <v>46030</v>
      </c>
      <c r="F441" s="105">
        <v>46029</v>
      </c>
      <c r="G441" s="2">
        <f t="shared" si="19"/>
        <v>46030</v>
      </c>
      <c r="H441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45984</v>
      </c>
      <c r="I441" s="95" t="s">
        <v>521</v>
      </c>
    </row>
    <row r="442" spans="1:9" x14ac:dyDescent="0.3">
      <c r="A442" s="1" t="s">
        <v>307</v>
      </c>
      <c r="B442" s="6"/>
      <c r="C442" s="1">
        <v>-1</v>
      </c>
      <c r="D442" s="105">
        <v>45985</v>
      </c>
      <c r="E442" s="105">
        <f t="shared" si="18"/>
        <v>46033</v>
      </c>
      <c r="F442" s="105">
        <v>46032</v>
      </c>
      <c r="G442" s="2">
        <f t="shared" si="19"/>
        <v>46033</v>
      </c>
      <c r="H442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45984</v>
      </c>
      <c r="I442" s="95" t="s">
        <v>521</v>
      </c>
    </row>
    <row r="443" spans="1:9" x14ac:dyDescent="0.3">
      <c r="A443" s="1" t="s">
        <v>307</v>
      </c>
      <c r="B443" s="6"/>
      <c r="C443" s="1">
        <v>-1</v>
      </c>
      <c r="D443" s="105">
        <v>45989</v>
      </c>
      <c r="E443" s="105">
        <f t="shared" ref="E443:E506" si="20">G443</f>
        <v>46029</v>
      </c>
      <c r="F443" s="105">
        <v>46028</v>
      </c>
      <c r="G443" s="2">
        <f t="shared" si="19"/>
        <v>46029</v>
      </c>
      <c r="H443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45984</v>
      </c>
      <c r="I443" s="95" t="s">
        <v>521</v>
      </c>
    </row>
    <row r="444" spans="1:9" x14ac:dyDescent="0.3">
      <c r="A444" s="1" t="s">
        <v>307</v>
      </c>
      <c r="B444" s="6"/>
      <c r="C444" s="1">
        <v>-1</v>
      </c>
      <c r="D444" s="105">
        <v>46019</v>
      </c>
      <c r="E444" s="105">
        <f t="shared" si="20"/>
        <v>45992</v>
      </c>
      <c r="F444" s="105">
        <v>45991</v>
      </c>
      <c r="G444" s="2">
        <f t="shared" si="19"/>
        <v>45992</v>
      </c>
      <c r="H444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45984</v>
      </c>
      <c r="I444" s="95" t="s">
        <v>521</v>
      </c>
    </row>
    <row r="445" spans="1:9" x14ac:dyDescent="0.3">
      <c r="A445" s="1" t="s">
        <v>307</v>
      </c>
      <c r="B445" s="6"/>
      <c r="C445" s="1">
        <v>-1</v>
      </c>
      <c r="D445" s="105">
        <v>46031</v>
      </c>
      <c r="E445" s="105">
        <f t="shared" si="20"/>
        <v>46033</v>
      </c>
      <c r="F445" s="105">
        <v>46032</v>
      </c>
      <c r="G445" s="2">
        <f t="shared" si="19"/>
        <v>46033</v>
      </c>
      <c r="H445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45984</v>
      </c>
      <c r="I445" s="95" t="s">
        <v>521</v>
      </c>
    </row>
    <row r="446" spans="1:9" x14ac:dyDescent="0.3">
      <c r="A446" s="1" t="s">
        <v>89</v>
      </c>
      <c r="B446" s="6"/>
      <c r="C446" s="1">
        <v>-1</v>
      </c>
      <c r="D446" s="105">
        <v>45990</v>
      </c>
      <c r="E446" s="105">
        <f t="shared" si="20"/>
        <v>45993</v>
      </c>
      <c r="F446" s="105">
        <v>45992</v>
      </c>
      <c r="G446" s="2">
        <f t="shared" si="19"/>
        <v>45993</v>
      </c>
      <c r="H446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45985</v>
      </c>
      <c r="I446" s="95" t="s">
        <v>522</v>
      </c>
    </row>
    <row r="447" spans="1:9" x14ac:dyDescent="0.3">
      <c r="A447" s="1" t="s">
        <v>81</v>
      </c>
      <c r="B447" s="6"/>
      <c r="C447" s="1">
        <v>-1</v>
      </c>
      <c r="D447" s="105">
        <v>45997</v>
      </c>
      <c r="E447" s="105">
        <f t="shared" si="20"/>
        <v>46000</v>
      </c>
      <c r="F447" s="105">
        <v>45999</v>
      </c>
      <c r="G447" s="2">
        <f t="shared" si="19"/>
        <v>46000</v>
      </c>
      <c r="H447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45985</v>
      </c>
      <c r="I447" s="95" t="s">
        <v>523</v>
      </c>
    </row>
    <row r="448" spans="1:9" x14ac:dyDescent="0.3">
      <c r="A448" s="1" t="s">
        <v>64</v>
      </c>
      <c r="B448" s="6"/>
      <c r="C448" s="1">
        <v>-1</v>
      </c>
      <c r="D448" s="105">
        <v>46016</v>
      </c>
      <c r="E448" s="105">
        <f t="shared" si="20"/>
        <v>46018</v>
      </c>
      <c r="F448" s="105">
        <v>46017</v>
      </c>
      <c r="G448" s="2">
        <f t="shared" si="19"/>
        <v>46018</v>
      </c>
      <c r="H448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45985</v>
      </c>
      <c r="I448" s="95" t="s">
        <v>524</v>
      </c>
    </row>
    <row r="449" spans="1:9" x14ac:dyDescent="0.3">
      <c r="A449" s="1" t="s">
        <v>66</v>
      </c>
      <c r="B449" s="6"/>
      <c r="C449" s="1">
        <v>-1</v>
      </c>
      <c r="D449" s="105">
        <v>45995</v>
      </c>
      <c r="E449" s="105">
        <f t="shared" si="20"/>
        <v>45997</v>
      </c>
      <c r="F449" s="105">
        <v>45996</v>
      </c>
      <c r="G449" s="2">
        <f t="shared" si="19"/>
        <v>45997</v>
      </c>
      <c r="H449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45985</v>
      </c>
      <c r="I449" s="95" t="s">
        <v>525</v>
      </c>
    </row>
    <row r="450" spans="1:9" x14ac:dyDescent="0.3">
      <c r="A450" s="1" t="s">
        <v>66</v>
      </c>
      <c r="B450" s="6"/>
      <c r="C450" s="1">
        <v>-1</v>
      </c>
      <c r="D450" s="105">
        <v>46015</v>
      </c>
      <c r="E450" s="105">
        <f t="shared" si="20"/>
        <v>46019</v>
      </c>
      <c r="F450" s="105">
        <v>46018</v>
      </c>
      <c r="G450" s="2">
        <f t="shared" si="19"/>
        <v>46019</v>
      </c>
      <c r="H450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45985</v>
      </c>
      <c r="I450" s="95" t="s">
        <v>525</v>
      </c>
    </row>
    <row r="451" spans="1:9" x14ac:dyDescent="0.3">
      <c r="A451" s="1" t="s">
        <v>81</v>
      </c>
      <c r="B451" s="6"/>
      <c r="C451" s="1">
        <v>-1</v>
      </c>
      <c r="D451" s="105">
        <v>46002</v>
      </c>
      <c r="E451" s="105">
        <f t="shared" si="20"/>
        <v>46003</v>
      </c>
      <c r="F451" s="105">
        <v>46002</v>
      </c>
      <c r="G451" s="2">
        <f t="shared" si="19"/>
        <v>46003</v>
      </c>
      <c r="H451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45985</v>
      </c>
      <c r="I451" s="95" t="s">
        <v>526</v>
      </c>
    </row>
    <row r="452" spans="1:9" x14ac:dyDescent="0.3">
      <c r="A452" s="1" t="s">
        <v>57</v>
      </c>
      <c r="B452" s="6"/>
      <c r="C452" s="1">
        <v>-1</v>
      </c>
      <c r="D452" s="105">
        <v>46104</v>
      </c>
      <c r="E452" s="105">
        <f t="shared" si="20"/>
        <v>46108</v>
      </c>
      <c r="F452" s="105">
        <v>46107</v>
      </c>
      <c r="G452" s="2">
        <f t="shared" si="19"/>
        <v>46108</v>
      </c>
      <c r="H452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45985</v>
      </c>
      <c r="I452" s="95" t="s">
        <v>527</v>
      </c>
    </row>
    <row r="453" spans="1:9" x14ac:dyDescent="0.3">
      <c r="A453" s="1" t="s">
        <v>57</v>
      </c>
      <c r="B453" s="6"/>
      <c r="C453" s="1">
        <v>-1</v>
      </c>
      <c r="D453" s="105">
        <v>46115</v>
      </c>
      <c r="E453" s="105">
        <f t="shared" si="20"/>
        <v>46119</v>
      </c>
      <c r="F453" s="105">
        <v>46118</v>
      </c>
      <c r="G453" s="2">
        <f t="shared" si="19"/>
        <v>46119</v>
      </c>
      <c r="H453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45985</v>
      </c>
      <c r="I453" s="95" t="s">
        <v>527</v>
      </c>
    </row>
    <row r="454" spans="1:9" x14ac:dyDescent="0.3">
      <c r="A454" s="1" t="s">
        <v>57</v>
      </c>
      <c r="B454" s="6"/>
      <c r="C454" s="1">
        <v>-1</v>
      </c>
      <c r="D454" s="105">
        <v>46106</v>
      </c>
      <c r="E454" s="105">
        <f t="shared" si="20"/>
        <v>46116</v>
      </c>
      <c r="F454" s="105">
        <v>46115</v>
      </c>
      <c r="G454" s="2">
        <f t="shared" si="19"/>
        <v>46116</v>
      </c>
      <c r="H454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45985</v>
      </c>
      <c r="I454" s="95" t="s">
        <v>527</v>
      </c>
    </row>
    <row r="455" spans="1:9" x14ac:dyDescent="0.3">
      <c r="A455" s="1" t="s">
        <v>57</v>
      </c>
      <c r="B455" s="6"/>
      <c r="C455" s="1">
        <v>-1</v>
      </c>
      <c r="D455" s="105">
        <v>45988</v>
      </c>
      <c r="E455" s="105">
        <f t="shared" si="20"/>
        <v>45992</v>
      </c>
      <c r="F455" s="105">
        <v>45991</v>
      </c>
      <c r="G455" s="2">
        <f t="shared" si="19"/>
        <v>45992</v>
      </c>
      <c r="H455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45985</v>
      </c>
      <c r="I455" s="95" t="s">
        <v>527</v>
      </c>
    </row>
    <row r="456" spans="1:9" x14ac:dyDescent="0.3">
      <c r="A456" s="1" t="s">
        <v>57</v>
      </c>
      <c r="B456" s="6"/>
      <c r="C456" s="1">
        <v>-1</v>
      </c>
      <c r="D456" s="105">
        <v>45994</v>
      </c>
      <c r="E456" s="105">
        <f t="shared" si="20"/>
        <v>45997</v>
      </c>
      <c r="F456" s="105">
        <v>45996</v>
      </c>
      <c r="G456" s="2">
        <f t="shared" si="19"/>
        <v>45997</v>
      </c>
      <c r="H456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45985</v>
      </c>
      <c r="I456" s="95" t="s">
        <v>527</v>
      </c>
    </row>
    <row r="457" spans="1:9" x14ac:dyDescent="0.3">
      <c r="A457" s="1" t="s">
        <v>57</v>
      </c>
      <c r="B457" s="6"/>
      <c r="C457" s="1">
        <v>-1</v>
      </c>
      <c r="D457" s="105">
        <v>46019</v>
      </c>
      <c r="E457" s="105">
        <f t="shared" si="20"/>
        <v>46025</v>
      </c>
      <c r="F457" s="105">
        <v>46024</v>
      </c>
      <c r="G457" s="2">
        <f t="shared" si="19"/>
        <v>46025</v>
      </c>
      <c r="H457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45985</v>
      </c>
      <c r="I457" s="95" t="s">
        <v>527</v>
      </c>
    </row>
    <row r="458" spans="1:9" x14ac:dyDescent="0.3">
      <c r="A458" s="1" t="s">
        <v>528</v>
      </c>
      <c r="B458" s="6"/>
      <c r="C458" s="1">
        <v>-1</v>
      </c>
      <c r="D458" s="105">
        <v>45999</v>
      </c>
      <c r="E458" s="105">
        <f t="shared" si="20"/>
        <v>46003</v>
      </c>
      <c r="F458" s="105">
        <v>46002</v>
      </c>
      <c r="G458" s="2">
        <f t="shared" si="19"/>
        <v>46003</v>
      </c>
      <c r="H458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45986</v>
      </c>
      <c r="I458" s="95" t="s">
        <v>529</v>
      </c>
    </row>
    <row r="459" spans="1:9" x14ac:dyDescent="0.3">
      <c r="A459" s="1" t="s">
        <v>71</v>
      </c>
      <c r="B459" s="6"/>
      <c r="C459" s="1">
        <v>-1</v>
      </c>
      <c r="D459" s="105">
        <v>46001</v>
      </c>
      <c r="E459" s="105">
        <f t="shared" si="20"/>
        <v>46004</v>
      </c>
      <c r="F459" s="105">
        <v>46003</v>
      </c>
      <c r="G459" s="2">
        <f t="shared" si="19"/>
        <v>46004</v>
      </c>
      <c r="H459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45986</v>
      </c>
      <c r="I459" s="95" t="s">
        <v>530</v>
      </c>
    </row>
    <row r="460" spans="1:9" ht="15.6" x14ac:dyDescent="0.3">
      <c r="A460" s="112"/>
      <c r="B460" s="6"/>
      <c r="C460" s="1">
        <v>-1</v>
      </c>
      <c r="D460" s="105"/>
      <c r="E460" s="105">
        <f t="shared" si="20"/>
        <v>1</v>
      </c>
      <c r="F460" s="105"/>
      <c r="G460" s="2">
        <f t="shared" si="19"/>
        <v>1</v>
      </c>
      <c r="H460" s="2" t="e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#VALUE!</v>
      </c>
      <c r="I460" s="95"/>
    </row>
    <row r="461" spans="1:9" x14ac:dyDescent="0.3">
      <c r="A461" s="1" t="s">
        <v>127</v>
      </c>
      <c r="B461" s="6"/>
      <c r="C461" s="1">
        <v>-1</v>
      </c>
      <c r="D461" s="105">
        <v>46005</v>
      </c>
      <c r="E461" s="105">
        <f t="shared" si="20"/>
        <v>46010</v>
      </c>
      <c r="F461" s="105">
        <v>46009</v>
      </c>
      <c r="G461" s="2">
        <f t="shared" si="19"/>
        <v>46010</v>
      </c>
      <c r="H461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45986</v>
      </c>
      <c r="I461" s="95" t="s">
        <v>531</v>
      </c>
    </row>
    <row r="462" spans="1:9" x14ac:dyDescent="0.3">
      <c r="A462" s="1" t="s">
        <v>142</v>
      </c>
      <c r="B462" s="6"/>
      <c r="C462" s="1">
        <v>-1</v>
      </c>
      <c r="D462" s="105">
        <v>46012</v>
      </c>
      <c r="E462" s="105">
        <f t="shared" si="20"/>
        <v>46019</v>
      </c>
      <c r="F462" s="105">
        <v>46018</v>
      </c>
      <c r="G462" s="2">
        <f t="shared" si="19"/>
        <v>46019</v>
      </c>
      <c r="H462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45986</v>
      </c>
      <c r="I462" s="95" t="s">
        <v>532</v>
      </c>
    </row>
    <row r="463" spans="1:9" x14ac:dyDescent="0.3">
      <c r="A463" s="1" t="s">
        <v>120</v>
      </c>
      <c r="B463" s="6"/>
      <c r="C463" s="1">
        <v>-1</v>
      </c>
      <c r="D463" s="105">
        <v>45992</v>
      </c>
      <c r="E463" s="105">
        <f t="shared" si="20"/>
        <v>46082</v>
      </c>
      <c r="F463" s="105">
        <v>46081</v>
      </c>
      <c r="G463" s="2">
        <f t="shared" si="19"/>
        <v>46082</v>
      </c>
      <c r="H463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45986</v>
      </c>
      <c r="I463" s="95" t="s">
        <v>533</v>
      </c>
    </row>
    <row r="464" spans="1:9" x14ac:dyDescent="0.3">
      <c r="A464" s="1" t="s">
        <v>125</v>
      </c>
      <c r="B464" s="6"/>
      <c r="C464" s="1">
        <v>-1</v>
      </c>
      <c r="D464" s="105">
        <v>45998</v>
      </c>
      <c r="E464" s="105">
        <f t="shared" si="20"/>
        <v>46000</v>
      </c>
      <c r="F464" s="105">
        <v>45999</v>
      </c>
      <c r="G464" s="2">
        <f t="shared" si="19"/>
        <v>46000</v>
      </c>
      <c r="H464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45986</v>
      </c>
      <c r="I464" s="95" t="s">
        <v>534</v>
      </c>
    </row>
    <row r="465" spans="1:9" x14ac:dyDescent="0.3">
      <c r="A465" s="1" t="s">
        <v>96</v>
      </c>
      <c r="B465" s="6"/>
      <c r="C465" s="1">
        <v>-1</v>
      </c>
      <c r="D465" s="105">
        <v>45995</v>
      </c>
      <c r="E465" s="105">
        <f t="shared" si="20"/>
        <v>45998</v>
      </c>
      <c r="F465" s="105">
        <v>45997</v>
      </c>
      <c r="G465" s="2">
        <f t="shared" si="19"/>
        <v>45998</v>
      </c>
      <c r="H465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45986</v>
      </c>
      <c r="I465" s="95" t="s">
        <v>535</v>
      </c>
    </row>
    <row r="466" spans="1:9" x14ac:dyDescent="0.3">
      <c r="A466" s="1" t="s">
        <v>96</v>
      </c>
      <c r="B466" s="6"/>
      <c r="C466" s="1">
        <v>-1</v>
      </c>
      <c r="D466" s="105">
        <v>46013</v>
      </c>
      <c r="E466" s="105">
        <f t="shared" si="20"/>
        <v>46015</v>
      </c>
      <c r="F466" s="105">
        <v>46014</v>
      </c>
      <c r="G466" s="2">
        <f t="shared" si="19"/>
        <v>46015</v>
      </c>
      <c r="H466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45986</v>
      </c>
      <c r="I466" s="95" t="s">
        <v>535</v>
      </c>
    </row>
    <row r="467" spans="1:9" x14ac:dyDescent="0.3">
      <c r="A467" s="1" t="s">
        <v>96</v>
      </c>
      <c r="B467" s="6"/>
      <c r="C467" s="1">
        <v>-1</v>
      </c>
      <c r="D467" s="105">
        <v>46024</v>
      </c>
      <c r="E467" s="105">
        <f t="shared" si="20"/>
        <v>46025</v>
      </c>
      <c r="F467" s="105">
        <v>46024</v>
      </c>
      <c r="G467" s="2">
        <f t="shared" si="19"/>
        <v>46025</v>
      </c>
      <c r="H467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45986</v>
      </c>
      <c r="I467" s="95" t="s">
        <v>535</v>
      </c>
    </row>
    <row r="468" spans="1:9" x14ac:dyDescent="0.3">
      <c r="A468" s="1" t="s">
        <v>96</v>
      </c>
      <c r="B468" s="6"/>
      <c r="C468" s="1">
        <v>-1</v>
      </c>
      <c r="D468" s="105">
        <v>46030</v>
      </c>
      <c r="E468" s="105">
        <f t="shared" si="20"/>
        <v>46031</v>
      </c>
      <c r="F468" s="105">
        <v>46030</v>
      </c>
      <c r="G468" s="2">
        <f t="shared" si="19"/>
        <v>46031</v>
      </c>
      <c r="H468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45986</v>
      </c>
      <c r="I468" s="95" t="s">
        <v>535</v>
      </c>
    </row>
    <row r="469" spans="1:9" x14ac:dyDescent="0.3">
      <c r="A469" s="1" t="s">
        <v>122</v>
      </c>
      <c r="B469" s="6"/>
      <c r="C469" s="1">
        <v>-1</v>
      </c>
      <c r="D469" s="105">
        <v>46002</v>
      </c>
      <c r="E469" s="105">
        <f t="shared" si="20"/>
        <v>46006</v>
      </c>
      <c r="F469" s="105">
        <v>46005</v>
      </c>
      <c r="G469" s="2">
        <f t="shared" si="19"/>
        <v>46006</v>
      </c>
      <c r="H469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45986</v>
      </c>
      <c r="I469" s="95" t="s">
        <v>536</v>
      </c>
    </row>
    <row r="470" spans="1:9" x14ac:dyDescent="0.3">
      <c r="A470" s="1" t="s">
        <v>120</v>
      </c>
      <c r="B470" s="6"/>
      <c r="C470" s="1">
        <v>-1</v>
      </c>
      <c r="D470" s="105">
        <v>46002</v>
      </c>
      <c r="E470" s="105">
        <f t="shared" si="20"/>
        <v>46011</v>
      </c>
      <c r="F470" s="105">
        <v>46010</v>
      </c>
      <c r="G470" s="2">
        <f t="shared" si="19"/>
        <v>46011</v>
      </c>
      <c r="H470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45986</v>
      </c>
      <c r="I470" s="95" t="s">
        <v>537</v>
      </c>
    </row>
    <row r="471" spans="1:9" x14ac:dyDescent="0.3">
      <c r="A471" s="1" t="s">
        <v>120</v>
      </c>
      <c r="B471" s="6"/>
      <c r="C471" s="1">
        <v>-1</v>
      </c>
      <c r="D471" s="105">
        <v>45992</v>
      </c>
      <c r="E471" s="105">
        <f t="shared" si="20"/>
        <v>45998</v>
      </c>
      <c r="F471" s="105">
        <v>45997</v>
      </c>
      <c r="G471" s="2">
        <f t="shared" si="19"/>
        <v>45998</v>
      </c>
      <c r="H471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45986</v>
      </c>
      <c r="I471" s="95" t="s">
        <v>537</v>
      </c>
    </row>
    <row r="472" spans="1:9" x14ac:dyDescent="0.3">
      <c r="A472" s="1" t="s">
        <v>120</v>
      </c>
      <c r="B472" s="6"/>
      <c r="C472" s="1">
        <v>-1</v>
      </c>
      <c r="D472" s="105">
        <v>46012</v>
      </c>
      <c r="E472" s="105">
        <f t="shared" si="20"/>
        <v>46023</v>
      </c>
      <c r="F472" s="105">
        <v>46022</v>
      </c>
      <c r="G472" s="2">
        <f t="shared" si="19"/>
        <v>46023</v>
      </c>
      <c r="H472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45986</v>
      </c>
      <c r="I472" s="95" t="s">
        <v>537</v>
      </c>
    </row>
    <row r="473" spans="1:9" x14ac:dyDescent="0.3">
      <c r="A473" s="1" t="s">
        <v>89</v>
      </c>
      <c r="B473" s="6"/>
      <c r="C473" s="1">
        <v>-1</v>
      </c>
      <c r="D473" s="105">
        <v>46000</v>
      </c>
      <c r="E473" s="105">
        <f t="shared" si="20"/>
        <v>46001</v>
      </c>
      <c r="F473" s="105">
        <v>46000</v>
      </c>
      <c r="G473" s="2">
        <f t="shared" si="19"/>
        <v>46001</v>
      </c>
      <c r="H473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45986</v>
      </c>
      <c r="I473" s="95" t="s">
        <v>538</v>
      </c>
    </row>
    <row r="474" spans="1:9" x14ac:dyDescent="0.3">
      <c r="A474" s="1" t="s">
        <v>67</v>
      </c>
      <c r="B474" s="6"/>
      <c r="C474" s="1">
        <v>-1</v>
      </c>
      <c r="D474" s="105">
        <v>46140.041666666599</v>
      </c>
      <c r="E474" s="105">
        <f t="shared" si="20"/>
        <v>46141.041666666599</v>
      </c>
      <c r="F474" s="105">
        <v>46140.041666666599</v>
      </c>
      <c r="G474" s="2">
        <f t="shared" si="19"/>
        <v>46141.041666666599</v>
      </c>
      <c r="H474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45987</v>
      </c>
      <c r="I474" s="95" t="s">
        <v>539</v>
      </c>
    </row>
    <row r="475" spans="1:9" x14ac:dyDescent="0.3">
      <c r="A475" s="1" t="s">
        <v>117</v>
      </c>
      <c r="B475" s="6"/>
      <c r="C475" s="1">
        <v>-1</v>
      </c>
      <c r="D475" s="105">
        <v>46020</v>
      </c>
      <c r="E475" s="105">
        <f t="shared" si="20"/>
        <v>46023</v>
      </c>
      <c r="F475" s="105">
        <v>46022</v>
      </c>
      <c r="G475" s="2">
        <f t="shared" si="19"/>
        <v>46023</v>
      </c>
      <c r="H475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45987</v>
      </c>
      <c r="I475" s="95" t="s">
        <v>540</v>
      </c>
    </row>
    <row r="476" spans="1:9" x14ac:dyDescent="0.3">
      <c r="A476" s="1" t="s">
        <v>117</v>
      </c>
      <c r="B476" s="6"/>
      <c r="C476" s="1">
        <v>-1</v>
      </c>
      <c r="D476" s="105">
        <v>45997</v>
      </c>
      <c r="E476" s="105">
        <f t="shared" si="20"/>
        <v>46005</v>
      </c>
      <c r="F476" s="105">
        <v>46004</v>
      </c>
      <c r="G476" s="2">
        <f t="shared" si="19"/>
        <v>46005</v>
      </c>
      <c r="H476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45987</v>
      </c>
      <c r="I476" s="95" t="s">
        <v>540</v>
      </c>
    </row>
    <row r="477" spans="1:9" x14ac:dyDescent="0.3">
      <c r="A477" s="1" t="s">
        <v>117</v>
      </c>
      <c r="B477" s="6"/>
      <c r="C477" s="1">
        <v>-1</v>
      </c>
      <c r="D477" s="105">
        <v>45997</v>
      </c>
      <c r="E477" s="105">
        <f t="shared" si="20"/>
        <v>45999</v>
      </c>
      <c r="F477" s="105">
        <v>45998</v>
      </c>
      <c r="G477" s="2">
        <f t="shared" si="19"/>
        <v>45999</v>
      </c>
      <c r="H477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45987</v>
      </c>
      <c r="I477" s="95" t="s">
        <v>540</v>
      </c>
    </row>
    <row r="478" spans="1:9" x14ac:dyDescent="0.3">
      <c r="A478" s="1" t="s">
        <v>117</v>
      </c>
      <c r="B478" s="6"/>
      <c r="C478" s="1">
        <v>-1</v>
      </c>
      <c r="D478" s="105">
        <v>46010</v>
      </c>
      <c r="E478" s="105">
        <f t="shared" si="20"/>
        <v>46012</v>
      </c>
      <c r="F478" s="105">
        <v>46011</v>
      </c>
      <c r="G478" s="2">
        <f t="shared" si="19"/>
        <v>46012</v>
      </c>
      <c r="H478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45987</v>
      </c>
      <c r="I478" s="95" t="s">
        <v>540</v>
      </c>
    </row>
    <row r="479" spans="1:9" x14ac:dyDescent="0.3">
      <c r="A479" s="1" t="s">
        <v>117</v>
      </c>
      <c r="B479" s="6"/>
      <c r="C479" s="1">
        <v>-1</v>
      </c>
      <c r="D479" s="105">
        <v>46026</v>
      </c>
      <c r="E479" s="105">
        <f t="shared" si="20"/>
        <v>46027</v>
      </c>
      <c r="F479" s="105">
        <v>46026</v>
      </c>
      <c r="G479" s="2">
        <f t="shared" si="19"/>
        <v>46027</v>
      </c>
      <c r="H479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45987</v>
      </c>
      <c r="I479" s="95" t="s">
        <v>540</v>
      </c>
    </row>
    <row r="480" spans="1:9" x14ac:dyDescent="0.3">
      <c r="A480" s="1" t="s">
        <v>528</v>
      </c>
      <c r="B480" s="6"/>
      <c r="C480" s="1">
        <v>-1</v>
      </c>
      <c r="D480" s="105">
        <v>46013</v>
      </c>
      <c r="E480" s="105">
        <f t="shared" si="20"/>
        <v>46015</v>
      </c>
      <c r="F480" s="105">
        <v>46014</v>
      </c>
      <c r="G480" s="2">
        <f t="shared" si="19"/>
        <v>46015</v>
      </c>
      <c r="H480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45987</v>
      </c>
      <c r="I480" s="95" t="s">
        <v>541</v>
      </c>
    </row>
    <row r="481" spans="1:9" x14ac:dyDescent="0.3">
      <c r="A481" s="1" t="s">
        <v>136</v>
      </c>
      <c r="B481" s="6"/>
      <c r="C481" s="1">
        <v>-1</v>
      </c>
      <c r="D481" s="105">
        <v>46021</v>
      </c>
      <c r="E481" s="105">
        <f t="shared" si="20"/>
        <v>46022</v>
      </c>
      <c r="F481" s="105">
        <v>46021</v>
      </c>
      <c r="G481" s="2">
        <f t="shared" si="19"/>
        <v>46022</v>
      </c>
      <c r="H481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45987</v>
      </c>
      <c r="I481" s="95" t="s">
        <v>542</v>
      </c>
    </row>
    <row r="482" spans="1:9" x14ac:dyDescent="0.3">
      <c r="A482" s="1" t="s">
        <v>122</v>
      </c>
      <c r="B482" s="6"/>
      <c r="C482" s="1">
        <v>-1</v>
      </c>
      <c r="D482" s="105">
        <v>46023</v>
      </c>
      <c r="E482" s="105">
        <f t="shared" si="20"/>
        <v>46049</v>
      </c>
      <c r="F482" s="105">
        <v>46048</v>
      </c>
      <c r="G482" s="2">
        <f t="shared" si="19"/>
        <v>46049</v>
      </c>
      <c r="H482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45987</v>
      </c>
      <c r="I482" s="95" t="s">
        <v>543</v>
      </c>
    </row>
    <row r="483" spans="1:9" x14ac:dyDescent="0.3">
      <c r="A483" s="1" t="s">
        <v>528</v>
      </c>
      <c r="B483" s="6"/>
      <c r="C483" s="1">
        <v>-1</v>
      </c>
      <c r="D483" s="105">
        <v>46015</v>
      </c>
      <c r="E483" s="105">
        <f t="shared" si="20"/>
        <v>46019</v>
      </c>
      <c r="F483" s="105">
        <v>46018</v>
      </c>
      <c r="G483" s="2">
        <f t="shared" si="19"/>
        <v>46019</v>
      </c>
      <c r="H483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45985</v>
      </c>
      <c r="I483" s="95" t="s">
        <v>544</v>
      </c>
    </row>
    <row r="484" spans="1:9" x14ac:dyDescent="0.3">
      <c r="A484" s="1" t="s">
        <v>528</v>
      </c>
      <c r="B484" s="6"/>
      <c r="C484" s="1">
        <v>-1</v>
      </c>
      <c r="D484" s="105">
        <v>46025</v>
      </c>
      <c r="E484" s="105">
        <f t="shared" si="20"/>
        <v>46029</v>
      </c>
      <c r="F484" s="105">
        <v>46028</v>
      </c>
      <c r="G484" s="2">
        <f t="shared" ref="G484:G547" si="21">F484+1</f>
        <v>46029</v>
      </c>
      <c r="H484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45984</v>
      </c>
      <c r="I484" s="95" t="s">
        <v>545</v>
      </c>
    </row>
    <row r="485" spans="1:9" x14ac:dyDescent="0.3">
      <c r="A485" s="1" t="s">
        <v>528</v>
      </c>
      <c r="B485" s="6"/>
      <c r="C485" s="1">
        <v>-1</v>
      </c>
      <c r="D485" s="105">
        <v>45987</v>
      </c>
      <c r="E485" s="105">
        <f t="shared" si="20"/>
        <v>45990</v>
      </c>
      <c r="F485" s="105">
        <v>45989</v>
      </c>
      <c r="G485" s="2">
        <f t="shared" si="21"/>
        <v>45990</v>
      </c>
      <c r="H485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45984</v>
      </c>
      <c r="I485" s="95" t="s">
        <v>546</v>
      </c>
    </row>
    <row r="486" spans="1:9" x14ac:dyDescent="0.3">
      <c r="A486" s="1" t="s">
        <v>95</v>
      </c>
      <c r="B486" s="6"/>
      <c r="C486" s="1">
        <v>-1</v>
      </c>
      <c r="D486" s="105">
        <v>46069</v>
      </c>
      <c r="E486" s="105">
        <f t="shared" si="20"/>
        <v>46072</v>
      </c>
      <c r="F486" s="105">
        <v>46071</v>
      </c>
      <c r="G486" s="2">
        <f t="shared" si="21"/>
        <v>46072</v>
      </c>
      <c r="H486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45987</v>
      </c>
      <c r="I486" s="95" t="s">
        <v>547</v>
      </c>
    </row>
    <row r="487" spans="1:9" x14ac:dyDescent="0.3">
      <c r="A487" s="1" t="s">
        <v>103</v>
      </c>
      <c r="B487" s="6"/>
      <c r="C487" s="1">
        <v>-1</v>
      </c>
      <c r="D487" s="105">
        <v>46016</v>
      </c>
      <c r="E487" s="105">
        <f t="shared" si="20"/>
        <v>46022</v>
      </c>
      <c r="F487" s="105">
        <v>46021</v>
      </c>
      <c r="G487" s="2">
        <f t="shared" si="21"/>
        <v>46022</v>
      </c>
      <c r="H487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45987</v>
      </c>
      <c r="I487" s="95" t="s">
        <v>548</v>
      </c>
    </row>
    <row r="488" spans="1:9" x14ac:dyDescent="0.3">
      <c r="A488" s="1" t="s">
        <v>103</v>
      </c>
      <c r="B488" s="6"/>
      <c r="C488" s="1">
        <v>-1</v>
      </c>
      <c r="D488" s="105">
        <v>46021</v>
      </c>
      <c r="E488" s="105">
        <f t="shared" si="20"/>
        <v>46022</v>
      </c>
      <c r="F488" s="105">
        <v>46021</v>
      </c>
      <c r="G488" s="2">
        <f t="shared" si="21"/>
        <v>46022</v>
      </c>
      <c r="H488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45987</v>
      </c>
      <c r="I488" s="95" t="s">
        <v>548</v>
      </c>
    </row>
    <row r="489" spans="1:9" x14ac:dyDescent="0.3">
      <c r="A489" s="1" t="s">
        <v>103</v>
      </c>
      <c r="B489" s="6"/>
      <c r="C489" s="1">
        <v>-1</v>
      </c>
      <c r="D489" s="105">
        <v>46025</v>
      </c>
      <c r="E489" s="105">
        <f t="shared" si="20"/>
        <v>46026</v>
      </c>
      <c r="F489" s="105">
        <v>46025</v>
      </c>
      <c r="G489" s="2">
        <f t="shared" si="21"/>
        <v>46026</v>
      </c>
      <c r="H489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45987</v>
      </c>
      <c r="I489" s="95" t="s">
        <v>548</v>
      </c>
    </row>
    <row r="490" spans="1:9" x14ac:dyDescent="0.3">
      <c r="A490" s="1" t="s">
        <v>103</v>
      </c>
      <c r="B490" s="6"/>
      <c r="C490" s="1">
        <v>-1</v>
      </c>
      <c r="D490" s="105">
        <v>45992</v>
      </c>
      <c r="E490" s="105">
        <f t="shared" si="20"/>
        <v>45993</v>
      </c>
      <c r="F490" s="105">
        <v>45992</v>
      </c>
      <c r="G490" s="2">
        <f t="shared" si="21"/>
        <v>45993</v>
      </c>
      <c r="H490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45987</v>
      </c>
      <c r="I490" s="95" t="s">
        <v>548</v>
      </c>
    </row>
    <row r="491" spans="1:9" x14ac:dyDescent="0.3">
      <c r="A491" s="1" t="s">
        <v>103</v>
      </c>
      <c r="B491" s="6"/>
      <c r="C491" s="1">
        <v>-1</v>
      </c>
      <c r="D491" s="105">
        <v>46000</v>
      </c>
      <c r="E491" s="105">
        <f t="shared" si="20"/>
        <v>46001</v>
      </c>
      <c r="F491" s="105">
        <v>46000</v>
      </c>
      <c r="G491" s="2">
        <f t="shared" si="21"/>
        <v>46001</v>
      </c>
      <c r="H491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45987</v>
      </c>
      <c r="I491" s="95" t="s">
        <v>548</v>
      </c>
    </row>
    <row r="492" spans="1:9" x14ac:dyDescent="0.3">
      <c r="A492" s="1" t="s">
        <v>103</v>
      </c>
      <c r="B492" s="6"/>
      <c r="C492" s="1">
        <v>-1</v>
      </c>
      <c r="D492" s="105">
        <v>46024</v>
      </c>
      <c r="E492" s="105">
        <f t="shared" si="20"/>
        <v>45994</v>
      </c>
      <c r="F492" s="105">
        <v>45993</v>
      </c>
      <c r="G492" s="2">
        <f t="shared" si="21"/>
        <v>45994</v>
      </c>
      <c r="H492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45987</v>
      </c>
      <c r="I492" s="95" t="s">
        <v>548</v>
      </c>
    </row>
    <row r="493" spans="1:9" x14ac:dyDescent="0.3">
      <c r="A493" s="1" t="s">
        <v>103</v>
      </c>
      <c r="B493" s="6"/>
      <c r="C493" s="1">
        <v>-1</v>
      </c>
      <c r="D493" s="105">
        <v>46031</v>
      </c>
      <c r="E493" s="105">
        <f t="shared" si="20"/>
        <v>46032</v>
      </c>
      <c r="F493" s="105">
        <v>46031</v>
      </c>
      <c r="G493" s="2">
        <f t="shared" si="21"/>
        <v>46032</v>
      </c>
      <c r="H493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45987</v>
      </c>
      <c r="I493" s="95" t="s">
        <v>548</v>
      </c>
    </row>
    <row r="494" spans="1:9" x14ac:dyDescent="0.3">
      <c r="A494" s="1" t="s">
        <v>82</v>
      </c>
      <c r="B494" s="6"/>
      <c r="C494" s="1">
        <v>-1</v>
      </c>
      <c r="D494" s="105">
        <v>46018</v>
      </c>
      <c r="E494" s="105">
        <f t="shared" si="20"/>
        <v>46025</v>
      </c>
      <c r="F494" s="105">
        <v>46024</v>
      </c>
      <c r="G494" s="2">
        <f t="shared" si="21"/>
        <v>46025</v>
      </c>
      <c r="H494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45988</v>
      </c>
      <c r="I494" s="95" t="s">
        <v>549</v>
      </c>
    </row>
    <row r="495" spans="1:9" x14ac:dyDescent="0.3">
      <c r="A495" s="1" t="s">
        <v>127</v>
      </c>
      <c r="B495" s="6"/>
      <c r="C495" s="1">
        <v>-1</v>
      </c>
      <c r="D495" s="105">
        <v>46216</v>
      </c>
      <c r="E495" s="105">
        <f t="shared" si="20"/>
        <v>46220</v>
      </c>
      <c r="F495" s="105">
        <v>46219</v>
      </c>
      <c r="G495" s="2">
        <f t="shared" si="21"/>
        <v>46220</v>
      </c>
      <c r="H495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45988</v>
      </c>
      <c r="I495" s="95" t="s">
        <v>550</v>
      </c>
    </row>
    <row r="496" spans="1:9" x14ac:dyDescent="0.3">
      <c r="A496" s="1" t="s">
        <v>127</v>
      </c>
      <c r="B496" s="6"/>
      <c r="C496" s="1">
        <v>-1</v>
      </c>
      <c r="D496" s="105">
        <v>46224</v>
      </c>
      <c r="E496" s="105">
        <f t="shared" si="20"/>
        <v>46226</v>
      </c>
      <c r="F496" s="105">
        <v>46225</v>
      </c>
      <c r="G496" s="2">
        <f t="shared" si="21"/>
        <v>46226</v>
      </c>
      <c r="H496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45988</v>
      </c>
      <c r="I496" s="95" t="s">
        <v>550</v>
      </c>
    </row>
    <row r="497" spans="1:9" x14ac:dyDescent="0.3">
      <c r="A497" s="1" t="s">
        <v>127</v>
      </c>
      <c r="B497" s="6"/>
      <c r="C497" s="1">
        <v>-1</v>
      </c>
      <c r="D497" s="105">
        <v>46245</v>
      </c>
      <c r="E497" s="105">
        <f t="shared" si="20"/>
        <v>46252</v>
      </c>
      <c r="F497" s="105">
        <v>46251</v>
      </c>
      <c r="G497" s="2">
        <f t="shared" si="21"/>
        <v>46252</v>
      </c>
      <c r="H497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45988</v>
      </c>
      <c r="I497" s="95" t="s">
        <v>550</v>
      </c>
    </row>
    <row r="498" spans="1:9" x14ac:dyDescent="0.3">
      <c r="A498" s="1" t="s">
        <v>92</v>
      </c>
      <c r="B498" s="6"/>
      <c r="C498" s="1">
        <v>-1</v>
      </c>
      <c r="D498" s="105">
        <v>46107</v>
      </c>
      <c r="E498" s="105">
        <f t="shared" si="20"/>
        <v>46122</v>
      </c>
      <c r="F498" s="105">
        <v>46121</v>
      </c>
      <c r="G498" s="2">
        <f t="shared" si="21"/>
        <v>46122</v>
      </c>
      <c r="H498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45988</v>
      </c>
      <c r="I498" s="95" t="s">
        <v>551</v>
      </c>
    </row>
    <row r="499" spans="1:9" x14ac:dyDescent="0.3">
      <c r="A499" s="1" t="s">
        <v>121</v>
      </c>
      <c r="B499" s="6"/>
      <c r="C499" s="1">
        <v>-1</v>
      </c>
      <c r="D499" s="105">
        <v>46018</v>
      </c>
      <c r="E499" s="105">
        <f t="shared" si="20"/>
        <v>46022</v>
      </c>
      <c r="F499" s="105">
        <v>46021</v>
      </c>
      <c r="G499" s="2">
        <f t="shared" si="21"/>
        <v>46022</v>
      </c>
      <c r="H499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45988</v>
      </c>
      <c r="I499" s="95" t="s">
        <v>552</v>
      </c>
    </row>
    <row r="500" spans="1:9" x14ac:dyDescent="0.3">
      <c r="A500" s="1" t="s">
        <v>123</v>
      </c>
      <c r="B500" s="6"/>
      <c r="C500" s="1">
        <v>-1</v>
      </c>
      <c r="D500" s="105">
        <v>46010</v>
      </c>
      <c r="E500" s="105">
        <f t="shared" si="20"/>
        <v>46014</v>
      </c>
      <c r="F500" s="105">
        <v>46013</v>
      </c>
      <c r="G500" s="2">
        <f t="shared" si="21"/>
        <v>46014</v>
      </c>
      <c r="H500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45988</v>
      </c>
      <c r="I500" s="95" t="s">
        <v>553</v>
      </c>
    </row>
    <row r="501" spans="1:9" x14ac:dyDescent="0.3">
      <c r="A501" s="1" t="s">
        <v>123</v>
      </c>
      <c r="B501" s="6"/>
      <c r="C501" s="1">
        <v>-1</v>
      </c>
      <c r="D501" s="105">
        <v>46030</v>
      </c>
      <c r="E501" s="105">
        <f t="shared" si="20"/>
        <v>46032</v>
      </c>
      <c r="F501" s="105">
        <v>46031</v>
      </c>
      <c r="G501" s="2">
        <f t="shared" si="21"/>
        <v>46032</v>
      </c>
      <c r="H501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45988</v>
      </c>
      <c r="I501" s="95" t="s">
        <v>553</v>
      </c>
    </row>
    <row r="502" spans="1:9" x14ac:dyDescent="0.3">
      <c r="A502" s="1" t="s">
        <v>123</v>
      </c>
      <c r="B502" s="6"/>
      <c r="C502" s="1">
        <v>-1</v>
      </c>
      <c r="D502" s="105">
        <v>46008</v>
      </c>
      <c r="E502" s="105">
        <f t="shared" si="20"/>
        <v>46017</v>
      </c>
      <c r="F502" s="105">
        <v>46016</v>
      </c>
      <c r="G502" s="2">
        <f t="shared" si="21"/>
        <v>46017</v>
      </c>
      <c r="H502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45988</v>
      </c>
      <c r="I502" s="95" t="s">
        <v>553</v>
      </c>
    </row>
    <row r="503" spans="1:9" x14ac:dyDescent="0.3">
      <c r="A503" s="1" t="s">
        <v>123</v>
      </c>
      <c r="B503" s="6"/>
      <c r="C503" s="1">
        <v>-1</v>
      </c>
      <c r="D503" s="105">
        <v>46029</v>
      </c>
      <c r="E503" s="105">
        <f t="shared" si="20"/>
        <v>46037</v>
      </c>
      <c r="F503" s="105">
        <v>46036</v>
      </c>
      <c r="G503" s="2">
        <f t="shared" si="21"/>
        <v>46037</v>
      </c>
      <c r="H503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45988</v>
      </c>
      <c r="I503" s="95" t="s">
        <v>553</v>
      </c>
    </row>
    <row r="504" spans="1:9" x14ac:dyDescent="0.3">
      <c r="A504" s="1" t="s">
        <v>123</v>
      </c>
      <c r="B504" s="6"/>
      <c r="C504" s="1">
        <v>-1</v>
      </c>
      <c r="D504" s="105">
        <v>45996</v>
      </c>
      <c r="E504" s="105">
        <f t="shared" si="20"/>
        <v>46005</v>
      </c>
      <c r="F504" s="105">
        <v>46004</v>
      </c>
      <c r="G504" s="2">
        <f t="shared" si="21"/>
        <v>46005</v>
      </c>
      <c r="H504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45988</v>
      </c>
      <c r="I504" s="95" t="s">
        <v>553</v>
      </c>
    </row>
    <row r="505" spans="1:9" x14ac:dyDescent="0.3">
      <c r="A505" s="1" t="s">
        <v>123</v>
      </c>
      <c r="B505" s="6"/>
      <c r="C505" s="1">
        <v>-1</v>
      </c>
      <c r="D505" s="105">
        <v>45992</v>
      </c>
      <c r="E505" s="105">
        <f t="shared" si="20"/>
        <v>45997</v>
      </c>
      <c r="F505" s="105">
        <v>45996</v>
      </c>
      <c r="G505" s="2">
        <f t="shared" si="21"/>
        <v>45997</v>
      </c>
      <c r="H505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45988</v>
      </c>
      <c r="I505" s="95" t="s">
        <v>553</v>
      </c>
    </row>
    <row r="506" spans="1:9" x14ac:dyDescent="0.3">
      <c r="A506" s="1" t="s">
        <v>101</v>
      </c>
      <c r="B506" s="6"/>
      <c r="C506" s="1">
        <v>-1</v>
      </c>
      <c r="D506" s="105">
        <v>45999</v>
      </c>
      <c r="E506" s="105">
        <f t="shared" si="20"/>
        <v>46001</v>
      </c>
      <c r="F506" s="105">
        <v>46000</v>
      </c>
      <c r="G506" s="2">
        <f t="shared" si="21"/>
        <v>46001</v>
      </c>
      <c r="H506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45988</v>
      </c>
      <c r="I506" s="95" t="s">
        <v>554</v>
      </c>
    </row>
    <row r="507" spans="1:9" x14ac:dyDescent="0.3">
      <c r="A507" s="1" t="s">
        <v>148</v>
      </c>
      <c r="B507" s="6"/>
      <c r="C507" s="1">
        <v>-1</v>
      </c>
      <c r="D507" s="105">
        <v>45995</v>
      </c>
      <c r="E507" s="105">
        <f t="shared" ref="E507:E570" si="22">G507</f>
        <v>45997</v>
      </c>
      <c r="F507" s="105">
        <v>45996</v>
      </c>
      <c r="G507" s="2">
        <f t="shared" si="21"/>
        <v>45997</v>
      </c>
      <c r="H507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45988</v>
      </c>
      <c r="I507" s="95" t="s">
        <v>555</v>
      </c>
    </row>
    <row r="508" spans="1:9" x14ac:dyDescent="0.3">
      <c r="A508" s="1" t="s">
        <v>307</v>
      </c>
      <c r="B508" s="6"/>
      <c r="C508" s="1">
        <v>-1</v>
      </c>
      <c r="D508" s="105">
        <v>45993</v>
      </c>
      <c r="E508" s="105">
        <f t="shared" si="22"/>
        <v>46020</v>
      </c>
      <c r="F508" s="105">
        <v>46019</v>
      </c>
      <c r="G508" s="2">
        <f t="shared" si="21"/>
        <v>46020</v>
      </c>
      <c r="H508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45989</v>
      </c>
      <c r="I508" s="95" t="s">
        <v>556</v>
      </c>
    </row>
    <row r="509" spans="1:9" x14ac:dyDescent="0.3">
      <c r="A509" s="1" t="s">
        <v>307</v>
      </c>
      <c r="B509" s="6"/>
      <c r="C509" s="1">
        <v>-1</v>
      </c>
      <c r="D509" s="105">
        <v>45990</v>
      </c>
      <c r="E509" s="105">
        <f t="shared" si="22"/>
        <v>45976</v>
      </c>
      <c r="F509" s="105">
        <v>45975</v>
      </c>
      <c r="G509" s="2">
        <f t="shared" si="21"/>
        <v>45976</v>
      </c>
      <c r="H509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45989</v>
      </c>
      <c r="I509" s="95" t="s">
        <v>556</v>
      </c>
    </row>
    <row r="510" spans="1:9" x14ac:dyDescent="0.3">
      <c r="A510" s="1" t="s">
        <v>307</v>
      </c>
      <c r="B510" s="6"/>
      <c r="C510" s="1">
        <v>-1</v>
      </c>
      <c r="D510" s="105">
        <v>45990</v>
      </c>
      <c r="E510" s="105">
        <f t="shared" si="22"/>
        <v>46033</v>
      </c>
      <c r="F510" s="105">
        <v>46032</v>
      </c>
      <c r="G510" s="2">
        <f t="shared" si="21"/>
        <v>46033</v>
      </c>
      <c r="H510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45989</v>
      </c>
      <c r="I510" s="95" t="s">
        <v>556</v>
      </c>
    </row>
    <row r="511" spans="1:9" x14ac:dyDescent="0.3">
      <c r="A511" s="1" t="s">
        <v>307</v>
      </c>
      <c r="B511" s="6"/>
      <c r="C511" s="1">
        <v>-1</v>
      </c>
      <c r="D511" s="105">
        <v>45990</v>
      </c>
      <c r="E511" s="105">
        <f t="shared" si="22"/>
        <v>46030</v>
      </c>
      <c r="F511" s="105">
        <v>46029</v>
      </c>
      <c r="G511" s="2">
        <f t="shared" si="21"/>
        <v>46030</v>
      </c>
      <c r="H511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45989</v>
      </c>
      <c r="I511" s="95" t="s">
        <v>556</v>
      </c>
    </row>
    <row r="512" spans="1:9" x14ac:dyDescent="0.3">
      <c r="A512" s="1" t="s">
        <v>307</v>
      </c>
      <c r="B512" s="6"/>
      <c r="C512" s="1">
        <v>-1</v>
      </c>
      <c r="D512" s="105">
        <v>45990</v>
      </c>
      <c r="E512" s="105">
        <f t="shared" si="22"/>
        <v>46022</v>
      </c>
      <c r="F512" s="105">
        <v>46021</v>
      </c>
      <c r="G512" s="2">
        <f t="shared" si="21"/>
        <v>46022</v>
      </c>
      <c r="H512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45989</v>
      </c>
      <c r="I512" s="95" t="s">
        <v>556</v>
      </c>
    </row>
    <row r="513" spans="1:9" x14ac:dyDescent="0.3">
      <c r="A513" s="1" t="s">
        <v>307</v>
      </c>
      <c r="B513" s="6"/>
      <c r="C513" s="1">
        <v>-1</v>
      </c>
      <c r="D513" s="105">
        <v>46031</v>
      </c>
      <c r="E513" s="105">
        <f t="shared" si="22"/>
        <v>46033</v>
      </c>
      <c r="F513" s="105">
        <v>46032</v>
      </c>
      <c r="G513" s="2">
        <f t="shared" si="21"/>
        <v>46033</v>
      </c>
      <c r="H513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45989</v>
      </c>
      <c r="I513" s="95" t="s">
        <v>556</v>
      </c>
    </row>
    <row r="514" spans="1:9" x14ac:dyDescent="0.3">
      <c r="A514" s="1" t="s">
        <v>101</v>
      </c>
      <c r="B514" s="6"/>
      <c r="C514" s="1">
        <v>-1</v>
      </c>
      <c r="D514" s="105">
        <v>45999</v>
      </c>
      <c r="E514" s="105">
        <f t="shared" si="22"/>
        <v>46001</v>
      </c>
      <c r="F514" s="105">
        <v>46000</v>
      </c>
      <c r="G514" s="2">
        <f t="shared" si="21"/>
        <v>46001</v>
      </c>
      <c r="H514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45989</v>
      </c>
      <c r="I514" s="95" t="s">
        <v>557</v>
      </c>
    </row>
    <row r="515" spans="1:9" x14ac:dyDescent="0.3">
      <c r="A515" s="1" t="s">
        <v>92</v>
      </c>
      <c r="B515" s="6"/>
      <c r="C515" s="1">
        <v>-1</v>
      </c>
      <c r="D515" s="105">
        <v>46114</v>
      </c>
      <c r="E515" s="105">
        <f t="shared" si="22"/>
        <v>46123</v>
      </c>
      <c r="F515" s="105">
        <v>46122</v>
      </c>
      <c r="G515" s="2">
        <f t="shared" si="21"/>
        <v>46123</v>
      </c>
      <c r="H515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45989</v>
      </c>
      <c r="I515" s="95" t="s">
        <v>558</v>
      </c>
    </row>
    <row r="516" spans="1:9" x14ac:dyDescent="0.3">
      <c r="A516" s="1" t="s">
        <v>125</v>
      </c>
      <c r="B516" s="6"/>
      <c r="C516" s="1">
        <v>-1</v>
      </c>
      <c r="D516" s="105">
        <v>46000</v>
      </c>
      <c r="E516" s="105">
        <f t="shared" si="22"/>
        <v>46001</v>
      </c>
      <c r="F516" s="105">
        <v>46000</v>
      </c>
      <c r="G516" s="2">
        <f t="shared" si="21"/>
        <v>46001</v>
      </c>
      <c r="H516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45989</v>
      </c>
      <c r="I516" s="95" t="s">
        <v>559</v>
      </c>
    </row>
    <row r="517" spans="1:9" x14ac:dyDescent="0.3">
      <c r="A517" s="1" t="s">
        <v>125</v>
      </c>
      <c r="B517" s="6"/>
      <c r="C517" s="1">
        <v>-1</v>
      </c>
      <c r="D517" s="105">
        <v>46012</v>
      </c>
      <c r="E517" s="105">
        <f t="shared" si="22"/>
        <v>46015</v>
      </c>
      <c r="F517" s="105">
        <v>46014</v>
      </c>
      <c r="G517" s="2">
        <f t="shared" si="21"/>
        <v>46015</v>
      </c>
      <c r="H517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45989</v>
      </c>
      <c r="I517" s="95" t="s">
        <v>560</v>
      </c>
    </row>
    <row r="518" spans="1:9" x14ac:dyDescent="0.3">
      <c r="A518" s="1" t="s">
        <v>119</v>
      </c>
      <c r="B518" s="6"/>
      <c r="C518" s="1">
        <v>-1</v>
      </c>
      <c r="D518" s="105">
        <v>45996</v>
      </c>
      <c r="E518" s="105">
        <f t="shared" si="22"/>
        <v>45998</v>
      </c>
      <c r="F518" s="105">
        <v>45997</v>
      </c>
      <c r="G518" s="2">
        <f t="shared" si="21"/>
        <v>45998</v>
      </c>
      <c r="H518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45989</v>
      </c>
      <c r="I518" s="95" t="s">
        <v>561</v>
      </c>
    </row>
    <row r="519" spans="1:9" x14ac:dyDescent="0.3">
      <c r="A519" s="1" t="s">
        <v>119</v>
      </c>
      <c r="B519" s="6"/>
      <c r="C519" s="1">
        <v>-1</v>
      </c>
      <c r="D519" s="105">
        <v>46009</v>
      </c>
      <c r="E519" s="105">
        <f t="shared" si="22"/>
        <v>46013</v>
      </c>
      <c r="F519" s="105">
        <v>46012</v>
      </c>
      <c r="G519" s="2">
        <f t="shared" si="21"/>
        <v>46013</v>
      </c>
      <c r="H519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45989</v>
      </c>
      <c r="I519" s="95" t="s">
        <v>561</v>
      </c>
    </row>
    <row r="520" spans="1:9" x14ac:dyDescent="0.3">
      <c r="A520" s="1" t="s">
        <v>119</v>
      </c>
      <c r="B520" s="6"/>
      <c r="C520" s="1">
        <v>-1</v>
      </c>
      <c r="D520" s="105">
        <v>46018</v>
      </c>
      <c r="E520" s="105">
        <f t="shared" si="22"/>
        <v>46028</v>
      </c>
      <c r="F520" s="105">
        <v>46027</v>
      </c>
      <c r="G520" s="2">
        <f t="shared" si="21"/>
        <v>46028</v>
      </c>
      <c r="H520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45989</v>
      </c>
      <c r="I520" s="95" t="s">
        <v>561</v>
      </c>
    </row>
    <row r="521" spans="1:9" x14ac:dyDescent="0.3">
      <c r="A521" s="1" t="s">
        <v>122</v>
      </c>
      <c r="B521" s="6"/>
      <c r="C521" s="1">
        <v>-1</v>
      </c>
      <c r="D521" s="105">
        <v>46022</v>
      </c>
      <c r="E521" s="105">
        <f t="shared" si="22"/>
        <v>46026</v>
      </c>
      <c r="F521" s="105">
        <v>46025</v>
      </c>
      <c r="G521" s="2">
        <f t="shared" si="21"/>
        <v>46026</v>
      </c>
      <c r="H521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45989</v>
      </c>
      <c r="I521" s="95" t="s">
        <v>562</v>
      </c>
    </row>
    <row r="522" spans="1:9" x14ac:dyDescent="0.3">
      <c r="A522" s="1" t="s">
        <v>160</v>
      </c>
      <c r="B522" s="6"/>
      <c r="C522" s="1">
        <v>-1</v>
      </c>
      <c r="D522" s="105">
        <v>46013</v>
      </c>
      <c r="E522" s="105">
        <f t="shared" si="22"/>
        <v>46014</v>
      </c>
      <c r="F522" s="105">
        <v>46013</v>
      </c>
      <c r="G522" s="2">
        <f t="shared" si="21"/>
        <v>46014</v>
      </c>
      <c r="H522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45990</v>
      </c>
      <c r="I522" s="95" t="s">
        <v>563</v>
      </c>
    </row>
    <row r="523" spans="1:9" x14ac:dyDescent="0.3">
      <c r="A523" s="1" t="s">
        <v>93</v>
      </c>
      <c r="B523" s="6"/>
      <c r="C523" s="1">
        <v>-1</v>
      </c>
      <c r="D523" s="105">
        <v>45992</v>
      </c>
      <c r="E523" s="105">
        <f t="shared" si="22"/>
        <v>45999</v>
      </c>
      <c r="F523" s="105">
        <v>45998</v>
      </c>
      <c r="G523" s="2">
        <f t="shared" si="21"/>
        <v>45999</v>
      </c>
      <c r="H523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45990</v>
      </c>
      <c r="I523" s="95" t="s">
        <v>564</v>
      </c>
    </row>
    <row r="524" spans="1:9" x14ac:dyDescent="0.3">
      <c r="A524" s="1" t="s">
        <v>93</v>
      </c>
      <c r="B524" s="6"/>
      <c r="C524" s="1">
        <v>-1</v>
      </c>
      <c r="D524" s="105">
        <v>46005</v>
      </c>
      <c r="E524" s="105">
        <f t="shared" si="22"/>
        <v>46012</v>
      </c>
      <c r="F524" s="105">
        <v>46011</v>
      </c>
      <c r="G524" s="2">
        <f t="shared" si="21"/>
        <v>46012</v>
      </c>
      <c r="H524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45990</v>
      </c>
      <c r="I524" s="95" t="s">
        <v>564</v>
      </c>
    </row>
    <row r="525" spans="1:9" x14ac:dyDescent="0.3">
      <c r="A525" s="1" t="s">
        <v>67</v>
      </c>
      <c r="B525" s="6"/>
      <c r="C525" s="1">
        <v>-1</v>
      </c>
      <c r="D525" s="105">
        <v>45996</v>
      </c>
      <c r="E525" s="105">
        <f t="shared" si="22"/>
        <v>45997</v>
      </c>
      <c r="F525" s="105">
        <v>45996</v>
      </c>
      <c r="G525" s="2">
        <f t="shared" si="21"/>
        <v>45997</v>
      </c>
      <c r="H525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45990</v>
      </c>
      <c r="I525" s="95" t="s">
        <v>565</v>
      </c>
    </row>
    <row r="526" spans="1:9" x14ac:dyDescent="0.3">
      <c r="A526" s="1" t="s">
        <v>126</v>
      </c>
      <c r="B526" s="6"/>
      <c r="C526" s="1">
        <v>-1</v>
      </c>
      <c r="D526" s="105">
        <v>46006</v>
      </c>
      <c r="E526" s="105">
        <f t="shared" si="22"/>
        <v>46007</v>
      </c>
      <c r="F526" s="105">
        <v>46006</v>
      </c>
      <c r="G526" s="2">
        <f t="shared" si="21"/>
        <v>46007</v>
      </c>
      <c r="H526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45990</v>
      </c>
      <c r="I526" s="95" t="s">
        <v>566</v>
      </c>
    </row>
    <row r="527" spans="1:9" x14ac:dyDescent="0.3">
      <c r="A527" s="1" t="s">
        <v>126</v>
      </c>
      <c r="B527" s="6"/>
      <c r="C527" s="1">
        <v>-1</v>
      </c>
      <c r="D527" s="105">
        <v>46033</v>
      </c>
      <c r="E527" s="105">
        <f t="shared" si="22"/>
        <v>46034</v>
      </c>
      <c r="F527" s="105">
        <v>46033</v>
      </c>
      <c r="G527" s="2">
        <f t="shared" si="21"/>
        <v>46034</v>
      </c>
      <c r="H527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45990</v>
      </c>
      <c r="I527" s="95" t="s">
        <v>567</v>
      </c>
    </row>
    <row r="528" spans="1:9" x14ac:dyDescent="0.3">
      <c r="A528" s="1" t="s">
        <v>528</v>
      </c>
      <c r="B528" s="6"/>
      <c r="C528" s="1">
        <v>-1</v>
      </c>
      <c r="D528" s="105">
        <v>45992</v>
      </c>
      <c r="E528" s="105">
        <f t="shared" si="22"/>
        <v>45965</v>
      </c>
      <c r="F528" s="105">
        <v>45964</v>
      </c>
      <c r="G528" s="2">
        <f t="shared" si="21"/>
        <v>45965</v>
      </c>
      <c r="H528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45990</v>
      </c>
      <c r="I528" s="95" t="s">
        <v>568</v>
      </c>
    </row>
    <row r="529" spans="1:9" x14ac:dyDescent="0.3">
      <c r="A529" s="1" t="s">
        <v>528</v>
      </c>
      <c r="B529" s="6"/>
      <c r="C529" s="1">
        <v>-1</v>
      </c>
      <c r="D529" s="105">
        <v>46015</v>
      </c>
      <c r="E529" s="105">
        <f t="shared" si="22"/>
        <v>46019</v>
      </c>
      <c r="F529" s="105">
        <v>46018</v>
      </c>
      <c r="G529" s="2">
        <f t="shared" si="21"/>
        <v>46019</v>
      </c>
      <c r="H529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45990</v>
      </c>
      <c r="I529" s="95" t="s">
        <v>569</v>
      </c>
    </row>
    <row r="530" spans="1:9" x14ac:dyDescent="0.3">
      <c r="A530" s="1" t="s">
        <v>123</v>
      </c>
      <c r="B530" s="6"/>
      <c r="C530" s="1">
        <v>-1</v>
      </c>
      <c r="D530" s="105">
        <v>46020</v>
      </c>
      <c r="E530" s="105">
        <f t="shared" si="22"/>
        <v>46021</v>
      </c>
      <c r="F530" s="105">
        <v>46020</v>
      </c>
      <c r="G530" s="2">
        <f t="shared" si="21"/>
        <v>46021</v>
      </c>
      <c r="H530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45990</v>
      </c>
      <c r="I530" s="95" t="s">
        <v>570</v>
      </c>
    </row>
    <row r="531" spans="1:9" x14ac:dyDescent="0.3">
      <c r="A531" s="1" t="s">
        <v>308</v>
      </c>
      <c r="B531" s="6"/>
      <c r="C531" s="1">
        <v>-1</v>
      </c>
      <c r="D531" s="105">
        <v>45992</v>
      </c>
      <c r="E531" s="105">
        <f t="shared" si="22"/>
        <v>45999</v>
      </c>
      <c r="F531" s="105">
        <v>45998</v>
      </c>
      <c r="G531" s="2">
        <f t="shared" si="21"/>
        <v>45999</v>
      </c>
      <c r="H531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45990</v>
      </c>
      <c r="I531" s="95" t="s">
        <v>571</v>
      </c>
    </row>
    <row r="532" spans="1:9" x14ac:dyDescent="0.3">
      <c r="A532" s="1" t="s">
        <v>108</v>
      </c>
      <c r="B532" s="6"/>
      <c r="C532" s="1">
        <v>-1</v>
      </c>
      <c r="D532" s="105">
        <v>46018</v>
      </c>
      <c r="E532" s="105">
        <f t="shared" si="22"/>
        <v>46025</v>
      </c>
      <c r="F532" s="105">
        <v>46024</v>
      </c>
      <c r="G532" s="2">
        <f t="shared" si="21"/>
        <v>46025</v>
      </c>
      <c r="H532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45990</v>
      </c>
      <c r="I532" s="95" t="s">
        <v>572</v>
      </c>
    </row>
    <row r="533" spans="1:9" x14ac:dyDescent="0.3">
      <c r="A533" s="1" t="s">
        <v>308</v>
      </c>
      <c r="B533" s="6"/>
      <c r="C533" s="1">
        <v>-1</v>
      </c>
      <c r="D533" s="105">
        <v>46018</v>
      </c>
      <c r="E533" s="105">
        <f t="shared" si="22"/>
        <v>46025</v>
      </c>
      <c r="F533" s="105">
        <v>46024</v>
      </c>
      <c r="G533" s="2">
        <f t="shared" si="21"/>
        <v>46025</v>
      </c>
      <c r="H533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45990</v>
      </c>
      <c r="I533" s="95" t="s">
        <v>572</v>
      </c>
    </row>
    <row r="534" spans="1:9" x14ac:dyDescent="0.3">
      <c r="A534" s="1" t="s">
        <v>308</v>
      </c>
      <c r="B534" s="6"/>
      <c r="C534" s="1">
        <v>-1</v>
      </c>
      <c r="D534" s="105">
        <v>45992</v>
      </c>
      <c r="E534" s="105">
        <f t="shared" si="22"/>
        <v>45969</v>
      </c>
      <c r="F534" s="105">
        <v>45968</v>
      </c>
      <c r="G534" s="2">
        <f t="shared" si="21"/>
        <v>45969</v>
      </c>
      <c r="H534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45990</v>
      </c>
      <c r="I534" s="95" t="s">
        <v>572</v>
      </c>
    </row>
    <row r="535" spans="1:9" x14ac:dyDescent="0.3">
      <c r="A535" s="1" t="s">
        <v>148</v>
      </c>
      <c r="B535" s="6"/>
      <c r="C535" s="1">
        <v>-1</v>
      </c>
      <c r="D535" s="105">
        <v>45999</v>
      </c>
      <c r="E535" s="105">
        <f t="shared" si="22"/>
        <v>46002</v>
      </c>
      <c r="F535" s="105">
        <v>46001</v>
      </c>
      <c r="G535" s="2">
        <f t="shared" si="21"/>
        <v>46002</v>
      </c>
      <c r="H535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45990</v>
      </c>
      <c r="I535" s="95" t="s">
        <v>573</v>
      </c>
    </row>
    <row r="536" spans="1:9" x14ac:dyDescent="0.3">
      <c r="A536" s="1" t="s">
        <v>92</v>
      </c>
      <c r="B536" s="6"/>
      <c r="C536" s="1">
        <v>-1</v>
      </c>
      <c r="D536" s="105">
        <v>45999</v>
      </c>
      <c r="E536" s="105">
        <f t="shared" si="22"/>
        <v>46000</v>
      </c>
      <c r="F536" s="105">
        <v>45999</v>
      </c>
      <c r="G536" s="2">
        <f t="shared" si="21"/>
        <v>46000</v>
      </c>
      <c r="H536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45990</v>
      </c>
      <c r="I536" s="95" t="s">
        <v>574</v>
      </c>
    </row>
    <row r="537" spans="1:9" x14ac:dyDescent="0.3">
      <c r="A537" s="1" t="s">
        <v>113</v>
      </c>
      <c r="B537" s="6"/>
      <c r="C537" s="1">
        <v>-1</v>
      </c>
      <c r="D537" s="105">
        <v>46021</v>
      </c>
      <c r="E537" s="105">
        <f t="shared" si="22"/>
        <v>46030</v>
      </c>
      <c r="F537" s="105">
        <v>46029</v>
      </c>
      <c r="G537" s="2">
        <f t="shared" si="21"/>
        <v>46030</v>
      </c>
      <c r="H537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45991</v>
      </c>
      <c r="I537" s="95" t="s">
        <v>575</v>
      </c>
    </row>
    <row r="538" spans="1:9" x14ac:dyDescent="0.3">
      <c r="A538" s="1" t="s">
        <v>113</v>
      </c>
      <c r="B538" s="6"/>
      <c r="C538" s="1">
        <v>-1</v>
      </c>
      <c r="D538" s="105">
        <v>46023</v>
      </c>
      <c r="E538" s="105">
        <f t="shared" si="22"/>
        <v>46028</v>
      </c>
      <c r="F538" s="105">
        <v>46027</v>
      </c>
      <c r="G538" s="2">
        <f t="shared" si="21"/>
        <v>46028</v>
      </c>
      <c r="H538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45991</v>
      </c>
      <c r="I538" s="95" t="s">
        <v>575</v>
      </c>
    </row>
    <row r="539" spans="1:9" x14ac:dyDescent="0.3">
      <c r="A539" s="1" t="s">
        <v>113</v>
      </c>
      <c r="B539" s="6"/>
      <c r="C539" s="1">
        <v>-1</v>
      </c>
      <c r="D539" s="105">
        <v>46018</v>
      </c>
      <c r="E539" s="105">
        <f t="shared" si="22"/>
        <v>46021</v>
      </c>
      <c r="F539" s="105">
        <v>46020</v>
      </c>
      <c r="G539" s="2">
        <f t="shared" si="21"/>
        <v>46021</v>
      </c>
      <c r="H539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45991</v>
      </c>
      <c r="I539" s="95" t="s">
        <v>575</v>
      </c>
    </row>
    <row r="540" spans="1:9" x14ac:dyDescent="0.3">
      <c r="A540" s="1" t="s">
        <v>117</v>
      </c>
      <c r="B540" s="6"/>
      <c r="C540" s="1">
        <v>-1</v>
      </c>
      <c r="D540" s="105">
        <v>46004</v>
      </c>
      <c r="E540" s="105">
        <f t="shared" si="22"/>
        <v>46006</v>
      </c>
      <c r="F540" s="105">
        <v>46005</v>
      </c>
      <c r="G540" s="2">
        <f t="shared" si="21"/>
        <v>46006</v>
      </c>
      <c r="H540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45991</v>
      </c>
      <c r="I540" s="95" t="s">
        <v>576</v>
      </c>
    </row>
    <row r="541" spans="1:9" x14ac:dyDescent="0.3">
      <c r="A541" s="1" t="s">
        <v>117</v>
      </c>
      <c r="B541" s="6"/>
      <c r="C541" s="1">
        <v>-1</v>
      </c>
      <c r="D541" s="105">
        <v>46010</v>
      </c>
      <c r="E541" s="105">
        <f t="shared" si="22"/>
        <v>46012</v>
      </c>
      <c r="F541" s="105">
        <v>46011</v>
      </c>
      <c r="G541" s="2">
        <f t="shared" si="21"/>
        <v>46012</v>
      </c>
      <c r="H541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45991</v>
      </c>
      <c r="I541" s="95" t="s">
        <v>576</v>
      </c>
    </row>
    <row r="542" spans="1:9" x14ac:dyDescent="0.3">
      <c r="A542" s="1" t="s">
        <v>117</v>
      </c>
      <c r="B542" s="6"/>
      <c r="C542" s="1">
        <v>-1</v>
      </c>
      <c r="D542" s="105">
        <v>46023</v>
      </c>
      <c r="E542" s="105">
        <f t="shared" si="22"/>
        <v>46025</v>
      </c>
      <c r="F542" s="105">
        <v>46024</v>
      </c>
      <c r="G542" s="2">
        <f t="shared" si="21"/>
        <v>46025</v>
      </c>
      <c r="H542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45991</v>
      </c>
      <c r="I542" s="95" t="s">
        <v>576</v>
      </c>
    </row>
    <row r="543" spans="1:9" x14ac:dyDescent="0.3">
      <c r="A543" s="1" t="s">
        <v>117</v>
      </c>
      <c r="B543" s="6"/>
      <c r="C543" s="1">
        <v>-1</v>
      </c>
      <c r="D543" s="105">
        <v>46012</v>
      </c>
      <c r="E543" s="105">
        <f t="shared" si="22"/>
        <v>46013</v>
      </c>
      <c r="F543" s="105">
        <v>46012</v>
      </c>
      <c r="G543" s="2">
        <f t="shared" si="21"/>
        <v>46013</v>
      </c>
      <c r="H543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45991</v>
      </c>
      <c r="I543" s="95" t="s">
        <v>576</v>
      </c>
    </row>
    <row r="544" spans="1:9" x14ac:dyDescent="0.3">
      <c r="A544" s="1" t="s">
        <v>117</v>
      </c>
      <c r="B544" s="6"/>
      <c r="C544" s="1">
        <v>-1</v>
      </c>
      <c r="D544" s="105">
        <v>46030</v>
      </c>
      <c r="E544" s="105">
        <f t="shared" si="22"/>
        <v>46031</v>
      </c>
      <c r="F544" s="105">
        <v>46030</v>
      </c>
      <c r="G544" s="2">
        <f t="shared" si="21"/>
        <v>46031</v>
      </c>
      <c r="H544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45991</v>
      </c>
      <c r="I544" s="95" t="s">
        <v>576</v>
      </c>
    </row>
    <row r="545" spans="1:9" x14ac:dyDescent="0.3">
      <c r="A545" s="1" t="s">
        <v>117</v>
      </c>
      <c r="B545" s="6"/>
      <c r="C545" s="1">
        <v>-1</v>
      </c>
      <c r="D545" s="105">
        <v>46046</v>
      </c>
      <c r="E545" s="105">
        <f t="shared" si="22"/>
        <v>46047</v>
      </c>
      <c r="F545" s="105">
        <v>46046</v>
      </c>
      <c r="G545" s="2">
        <f t="shared" si="21"/>
        <v>46047</v>
      </c>
      <c r="H545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45991</v>
      </c>
      <c r="I545" s="95" t="s">
        <v>576</v>
      </c>
    </row>
    <row r="546" spans="1:9" x14ac:dyDescent="0.3">
      <c r="A546" s="1" t="s">
        <v>117</v>
      </c>
      <c r="B546" s="6"/>
      <c r="C546" s="1">
        <v>-1</v>
      </c>
      <c r="D546" s="105">
        <v>46047</v>
      </c>
      <c r="E546" s="105">
        <f t="shared" si="22"/>
        <v>46048</v>
      </c>
      <c r="F546" s="105">
        <v>46047</v>
      </c>
      <c r="G546" s="2">
        <f t="shared" si="21"/>
        <v>46048</v>
      </c>
      <c r="H546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45991</v>
      </c>
      <c r="I546" s="95" t="s">
        <v>576</v>
      </c>
    </row>
    <row r="547" spans="1:9" x14ac:dyDescent="0.3">
      <c r="A547" s="1" t="s">
        <v>122</v>
      </c>
      <c r="B547" s="6"/>
      <c r="C547" s="1">
        <v>-1</v>
      </c>
      <c r="D547" s="105">
        <v>46003</v>
      </c>
      <c r="E547" s="105">
        <f t="shared" si="22"/>
        <v>46010</v>
      </c>
      <c r="F547" s="105">
        <v>46009</v>
      </c>
      <c r="G547" s="2">
        <f t="shared" si="21"/>
        <v>46010</v>
      </c>
      <c r="H547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45991</v>
      </c>
      <c r="I547" s="95" t="s">
        <v>577</v>
      </c>
    </row>
    <row r="548" spans="1:9" x14ac:dyDescent="0.3">
      <c r="A548" s="1" t="s">
        <v>123</v>
      </c>
      <c r="B548" s="6"/>
      <c r="C548" s="1">
        <v>-1</v>
      </c>
      <c r="D548" s="105">
        <v>45997</v>
      </c>
      <c r="E548" s="105">
        <f t="shared" si="22"/>
        <v>46000</v>
      </c>
      <c r="F548" s="105">
        <v>45999</v>
      </c>
      <c r="G548" s="2">
        <f t="shared" ref="G548:G611" si="23">F548+1</f>
        <v>46000</v>
      </c>
      <c r="H548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45991</v>
      </c>
      <c r="I548" s="95" t="s">
        <v>578</v>
      </c>
    </row>
    <row r="549" spans="1:9" x14ac:dyDescent="0.3">
      <c r="A549" s="1" t="s">
        <v>123</v>
      </c>
      <c r="B549" s="6"/>
      <c r="C549" s="1">
        <v>-1</v>
      </c>
      <c r="D549" s="105">
        <v>46037</v>
      </c>
      <c r="E549" s="105">
        <f t="shared" si="22"/>
        <v>46039</v>
      </c>
      <c r="F549" s="105">
        <v>46038</v>
      </c>
      <c r="G549" s="2">
        <f t="shared" si="23"/>
        <v>46039</v>
      </c>
      <c r="H549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45991</v>
      </c>
      <c r="I549" s="95" t="s">
        <v>578</v>
      </c>
    </row>
    <row r="550" spans="1:9" x14ac:dyDescent="0.3">
      <c r="A550" s="1" t="s">
        <v>123</v>
      </c>
      <c r="B550" s="6"/>
      <c r="C550" s="1">
        <v>-1</v>
      </c>
      <c r="D550" s="105">
        <v>46001</v>
      </c>
      <c r="E550" s="105">
        <f t="shared" si="22"/>
        <v>46002</v>
      </c>
      <c r="F550" s="105">
        <v>46001</v>
      </c>
      <c r="G550" s="2">
        <f t="shared" si="23"/>
        <v>46002</v>
      </c>
      <c r="H550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45991</v>
      </c>
      <c r="I550" s="95" t="s">
        <v>578</v>
      </c>
    </row>
    <row r="551" spans="1:9" x14ac:dyDescent="0.3">
      <c r="A551" s="1" t="s">
        <v>123</v>
      </c>
      <c r="B551" s="6"/>
      <c r="C551" s="1">
        <v>-1</v>
      </c>
      <c r="D551" s="105">
        <v>46026</v>
      </c>
      <c r="E551" s="105">
        <f t="shared" si="22"/>
        <v>46029</v>
      </c>
      <c r="F551" s="105">
        <v>46028</v>
      </c>
      <c r="G551" s="2">
        <f t="shared" si="23"/>
        <v>46029</v>
      </c>
      <c r="H551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45991</v>
      </c>
      <c r="I551" s="95" t="s">
        <v>578</v>
      </c>
    </row>
    <row r="552" spans="1:9" x14ac:dyDescent="0.3">
      <c r="A552" s="1" t="s">
        <v>123</v>
      </c>
      <c r="B552" s="6"/>
      <c r="C552" s="1">
        <v>-1</v>
      </c>
      <c r="D552" s="105">
        <v>46037</v>
      </c>
      <c r="E552" s="105">
        <f t="shared" si="22"/>
        <v>46038</v>
      </c>
      <c r="F552" s="105">
        <v>46037</v>
      </c>
      <c r="G552" s="2">
        <f t="shared" si="23"/>
        <v>46038</v>
      </c>
      <c r="H552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45991</v>
      </c>
      <c r="I552" s="95" t="s">
        <v>578</v>
      </c>
    </row>
    <row r="553" spans="1:9" x14ac:dyDescent="0.3">
      <c r="A553" s="1" t="s">
        <v>123</v>
      </c>
      <c r="B553" s="6"/>
      <c r="C553" s="1">
        <v>-1</v>
      </c>
      <c r="D553" s="105">
        <v>46005</v>
      </c>
      <c r="E553" s="105">
        <f t="shared" si="22"/>
        <v>46006</v>
      </c>
      <c r="F553" s="105">
        <v>46005</v>
      </c>
      <c r="G553" s="2">
        <f t="shared" si="23"/>
        <v>46006</v>
      </c>
      <c r="H553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45991</v>
      </c>
      <c r="I553" s="95" t="s">
        <v>578</v>
      </c>
    </row>
    <row r="554" spans="1:9" x14ac:dyDescent="0.3">
      <c r="A554" s="1" t="s">
        <v>123</v>
      </c>
      <c r="B554" s="6"/>
      <c r="C554" s="1">
        <v>-1</v>
      </c>
      <c r="D554" s="105">
        <v>46008</v>
      </c>
      <c r="E554" s="105">
        <f t="shared" si="22"/>
        <v>46011</v>
      </c>
      <c r="F554" s="105">
        <v>46010</v>
      </c>
      <c r="G554" s="2">
        <f t="shared" si="23"/>
        <v>46011</v>
      </c>
      <c r="H554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45991</v>
      </c>
      <c r="I554" s="95" t="s">
        <v>578</v>
      </c>
    </row>
    <row r="555" spans="1:9" x14ac:dyDescent="0.3">
      <c r="A555" s="1" t="s">
        <v>123</v>
      </c>
      <c r="B555" s="6"/>
      <c r="C555" s="1">
        <v>-1</v>
      </c>
      <c r="D555" s="105">
        <v>46014</v>
      </c>
      <c r="E555" s="105">
        <f t="shared" si="22"/>
        <v>46016</v>
      </c>
      <c r="F555" s="105">
        <v>46015</v>
      </c>
      <c r="G555" s="2">
        <f t="shared" si="23"/>
        <v>46016</v>
      </c>
      <c r="H555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45991</v>
      </c>
      <c r="I555" s="95" t="s">
        <v>578</v>
      </c>
    </row>
    <row r="556" spans="1:9" x14ac:dyDescent="0.3">
      <c r="A556" s="1" t="s">
        <v>123</v>
      </c>
      <c r="B556" s="6"/>
      <c r="C556" s="1">
        <v>-1</v>
      </c>
      <c r="D556" s="105">
        <v>46025</v>
      </c>
      <c r="E556" s="105">
        <f t="shared" si="22"/>
        <v>46026</v>
      </c>
      <c r="F556" s="105">
        <v>46025</v>
      </c>
      <c r="G556" s="2">
        <f t="shared" si="23"/>
        <v>46026</v>
      </c>
      <c r="H556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45991</v>
      </c>
      <c r="I556" s="95" t="s">
        <v>578</v>
      </c>
    </row>
    <row r="557" spans="1:9" x14ac:dyDescent="0.3">
      <c r="A557" s="1" t="s">
        <v>160</v>
      </c>
      <c r="B557" s="6"/>
      <c r="C557" s="1">
        <v>-1</v>
      </c>
      <c r="D557" s="105">
        <v>46010</v>
      </c>
      <c r="E557" s="105">
        <f t="shared" si="22"/>
        <v>46013</v>
      </c>
      <c r="F557" s="105">
        <v>46012</v>
      </c>
      <c r="G557" s="2">
        <f t="shared" si="23"/>
        <v>46013</v>
      </c>
      <c r="H557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45992</v>
      </c>
      <c r="I557" s="95" t="s">
        <v>579</v>
      </c>
    </row>
    <row r="558" spans="1:9" x14ac:dyDescent="0.3">
      <c r="A558" s="1" t="s">
        <v>82</v>
      </c>
      <c r="B558" s="6"/>
      <c r="C558" s="1">
        <v>-1</v>
      </c>
      <c r="D558" s="105">
        <v>46018</v>
      </c>
      <c r="E558" s="105">
        <f t="shared" si="22"/>
        <v>46021</v>
      </c>
      <c r="F558" s="105">
        <v>46020</v>
      </c>
      <c r="G558" s="2">
        <f t="shared" si="23"/>
        <v>46021</v>
      </c>
      <c r="H558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45992</v>
      </c>
      <c r="I558" s="95" t="s">
        <v>580</v>
      </c>
    </row>
    <row r="559" spans="1:9" x14ac:dyDescent="0.3">
      <c r="A559" s="1" t="s">
        <v>110</v>
      </c>
      <c r="B559" s="6"/>
      <c r="C559" s="1">
        <v>-1</v>
      </c>
      <c r="D559" s="105">
        <v>45997</v>
      </c>
      <c r="E559" s="105">
        <f t="shared" si="22"/>
        <v>45998</v>
      </c>
      <c r="F559" s="105">
        <v>45997</v>
      </c>
      <c r="G559" s="2">
        <f t="shared" si="23"/>
        <v>45998</v>
      </c>
      <c r="H559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45991</v>
      </c>
      <c r="I559" s="95" t="s">
        <v>581</v>
      </c>
    </row>
    <row r="560" spans="1:9" x14ac:dyDescent="0.3">
      <c r="A560" s="1" t="s">
        <v>125</v>
      </c>
      <c r="B560" s="6"/>
      <c r="C560" s="1">
        <v>-1</v>
      </c>
      <c r="D560" s="105">
        <v>46010</v>
      </c>
      <c r="E560" s="105">
        <f t="shared" si="22"/>
        <v>46012</v>
      </c>
      <c r="F560" s="105">
        <v>46011</v>
      </c>
      <c r="G560" s="2">
        <f t="shared" si="23"/>
        <v>46012</v>
      </c>
      <c r="H560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45991</v>
      </c>
      <c r="I560" s="95" t="s">
        <v>582</v>
      </c>
    </row>
    <row r="561" spans="1:9" x14ac:dyDescent="0.3">
      <c r="A561" s="1" t="s">
        <v>125</v>
      </c>
      <c r="B561" s="6"/>
      <c r="C561" s="1">
        <v>-1</v>
      </c>
      <c r="D561" s="105">
        <v>46001</v>
      </c>
      <c r="E561" s="105">
        <f t="shared" si="22"/>
        <v>46003</v>
      </c>
      <c r="F561" s="105">
        <v>46002</v>
      </c>
      <c r="G561" s="2">
        <f t="shared" si="23"/>
        <v>46003</v>
      </c>
      <c r="H561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45991</v>
      </c>
      <c r="I561" s="95" t="s">
        <v>583</v>
      </c>
    </row>
    <row r="562" spans="1:9" x14ac:dyDescent="0.3">
      <c r="A562" s="1" t="s">
        <v>307</v>
      </c>
      <c r="B562" s="6"/>
      <c r="C562" s="1">
        <v>-1</v>
      </c>
      <c r="D562" s="105">
        <v>46002</v>
      </c>
      <c r="E562" s="105">
        <f t="shared" si="22"/>
        <v>46027</v>
      </c>
      <c r="F562" s="105">
        <v>46026</v>
      </c>
      <c r="G562" s="2">
        <f t="shared" si="23"/>
        <v>46027</v>
      </c>
      <c r="H562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45992</v>
      </c>
      <c r="I562" s="95" t="s">
        <v>584</v>
      </c>
    </row>
    <row r="563" spans="1:9" x14ac:dyDescent="0.3">
      <c r="A563" s="1" t="s">
        <v>307</v>
      </c>
      <c r="B563" s="6"/>
      <c r="C563" s="1">
        <v>-1</v>
      </c>
      <c r="D563" s="105">
        <v>45992</v>
      </c>
      <c r="E563" s="105">
        <f t="shared" si="22"/>
        <v>46041</v>
      </c>
      <c r="F563" s="105">
        <v>46040</v>
      </c>
      <c r="G563" s="2">
        <f t="shared" si="23"/>
        <v>46041</v>
      </c>
      <c r="H563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45992</v>
      </c>
      <c r="I563" s="95" t="s">
        <v>584</v>
      </c>
    </row>
    <row r="564" spans="1:9" x14ac:dyDescent="0.3">
      <c r="A564" s="1" t="s">
        <v>307</v>
      </c>
      <c r="B564" s="6"/>
      <c r="C564" s="1">
        <v>-1</v>
      </c>
      <c r="D564" s="105">
        <v>45992</v>
      </c>
      <c r="E564" s="105">
        <f t="shared" si="22"/>
        <v>46038</v>
      </c>
      <c r="F564" s="105">
        <v>46037</v>
      </c>
      <c r="G564" s="2">
        <f t="shared" si="23"/>
        <v>46038</v>
      </c>
      <c r="H564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45992</v>
      </c>
      <c r="I564" s="95" t="s">
        <v>584</v>
      </c>
    </row>
    <row r="565" spans="1:9" x14ac:dyDescent="0.3">
      <c r="A565" s="1" t="s">
        <v>307</v>
      </c>
      <c r="B565" s="6"/>
      <c r="C565" s="1">
        <v>-1</v>
      </c>
      <c r="D565" s="105">
        <v>46031</v>
      </c>
      <c r="E565" s="105">
        <f t="shared" si="22"/>
        <v>46033</v>
      </c>
      <c r="F565" s="105">
        <v>46032</v>
      </c>
      <c r="G565" s="2">
        <f t="shared" si="23"/>
        <v>46033</v>
      </c>
      <c r="H565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45992</v>
      </c>
      <c r="I565" s="95" t="s">
        <v>584</v>
      </c>
    </row>
    <row r="566" spans="1:9" x14ac:dyDescent="0.3">
      <c r="A566" s="1" t="s">
        <v>109</v>
      </c>
      <c r="B566" s="6"/>
      <c r="C566" s="1">
        <v>-1</v>
      </c>
      <c r="D566" s="105">
        <v>46018</v>
      </c>
      <c r="E566" s="105">
        <f t="shared" si="22"/>
        <v>46023</v>
      </c>
      <c r="F566" s="105">
        <v>46022</v>
      </c>
      <c r="G566" s="2">
        <f t="shared" si="23"/>
        <v>46023</v>
      </c>
      <c r="H566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45992</v>
      </c>
      <c r="I566" s="95" t="s">
        <v>585</v>
      </c>
    </row>
    <row r="567" spans="1:9" x14ac:dyDescent="0.3">
      <c r="A567" s="1" t="s">
        <v>109</v>
      </c>
      <c r="B567" s="6"/>
      <c r="C567" s="1">
        <v>-1</v>
      </c>
      <c r="D567" s="105">
        <v>46011</v>
      </c>
      <c r="E567" s="105">
        <f t="shared" si="22"/>
        <v>46018</v>
      </c>
      <c r="F567" s="105">
        <v>46017</v>
      </c>
      <c r="G567" s="2">
        <f t="shared" si="23"/>
        <v>46018</v>
      </c>
      <c r="H567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45992</v>
      </c>
      <c r="I567" s="95" t="s">
        <v>585</v>
      </c>
    </row>
    <row r="568" spans="1:9" x14ac:dyDescent="0.3">
      <c r="A568" s="1" t="s">
        <v>119</v>
      </c>
      <c r="B568" s="6"/>
      <c r="C568" s="1">
        <v>-1</v>
      </c>
      <c r="D568" s="105">
        <v>45996</v>
      </c>
      <c r="E568" s="105">
        <f t="shared" si="22"/>
        <v>45998</v>
      </c>
      <c r="F568" s="105">
        <v>45997</v>
      </c>
      <c r="G568" s="2">
        <f t="shared" si="23"/>
        <v>45998</v>
      </c>
      <c r="H568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45992</v>
      </c>
      <c r="I568" s="95" t="s">
        <v>585</v>
      </c>
    </row>
    <row r="569" spans="1:9" x14ac:dyDescent="0.3">
      <c r="A569" s="1" t="s">
        <v>119</v>
      </c>
      <c r="B569" s="6"/>
      <c r="C569" s="1">
        <v>-1</v>
      </c>
      <c r="D569" s="105">
        <v>45998</v>
      </c>
      <c r="E569" s="105">
        <f t="shared" si="22"/>
        <v>46009</v>
      </c>
      <c r="F569" s="105">
        <v>46008</v>
      </c>
      <c r="G569" s="2">
        <f t="shared" si="23"/>
        <v>46009</v>
      </c>
      <c r="H569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45992</v>
      </c>
      <c r="I569" s="95" t="s">
        <v>585</v>
      </c>
    </row>
    <row r="570" spans="1:9" x14ac:dyDescent="0.3">
      <c r="A570" s="1" t="s">
        <v>119</v>
      </c>
      <c r="B570" s="6"/>
      <c r="C570" s="1">
        <v>-1</v>
      </c>
      <c r="D570" s="105">
        <v>46009</v>
      </c>
      <c r="E570" s="105">
        <f t="shared" si="22"/>
        <v>46013</v>
      </c>
      <c r="F570" s="105">
        <v>46012</v>
      </c>
      <c r="G570" s="2">
        <f t="shared" si="23"/>
        <v>46013</v>
      </c>
      <c r="H570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45992</v>
      </c>
      <c r="I570" s="95" t="s">
        <v>585</v>
      </c>
    </row>
    <row r="571" spans="1:9" x14ac:dyDescent="0.3">
      <c r="A571" s="1" t="s">
        <v>119</v>
      </c>
      <c r="B571" s="6"/>
      <c r="C571" s="1">
        <v>-1</v>
      </c>
      <c r="D571" s="105">
        <v>46018</v>
      </c>
      <c r="E571" s="105">
        <f t="shared" ref="E571:E634" si="24">G571</f>
        <v>46028</v>
      </c>
      <c r="F571" s="105">
        <v>46027</v>
      </c>
      <c r="G571" s="2">
        <f t="shared" si="23"/>
        <v>46028</v>
      </c>
      <c r="H571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45992</v>
      </c>
      <c r="I571" s="95" t="s">
        <v>585</v>
      </c>
    </row>
    <row r="572" spans="1:9" x14ac:dyDescent="0.3">
      <c r="A572" s="1" t="s">
        <v>82</v>
      </c>
      <c r="B572" s="6"/>
      <c r="C572" s="1">
        <v>-1</v>
      </c>
      <c r="D572" s="105">
        <v>46021</v>
      </c>
      <c r="E572" s="105">
        <f t="shared" si="24"/>
        <v>46022</v>
      </c>
      <c r="F572" s="105">
        <v>46021</v>
      </c>
      <c r="G572" s="2">
        <f t="shared" si="23"/>
        <v>46022</v>
      </c>
      <c r="H572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45993</v>
      </c>
      <c r="I572" s="95" t="s">
        <v>586</v>
      </c>
    </row>
    <row r="573" spans="1:9" x14ac:dyDescent="0.3">
      <c r="A573" s="1" t="s">
        <v>140</v>
      </c>
      <c r="B573" s="6"/>
      <c r="C573" s="1">
        <v>-1</v>
      </c>
      <c r="D573" s="105">
        <v>46029</v>
      </c>
      <c r="E573" s="105">
        <f t="shared" si="24"/>
        <v>46032</v>
      </c>
      <c r="F573" s="105">
        <v>46031</v>
      </c>
      <c r="G573" s="2">
        <f t="shared" si="23"/>
        <v>46032</v>
      </c>
      <c r="H573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45993</v>
      </c>
      <c r="I573" s="95" t="s">
        <v>587</v>
      </c>
    </row>
    <row r="574" spans="1:9" x14ac:dyDescent="0.3">
      <c r="A574" s="1" t="s">
        <v>140</v>
      </c>
      <c r="B574" s="6"/>
      <c r="C574" s="1">
        <v>-1</v>
      </c>
      <c r="D574" s="105">
        <v>46067</v>
      </c>
      <c r="E574" s="105">
        <f t="shared" si="24"/>
        <v>46073</v>
      </c>
      <c r="F574" s="105">
        <v>46072</v>
      </c>
      <c r="G574" s="2">
        <f t="shared" si="23"/>
        <v>46073</v>
      </c>
      <c r="H574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45993</v>
      </c>
      <c r="I574" s="95" t="s">
        <v>587</v>
      </c>
    </row>
    <row r="575" spans="1:9" x14ac:dyDescent="0.3">
      <c r="A575" s="1" t="s">
        <v>140</v>
      </c>
      <c r="B575" s="6"/>
      <c r="C575" s="1">
        <v>-1</v>
      </c>
      <c r="D575" s="105">
        <v>46103</v>
      </c>
      <c r="E575" s="105">
        <f t="shared" si="24"/>
        <v>46106</v>
      </c>
      <c r="F575" s="105">
        <v>46105</v>
      </c>
      <c r="G575" s="2">
        <f t="shared" si="23"/>
        <v>46106</v>
      </c>
      <c r="H575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45993</v>
      </c>
      <c r="I575" s="95" t="s">
        <v>587</v>
      </c>
    </row>
    <row r="576" spans="1:9" x14ac:dyDescent="0.3">
      <c r="A576" s="1" t="s">
        <v>140</v>
      </c>
      <c r="B576" s="6"/>
      <c r="C576" s="1">
        <v>-1</v>
      </c>
      <c r="D576" s="105">
        <v>46134</v>
      </c>
      <c r="E576" s="105">
        <f t="shared" si="24"/>
        <v>46137</v>
      </c>
      <c r="F576" s="105">
        <v>46136</v>
      </c>
      <c r="G576" s="2">
        <f t="shared" si="23"/>
        <v>46137</v>
      </c>
      <c r="H576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45993</v>
      </c>
      <c r="I576" s="95" t="s">
        <v>587</v>
      </c>
    </row>
    <row r="577" spans="1:9" x14ac:dyDescent="0.3">
      <c r="A577" s="1" t="s">
        <v>140</v>
      </c>
      <c r="B577" s="6"/>
      <c r="C577" s="1">
        <v>-1</v>
      </c>
      <c r="D577" s="105">
        <v>46010</v>
      </c>
      <c r="E577" s="105">
        <f t="shared" si="24"/>
        <v>46014</v>
      </c>
      <c r="F577" s="105">
        <v>46013</v>
      </c>
      <c r="G577" s="2">
        <f t="shared" si="23"/>
        <v>46014</v>
      </c>
      <c r="H577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45993</v>
      </c>
      <c r="I577" s="95" t="s">
        <v>587</v>
      </c>
    </row>
    <row r="578" spans="1:9" x14ac:dyDescent="0.3">
      <c r="A578" s="1" t="s">
        <v>140</v>
      </c>
      <c r="B578" s="6"/>
      <c r="C578" s="1">
        <v>-1</v>
      </c>
      <c r="D578" s="105">
        <v>46024</v>
      </c>
      <c r="E578" s="105">
        <f t="shared" si="24"/>
        <v>46028</v>
      </c>
      <c r="F578" s="105">
        <v>46027</v>
      </c>
      <c r="G578" s="2">
        <f t="shared" si="23"/>
        <v>46028</v>
      </c>
      <c r="H578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45993</v>
      </c>
      <c r="I578" s="95" t="s">
        <v>587</v>
      </c>
    </row>
    <row r="579" spans="1:9" x14ac:dyDescent="0.3">
      <c r="A579" s="1" t="s">
        <v>140</v>
      </c>
      <c r="B579" s="6"/>
      <c r="C579" s="1">
        <v>-1</v>
      </c>
      <c r="D579" s="105">
        <v>46008</v>
      </c>
      <c r="E579" s="105">
        <f t="shared" si="24"/>
        <v>46014</v>
      </c>
      <c r="F579" s="105">
        <v>46013</v>
      </c>
      <c r="G579" s="2">
        <f t="shared" si="23"/>
        <v>46014</v>
      </c>
      <c r="H579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45993</v>
      </c>
      <c r="I579" s="95" t="s">
        <v>587</v>
      </c>
    </row>
    <row r="580" spans="1:9" x14ac:dyDescent="0.3">
      <c r="A580" s="1" t="s">
        <v>140</v>
      </c>
      <c r="B580" s="6"/>
      <c r="C580" s="1">
        <v>-1</v>
      </c>
      <c r="D580" s="105">
        <v>46023</v>
      </c>
      <c r="E580" s="105">
        <f t="shared" si="24"/>
        <v>46024</v>
      </c>
      <c r="F580" s="105">
        <v>46023</v>
      </c>
      <c r="G580" s="2">
        <f t="shared" si="23"/>
        <v>46024</v>
      </c>
      <c r="H580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45993</v>
      </c>
      <c r="I580" s="95" t="s">
        <v>587</v>
      </c>
    </row>
    <row r="581" spans="1:9" x14ac:dyDescent="0.3">
      <c r="A581" s="1" t="s">
        <v>308</v>
      </c>
      <c r="B581" s="6"/>
      <c r="C581" s="1">
        <v>-1</v>
      </c>
      <c r="D581" s="105">
        <v>45992</v>
      </c>
      <c r="E581" s="105">
        <f t="shared" si="24"/>
        <v>45999</v>
      </c>
      <c r="F581" s="105">
        <v>45998</v>
      </c>
      <c r="G581" s="2">
        <f t="shared" si="23"/>
        <v>45999</v>
      </c>
      <c r="H581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45993</v>
      </c>
      <c r="I581" s="95" t="s">
        <v>588</v>
      </c>
    </row>
    <row r="582" spans="1:9" x14ac:dyDescent="0.3">
      <c r="A582" s="1" t="s">
        <v>108</v>
      </c>
      <c r="B582" s="6"/>
      <c r="C582" s="1">
        <v>-1</v>
      </c>
      <c r="D582" s="105">
        <v>46012</v>
      </c>
      <c r="E582" s="105">
        <f t="shared" si="24"/>
        <v>46025</v>
      </c>
      <c r="F582" s="105">
        <v>46024</v>
      </c>
      <c r="G582" s="2">
        <f t="shared" si="23"/>
        <v>46025</v>
      </c>
      <c r="H582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45993</v>
      </c>
      <c r="I582" s="95" t="s">
        <v>588</v>
      </c>
    </row>
    <row r="583" spans="1:9" x14ac:dyDescent="0.3">
      <c r="A583" s="1" t="s">
        <v>308</v>
      </c>
      <c r="B583" s="6"/>
      <c r="C583" s="1">
        <v>-1</v>
      </c>
      <c r="D583" s="105">
        <v>46012</v>
      </c>
      <c r="E583" s="105">
        <f t="shared" ref="E583" si="25">G583</f>
        <v>46025</v>
      </c>
      <c r="F583" s="105">
        <v>46024</v>
      </c>
      <c r="G583" s="2">
        <f t="shared" si="23"/>
        <v>46025</v>
      </c>
      <c r="H583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45993</v>
      </c>
      <c r="I583" s="95" t="s">
        <v>588</v>
      </c>
    </row>
    <row r="584" spans="1:9" x14ac:dyDescent="0.3">
      <c r="A584" s="1" t="s">
        <v>103</v>
      </c>
      <c r="B584" s="6"/>
      <c r="C584" s="1">
        <v>-1</v>
      </c>
      <c r="D584" s="105">
        <v>46069</v>
      </c>
      <c r="E584" s="105">
        <f t="shared" si="24"/>
        <v>46074</v>
      </c>
      <c r="F584" s="105">
        <v>46073</v>
      </c>
      <c r="G584" s="2">
        <f t="shared" si="23"/>
        <v>46074</v>
      </c>
      <c r="H584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45994</v>
      </c>
      <c r="I584" s="95" t="s">
        <v>589</v>
      </c>
    </row>
    <row r="585" spans="1:9" x14ac:dyDescent="0.3">
      <c r="A585" s="1" t="s">
        <v>103</v>
      </c>
      <c r="B585" s="6"/>
      <c r="C585" s="1">
        <v>-1</v>
      </c>
      <c r="D585" s="105">
        <v>46013</v>
      </c>
      <c r="E585" s="105">
        <f t="shared" si="24"/>
        <v>46014</v>
      </c>
      <c r="F585" s="105">
        <v>46013</v>
      </c>
      <c r="G585" s="2">
        <f t="shared" si="23"/>
        <v>46014</v>
      </c>
      <c r="H585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45994</v>
      </c>
      <c r="I585" s="95" t="s">
        <v>589</v>
      </c>
    </row>
    <row r="586" spans="1:9" x14ac:dyDescent="0.3">
      <c r="A586" s="1" t="s">
        <v>103</v>
      </c>
      <c r="B586" s="6"/>
      <c r="C586" s="1">
        <v>-1</v>
      </c>
      <c r="D586" s="105">
        <v>46001</v>
      </c>
      <c r="E586" s="105">
        <f t="shared" si="24"/>
        <v>46004</v>
      </c>
      <c r="F586" s="105">
        <v>46003</v>
      </c>
      <c r="G586" s="2">
        <f t="shared" si="23"/>
        <v>46004</v>
      </c>
      <c r="H586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45994</v>
      </c>
      <c r="I586" s="95" t="s">
        <v>589</v>
      </c>
    </row>
    <row r="587" spans="1:9" x14ac:dyDescent="0.3">
      <c r="A587" s="1" t="s">
        <v>103</v>
      </c>
      <c r="B587" s="6"/>
      <c r="C587" s="1">
        <v>-1</v>
      </c>
      <c r="D587" s="105">
        <v>46074</v>
      </c>
      <c r="E587" s="105">
        <f t="shared" si="24"/>
        <v>46080</v>
      </c>
      <c r="F587" s="105">
        <v>46079</v>
      </c>
      <c r="G587" s="2">
        <f t="shared" si="23"/>
        <v>46080</v>
      </c>
      <c r="H587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45994</v>
      </c>
      <c r="I587" s="95" t="s">
        <v>589</v>
      </c>
    </row>
    <row r="588" spans="1:9" x14ac:dyDescent="0.3">
      <c r="A588" s="1" t="s">
        <v>103</v>
      </c>
      <c r="B588" s="6"/>
      <c r="C588" s="1">
        <v>-1</v>
      </c>
      <c r="D588" s="105">
        <v>46133</v>
      </c>
      <c r="E588" s="105">
        <f t="shared" si="24"/>
        <v>46134</v>
      </c>
      <c r="F588" s="105">
        <v>46133</v>
      </c>
      <c r="G588" s="2">
        <f t="shared" si="23"/>
        <v>46134</v>
      </c>
      <c r="H588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45994</v>
      </c>
      <c r="I588" s="95" t="s">
        <v>589</v>
      </c>
    </row>
    <row r="589" spans="1:9" x14ac:dyDescent="0.3">
      <c r="A589" s="1" t="s">
        <v>103</v>
      </c>
      <c r="B589" s="6"/>
      <c r="C589" s="1">
        <v>-1</v>
      </c>
      <c r="D589" s="105">
        <v>46226</v>
      </c>
      <c r="E589" s="105">
        <f t="shared" si="24"/>
        <v>46227</v>
      </c>
      <c r="F589" s="105">
        <v>46226</v>
      </c>
      <c r="G589" s="2">
        <f t="shared" si="23"/>
        <v>46227</v>
      </c>
      <c r="H589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45994</v>
      </c>
      <c r="I589" s="95" t="s">
        <v>589</v>
      </c>
    </row>
    <row r="590" spans="1:9" x14ac:dyDescent="0.3">
      <c r="A590" s="1" t="s">
        <v>103</v>
      </c>
      <c r="B590" s="6"/>
      <c r="C590" s="1">
        <v>-1</v>
      </c>
      <c r="D590" s="105">
        <v>46230</v>
      </c>
      <c r="E590" s="105">
        <f t="shared" si="24"/>
        <v>46233</v>
      </c>
      <c r="F590" s="105">
        <v>46232</v>
      </c>
      <c r="G590" s="2">
        <f t="shared" si="23"/>
        <v>46233</v>
      </c>
      <c r="H590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45994</v>
      </c>
      <c r="I590" s="95" t="s">
        <v>589</v>
      </c>
    </row>
    <row r="591" spans="1:9" x14ac:dyDescent="0.3">
      <c r="A591" s="1" t="s">
        <v>590</v>
      </c>
      <c r="B591" s="6"/>
      <c r="C591" s="1">
        <v>-1</v>
      </c>
      <c r="D591" s="105">
        <v>46021</v>
      </c>
      <c r="E591" s="105">
        <f t="shared" si="24"/>
        <v>46024</v>
      </c>
      <c r="F591" s="105">
        <v>46023</v>
      </c>
      <c r="G591" s="2">
        <f t="shared" si="23"/>
        <v>46024</v>
      </c>
      <c r="H591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45993</v>
      </c>
      <c r="I591" s="95" t="s">
        <v>591</v>
      </c>
    </row>
    <row r="592" spans="1:9" x14ac:dyDescent="0.3">
      <c r="A592" s="1" t="s">
        <v>590</v>
      </c>
      <c r="B592" s="6"/>
      <c r="C592" s="1">
        <v>-1</v>
      </c>
      <c r="D592" s="105">
        <v>46021</v>
      </c>
      <c r="E592" s="105">
        <f t="shared" si="24"/>
        <v>46022</v>
      </c>
      <c r="F592" s="105">
        <v>46021</v>
      </c>
      <c r="G592" s="2">
        <f t="shared" si="23"/>
        <v>46022</v>
      </c>
      <c r="H592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45993</v>
      </c>
      <c r="I592" s="95" t="s">
        <v>591</v>
      </c>
    </row>
    <row r="593" spans="1:9" x14ac:dyDescent="0.3">
      <c r="A593" s="1" t="s">
        <v>590</v>
      </c>
      <c r="B593" s="6"/>
      <c r="C593" s="1">
        <v>-1</v>
      </c>
      <c r="D593" s="105">
        <v>46021</v>
      </c>
      <c r="E593" s="105">
        <f t="shared" si="24"/>
        <v>46023</v>
      </c>
      <c r="F593" s="105">
        <v>46022</v>
      </c>
      <c r="G593" s="2">
        <f t="shared" si="23"/>
        <v>46023</v>
      </c>
      <c r="H593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45993</v>
      </c>
      <c r="I593" s="95" t="s">
        <v>591</v>
      </c>
    </row>
    <row r="594" spans="1:9" x14ac:dyDescent="0.3">
      <c r="A594" s="1" t="s">
        <v>590</v>
      </c>
      <c r="B594" s="6"/>
      <c r="C594" s="1">
        <v>-1</v>
      </c>
      <c r="D594" s="105">
        <v>46009</v>
      </c>
      <c r="E594" s="105">
        <f t="shared" si="24"/>
        <v>46012</v>
      </c>
      <c r="F594" s="105">
        <v>46011</v>
      </c>
      <c r="G594" s="2">
        <f t="shared" si="23"/>
        <v>46012</v>
      </c>
      <c r="H594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45993</v>
      </c>
      <c r="I594" s="95" t="s">
        <v>591</v>
      </c>
    </row>
    <row r="595" spans="1:9" x14ac:dyDescent="0.3">
      <c r="A595" s="1" t="s">
        <v>590</v>
      </c>
      <c r="B595" s="6"/>
      <c r="C595" s="1">
        <v>-1</v>
      </c>
      <c r="D595" s="105">
        <v>46014</v>
      </c>
      <c r="E595" s="105">
        <f t="shared" si="24"/>
        <v>46017</v>
      </c>
      <c r="F595" s="105">
        <v>46016</v>
      </c>
      <c r="G595" s="2">
        <f t="shared" si="23"/>
        <v>46017</v>
      </c>
      <c r="H595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45993</v>
      </c>
      <c r="I595" s="95" t="s">
        <v>591</v>
      </c>
    </row>
    <row r="596" spans="1:9" x14ac:dyDescent="0.3">
      <c r="A596" s="1" t="s">
        <v>590</v>
      </c>
      <c r="B596" s="6"/>
      <c r="C596" s="1">
        <v>-1</v>
      </c>
      <c r="D596" s="105">
        <v>46018</v>
      </c>
      <c r="E596" s="105">
        <f t="shared" si="24"/>
        <v>46021</v>
      </c>
      <c r="F596" s="105">
        <v>46020</v>
      </c>
      <c r="G596" s="2">
        <f t="shared" si="23"/>
        <v>46021</v>
      </c>
      <c r="H596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45993</v>
      </c>
      <c r="I596" s="95" t="s">
        <v>591</v>
      </c>
    </row>
    <row r="597" spans="1:9" x14ac:dyDescent="0.3">
      <c r="A597" s="1" t="s">
        <v>122</v>
      </c>
      <c r="B597" s="6"/>
      <c r="C597" s="1">
        <v>-1</v>
      </c>
      <c r="D597" s="105">
        <v>46019</v>
      </c>
      <c r="E597" s="105">
        <f t="shared" si="24"/>
        <v>46021</v>
      </c>
      <c r="F597" s="105">
        <v>46020</v>
      </c>
      <c r="G597" s="2">
        <f t="shared" si="23"/>
        <v>46021</v>
      </c>
      <c r="H597" s="2">
        <v>45994</v>
      </c>
      <c r="I597" s="95" t="s">
        <v>592</v>
      </c>
    </row>
    <row r="598" spans="1:9" x14ac:dyDescent="0.3">
      <c r="A598" s="1" t="s">
        <v>109</v>
      </c>
      <c r="B598" s="6"/>
      <c r="C598" s="1">
        <v>-1</v>
      </c>
      <c r="D598" s="105">
        <v>46013</v>
      </c>
      <c r="E598" s="105">
        <f t="shared" si="24"/>
        <v>46018</v>
      </c>
      <c r="F598" s="105">
        <v>46017</v>
      </c>
      <c r="G598" s="2">
        <f t="shared" si="23"/>
        <v>46018</v>
      </c>
      <c r="H598" s="2">
        <v>45994</v>
      </c>
      <c r="I598" s="95" t="s">
        <v>593</v>
      </c>
    </row>
    <row r="599" spans="1:9" x14ac:dyDescent="0.3">
      <c r="A599" s="1" t="s">
        <v>126</v>
      </c>
      <c r="B599" s="6"/>
      <c r="C599" s="1">
        <v>-1</v>
      </c>
      <c r="D599" s="105">
        <v>46032</v>
      </c>
      <c r="E599" s="105">
        <f t="shared" si="24"/>
        <v>46034</v>
      </c>
      <c r="F599" s="105">
        <v>46033</v>
      </c>
      <c r="G599" s="2">
        <f t="shared" si="23"/>
        <v>46034</v>
      </c>
      <c r="H599" s="2">
        <v>45994</v>
      </c>
      <c r="I599" s="95" t="s">
        <v>594</v>
      </c>
    </row>
    <row r="600" spans="1:9" x14ac:dyDescent="0.3">
      <c r="A600" s="1" t="s">
        <v>110</v>
      </c>
      <c r="B600" s="6"/>
      <c r="C600" s="1">
        <v>-1</v>
      </c>
      <c r="D600" s="105">
        <v>45998</v>
      </c>
      <c r="E600" s="105">
        <f t="shared" si="24"/>
        <v>46004</v>
      </c>
      <c r="F600" s="105">
        <v>46003</v>
      </c>
      <c r="G600" s="2">
        <f t="shared" si="23"/>
        <v>46004</v>
      </c>
      <c r="H600" s="2">
        <v>45994</v>
      </c>
      <c r="I600" s="95" t="s">
        <v>594</v>
      </c>
    </row>
    <row r="601" spans="1:9" x14ac:dyDescent="0.3">
      <c r="A601" s="1" t="s">
        <v>104</v>
      </c>
      <c r="B601" s="6"/>
      <c r="C601" s="1">
        <v>-1</v>
      </c>
      <c r="D601" s="105">
        <v>46028</v>
      </c>
      <c r="E601" s="105">
        <f t="shared" si="24"/>
        <v>45999</v>
      </c>
      <c r="F601" s="105">
        <v>45998</v>
      </c>
      <c r="G601" s="2">
        <f t="shared" si="23"/>
        <v>45999</v>
      </c>
      <c r="H601" s="2">
        <v>45994</v>
      </c>
      <c r="I601" s="95" t="s">
        <v>595</v>
      </c>
    </row>
    <row r="602" spans="1:9" x14ac:dyDescent="0.3">
      <c r="A602" s="1" t="s">
        <v>59</v>
      </c>
      <c r="B602" s="6"/>
      <c r="C602" s="1">
        <v>-1</v>
      </c>
      <c r="D602" s="105">
        <v>46082</v>
      </c>
      <c r="E602" s="105">
        <f t="shared" si="24"/>
        <v>46327</v>
      </c>
      <c r="F602" s="105">
        <v>46326</v>
      </c>
      <c r="G602" s="2">
        <f t="shared" si="23"/>
        <v>46327</v>
      </c>
      <c r="H602" s="2">
        <v>45994</v>
      </c>
      <c r="I602" s="95" t="s">
        <v>596</v>
      </c>
    </row>
    <row r="603" spans="1:9" x14ac:dyDescent="0.3">
      <c r="A603" s="1" t="s">
        <v>132</v>
      </c>
      <c r="B603" s="6"/>
      <c r="C603" s="1">
        <v>-1</v>
      </c>
      <c r="D603" s="105">
        <v>46023</v>
      </c>
      <c r="E603" s="105">
        <f t="shared" si="24"/>
        <v>46024</v>
      </c>
      <c r="F603" s="105">
        <v>46023</v>
      </c>
      <c r="G603" s="2">
        <f t="shared" si="23"/>
        <v>46024</v>
      </c>
      <c r="H603" s="2">
        <v>45994</v>
      </c>
      <c r="I603" s="95" t="s">
        <v>597</v>
      </c>
    </row>
    <row r="604" spans="1:9" x14ac:dyDescent="0.3">
      <c r="A604" s="1" t="s">
        <v>114</v>
      </c>
      <c r="B604" s="6"/>
      <c r="C604" s="1">
        <v>-1</v>
      </c>
      <c r="D604" s="105">
        <v>46023</v>
      </c>
      <c r="E604" s="105">
        <f t="shared" ref="E604" si="26">G604</f>
        <v>46024</v>
      </c>
      <c r="F604" s="105">
        <v>46023</v>
      </c>
      <c r="G604" s="2">
        <f t="shared" si="23"/>
        <v>46024</v>
      </c>
      <c r="H604" s="2">
        <v>45994</v>
      </c>
      <c r="I604" s="95" t="s">
        <v>597</v>
      </c>
    </row>
    <row r="605" spans="1:9" x14ac:dyDescent="0.3">
      <c r="A605" s="1" t="s">
        <v>57</v>
      </c>
      <c r="B605" s="6"/>
      <c r="C605" s="1">
        <v>-1</v>
      </c>
      <c r="D605" s="105">
        <v>46082</v>
      </c>
      <c r="E605" s="105">
        <f t="shared" si="24"/>
        <v>46086</v>
      </c>
      <c r="F605" s="105">
        <v>46085</v>
      </c>
      <c r="G605" s="2">
        <f t="shared" si="23"/>
        <v>46086</v>
      </c>
      <c r="H605" s="2">
        <v>45994</v>
      </c>
      <c r="I605" s="95" t="s">
        <v>598</v>
      </c>
    </row>
    <row r="606" spans="1:9" x14ac:dyDescent="0.3">
      <c r="A606" s="1" t="s">
        <v>89</v>
      </c>
      <c r="B606" s="6"/>
      <c r="C606" s="1">
        <v>-1</v>
      </c>
      <c r="D606" s="105">
        <v>46008</v>
      </c>
      <c r="E606" s="105">
        <f t="shared" si="24"/>
        <v>46016</v>
      </c>
      <c r="F606" s="105">
        <v>46015</v>
      </c>
      <c r="G606" s="2">
        <f t="shared" si="23"/>
        <v>46016</v>
      </c>
      <c r="H606" s="2">
        <v>45994</v>
      </c>
      <c r="I606" s="95" t="s">
        <v>599</v>
      </c>
    </row>
    <row r="607" spans="1:9" x14ac:dyDescent="0.3">
      <c r="A607" s="1" t="s">
        <v>307</v>
      </c>
      <c r="B607" s="6"/>
      <c r="C607" s="1">
        <v>-1</v>
      </c>
      <c r="D607" s="105">
        <v>46002</v>
      </c>
      <c r="E607" s="105">
        <f t="shared" si="24"/>
        <v>46029</v>
      </c>
      <c r="F607" s="105">
        <v>46028</v>
      </c>
      <c r="G607" s="2">
        <f t="shared" si="23"/>
        <v>46029</v>
      </c>
      <c r="H607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45994</v>
      </c>
      <c r="I607" s="95" t="s">
        <v>600</v>
      </c>
    </row>
    <row r="608" spans="1:9" x14ac:dyDescent="0.3">
      <c r="A608" s="1" t="s">
        <v>307</v>
      </c>
      <c r="B608" s="6"/>
      <c r="C608" s="1">
        <v>-1</v>
      </c>
      <c r="D608" s="105">
        <v>45994</v>
      </c>
      <c r="E608" s="105">
        <f t="shared" si="24"/>
        <v>46046</v>
      </c>
      <c r="F608" s="105">
        <v>46045</v>
      </c>
      <c r="G608" s="2">
        <f t="shared" si="23"/>
        <v>46046</v>
      </c>
      <c r="H608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45994</v>
      </c>
      <c r="I608" s="95" t="s">
        <v>600</v>
      </c>
    </row>
    <row r="609" spans="1:9" x14ac:dyDescent="0.3">
      <c r="A609" s="1" t="s">
        <v>307</v>
      </c>
      <c r="B609" s="6"/>
      <c r="C609" s="1">
        <v>-1</v>
      </c>
      <c r="D609" s="105">
        <v>45994</v>
      </c>
      <c r="E609" s="105">
        <f t="shared" si="24"/>
        <v>46039</v>
      </c>
      <c r="F609" s="105">
        <v>46038</v>
      </c>
      <c r="G609" s="2">
        <f t="shared" si="23"/>
        <v>46039</v>
      </c>
      <c r="H609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45994</v>
      </c>
      <c r="I609" s="95" t="s">
        <v>600</v>
      </c>
    </row>
    <row r="610" spans="1:9" x14ac:dyDescent="0.3">
      <c r="A610" s="1" t="s">
        <v>109</v>
      </c>
      <c r="B610" s="6"/>
      <c r="C610" s="1">
        <v>-1</v>
      </c>
      <c r="D610" s="105">
        <v>46127</v>
      </c>
      <c r="E610" s="105">
        <f t="shared" si="24"/>
        <v>46129</v>
      </c>
      <c r="F610" s="105">
        <v>46128</v>
      </c>
      <c r="G610" s="2">
        <f t="shared" si="23"/>
        <v>46129</v>
      </c>
      <c r="H610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45994</v>
      </c>
      <c r="I610" s="95" t="s">
        <v>601</v>
      </c>
    </row>
    <row r="611" spans="1:9" x14ac:dyDescent="0.3">
      <c r="A611" s="1" t="s">
        <v>301</v>
      </c>
      <c r="B611" s="6"/>
      <c r="C611" s="1">
        <v>-1</v>
      </c>
      <c r="D611" s="105">
        <v>46027</v>
      </c>
      <c r="E611" s="105">
        <f t="shared" si="24"/>
        <v>46327</v>
      </c>
      <c r="F611" s="105" t="s">
        <v>602</v>
      </c>
      <c r="G611" s="2">
        <f t="shared" si="23"/>
        <v>46327</v>
      </c>
      <c r="H611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45995</v>
      </c>
      <c r="I611" s="95" t="s">
        <v>603</v>
      </c>
    </row>
    <row r="612" spans="1:9" x14ac:dyDescent="0.3">
      <c r="A612" s="1" t="s">
        <v>136</v>
      </c>
      <c r="B612" s="6"/>
      <c r="C612" s="1">
        <v>-1</v>
      </c>
      <c r="D612" s="105">
        <v>46005</v>
      </c>
      <c r="E612" s="105">
        <f t="shared" si="24"/>
        <v>46007</v>
      </c>
      <c r="F612" s="105">
        <v>46006</v>
      </c>
      <c r="G612" s="2">
        <f t="shared" ref="G612:G675" si="27">F612+1</f>
        <v>46007</v>
      </c>
      <c r="H612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45995</v>
      </c>
      <c r="I612" s="95" t="s">
        <v>604</v>
      </c>
    </row>
    <row r="613" spans="1:9" x14ac:dyDescent="0.3">
      <c r="A613" s="1" t="s">
        <v>101</v>
      </c>
      <c r="B613" s="6"/>
      <c r="C613" s="1">
        <v>-1</v>
      </c>
      <c r="D613" s="105">
        <v>46022</v>
      </c>
      <c r="E613" s="105">
        <f t="shared" si="24"/>
        <v>46024</v>
      </c>
      <c r="F613" s="105">
        <v>46023</v>
      </c>
      <c r="G613" s="2">
        <f t="shared" si="27"/>
        <v>46024</v>
      </c>
      <c r="H613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45995</v>
      </c>
      <c r="I613" s="95" t="s">
        <v>605</v>
      </c>
    </row>
    <row r="614" spans="1:9" x14ac:dyDescent="0.3">
      <c r="A614" s="1" t="s">
        <v>85</v>
      </c>
      <c r="B614" s="6"/>
      <c r="C614" s="1">
        <v>-1</v>
      </c>
      <c r="D614" s="105">
        <v>46013</v>
      </c>
      <c r="E614" s="105">
        <f t="shared" si="24"/>
        <v>46019</v>
      </c>
      <c r="F614" s="105">
        <v>46018</v>
      </c>
      <c r="G614" s="2">
        <f t="shared" si="27"/>
        <v>46019</v>
      </c>
      <c r="H614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45994</v>
      </c>
      <c r="I614" s="95" t="s">
        <v>606</v>
      </c>
    </row>
    <row r="615" spans="1:9" x14ac:dyDescent="0.3">
      <c r="A615" s="1" t="s">
        <v>85</v>
      </c>
      <c r="B615" s="6"/>
      <c r="C615" s="1">
        <v>-1</v>
      </c>
      <c r="D615" s="105">
        <v>46024</v>
      </c>
      <c r="E615" s="105">
        <f t="shared" si="24"/>
        <v>46030</v>
      </c>
      <c r="F615" s="105">
        <v>46029</v>
      </c>
      <c r="G615" s="2">
        <f t="shared" si="27"/>
        <v>46030</v>
      </c>
      <c r="H615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45994</v>
      </c>
      <c r="I615" s="95" t="s">
        <v>606</v>
      </c>
    </row>
    <row r="616" spans="1:9" x14ac:dyDescent="0.3">
      <c r="A616" s="1" t="s">
        <v>113</v>
      </c>
      <c r="B616" s="6"/>
      <c r="C616" s="1">
        <v>-1</v>
      </c>
      <c r="D616" s="105">
        <v>46023</v>
      </c>
      <c r="E616" s="105">
        <f t="shared" si="24"/>
        <v>46027</v>
      </c>
      <c r="F616" s="105">
        <v>46026</v>
      </c>
      <c r="G616" s="2">
        <f t="shared" si="27"/>
        <v>46027</v>
      </c>
      <c r="H616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45994</v>
      </c>
      <c r="I616" s="95" t="s">
        <v>607</v>
      </c>
    </row>
    <row r="617" spans="1:9" x14ac:dyDescent="0.3">
      <c r="A617" s="1" t="s">
        <v>113</v>
      </c>
      <c r="B617" s="6"/>
      <c r="C617" s="1">
        <v>-1</v>
      </c>
      <c r="D617" s="105">
        <v>46021</v>
      </c>
      <c r="E617" s="105">
        <f t="shared" si="24"/>
        <v>46025</v>
      </c>
      <c r="F617" s="105">
        <v>46024</v>
      </c>
      <c r="G617" s="2">
        <f t="shared" si="27"/>
        <v>46025</v>
      </c>
      <c r="H617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45994</v>
      </c>
      <c r="I617" s="95" t="s">
        <v>607</v>
      </c>
    </row>
    <row r="618" spans="1:9" x14ac:dyDescent="0.3">
      <c r="A618" s="1" t="s">
        <v>123</v>
      </c>
      <c r="B618" s="6"/>
      <c r="C618" s="1">
        <v>-1</v>
      </c>
      <c r="D618" s="105">
        <v>46019</v>
      </c>
      <c r="E618" s="105">
        <f t="shared" si="24"/>
        <v>46021</v>
      </c>
      <c r="F618" s="105">
        <v>46020</v>
      </c>
      <c r="G618" s="2">
        <f t="shared" si="27"/>
        <v>46021</v>
      </c>
      <c r="H618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45995</v>
      </c>
      <c r="I618" s="95" t="s">
        <v>608</v>
      </c>
    </row>
    <row r="619" spans="1:9" x14ac:dyDescent="0.3">
      <c r="A619" s="1" t="s">
        <v>66</v>
      </c>
      <c r="B619" s="6"/>
      <c r="C619" s="1">
        <v>-1</v>
      </c>
      <c r="D619" s="105">
        <v>46004</v>
      </c>
      <c r="E619" s="105">
        <f t="shared" si="24"/>
        <v>46005</v>
      </c>
      <c r="F619" s="105">
        <v>46004</v>
      </c>
      <c r="G619" s="2">
        <f t="shared" si="27"/>
        <v>46005</v>
      </c>
      <c r="H619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45995</v>
      </c>
      <c r="I619" s="95" t="s">
        <v>609</v>
      </c>
    </row>
    <row r="620" spans="1:9" x14ac:dyDescent="0.3">
      <c r="A620" s="1" t="s">
        <v>66</v>
      </c>
      <c r="B620" s="6"/>
      <c r="C620" s="1">
        <v>-1</v>
      </c>
      <c r="D620" s="105">
        <v>46021</v>
      </c>
      <c r="E620" s="105">
        <f t="shared" si="24"/>
        <v>46024</v>
      </c>
      <c r="F620" s="105">
        <v>46023</v>
      </c>
      <c r="G620" s="2">
        <f t="shared" si="27"/>
        <v>46024</v>
      </c>
      <c r="H620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45995</v>
      </c>
      <c r="I620" s="95" t="s">
        <v>609</v>
      </c>
    </row>
    <row r="621" spans="1:9" x14ac:dyDescent="0.3">
      <c r="A621" s="1" t="s">
        <v>528</v>
      </c>
      <c r="B621" s="6"/>
      <c r="C621" s="1">
        <v>-1</v>
      </c>
      <c r="D621" s="105">
        <v>46006</v>
      </c>
      <c r="E621" s="105">
        <f t="shared" si="24"/>
        <v>46013</v>
      </c>
      <c r="F621" s="105">
        <v>46012</v>
      </c>
      <c r="G621" s="2">
        <f t="shared" si="27"/>
        <v>46013</v>
      </c>
      <c r="H621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45995</v>
      </c>
      <c r="I621" s="95" t="s">
        <v>610</v>
      </c>
    </row>
    <row r="622" spans="1:9" x14ac:dyDescent="0.3">
      <c r="A622" s="1" t="s">
        <v>308</v>
      </c>
      <c r="B622" s="6"/>
      <c r="C622" s="1">
        <v>-1</v>
      </c>
      <c r="D622" s="105">
        <v>46012</v>
      </c>
      <c r="E622" s="105">
        <f t="shared" si="24"/>
        <v>46025</v>
      </c>
      <c r="F622" s="105">
        <v>46024</v>
      </c>
      <c r="G622" s="2">
        <f t="shared" si="27"/>
        <v>46025</v>
      </c>
      <c r="H622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45996</v>
      </c>
      <c r="I622" s="95" t="s">
        <v>611</v>
      </c>
    </row>
    <row r="623" spans="1:9" x14ac:dyDescent="0.3">
      <c r="A623" s="1" t="s">
        <v>108</v>
      </c>
      <c r="B623" s="6"/>
      <c r="C623" s="1">
        <v>-1</v>
      </c>
      <c r="D623" s="105">
        <v>46012</v>
      </c>
      <c r="E623" s="105">
        <f t="shared" si="24"/>
        <v>46025</v>
      </c>
      <c r="F623" s="105">
        <v>46024</v>
      </c>
      <c r="G623" s="2">
        <f t="shared" si="27"/>
        <v>46025</v>
      </c>
      <c r="H623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45996</v>
      </c>
      <c r="I623" s="95" t="s">
        <v>611</v>
      </c>
    </row>
    <row r="624" spans="1:9" x14ac:dyDescent="0.3">
      <c r="A624" s="1" t="s">
        <v>122</v>
      </c>
      <c r="B624" s="6"/>
      <c r="C624" s="1">
        <v>-1</v>
      </c>
      <c r="D624" s="105">
        <v>46018</v>
      </c>
      <c r="E624" s="105">
        <f t="shared" si="24"/>
        <v>46022</v>
      </c>
      <c r="F624" s="105">
        <v>46021</v>
      </c>
      <c r="G624" s="2">
        <f t="shared" si="27"/>
        <v>46022</v>
      </c>
      <c r="H624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45996</v>
      </c>
      <c r="I624" s="95" t="s">
        <v>612</v>
      </c>
    </row>
    <row r="625" spans="1:9" x14ac:dyDescent="0.3">
      <c r="A625" s="1" t="s">
        <v>92</v>
      </c>
      <c r="B625" s="6"/>
      <c r="C625" s="1">
        <v>-1</v>
      </c>
      <c r="D625" s="105">
        <v>46111</v>
      </c>
      <c r="E625" s="105">
        <f t="shared" si="24"/>
        <v>46123</v>
      </c>
      <c r="F625" s="105">
        <v>46122</v>
      </c>
      <c r="G625" s="2">
        <f t="shared" si="27"/>
        <v>46123</v>
      </c>
      <c r="H625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45996</v>
      </c>
      <c r="I625" s="95" t="s">
        <v>613</v>
      </c>
    </row>
    <row r="626" spans="1:9" x14ac:dyDescent="0.3">
      <c r="A626" s="1" t="s">
        <v>307</v>
      </c>
      <c r="B626" s="6"/>
      <c r="C626" s="1">
        <v>-1</v>
      </c>
      <c r="D626" s="105">
        <v>45997</v>
      </c>
      <c r="E626" s="105">
        <f t="shared" si="24"/>
        <v>46047</v>
      </c>
      <c r="F626" s="105">
        <v>46046</v>
      </c>
      <c r="G626" s="2">
        <f t="shared" si="27"/>
        <v>46047</v>
      </c>
      <c r="H626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45997</v>
      </c>
      <c r="I626" s="95" t="s">
        <v>614</v>
      </c>
    </row>
    <row r="627" spans="1:9" x14ac:dyDescent="0.3">
      <c r="A627" s="1" t="s">
        <v>307</v>
      </c>
      <c r="B627" s="6"/>
      <c r="C627" s="1">
        <v>-1</v>
      </c>
      <c r="D627" s="105">
        <v>45997</v>
      </c>
      <c r="E627" s="105">
        <f t="shared" si="24"/>
        <v>46041</v>
      </c>
      <c r="F627" s="105">
        <v>46040</v>
      </c>
      <c r="G627" s="2">
        <f t="shared" si="27"/>
        <v>46041</v>
      </c>
      <c r="H627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45997</v>
      </c>
      <c r="I627" s="95" t="s">
        <v>614</v>
      </c>
    </row>
    <row r="628" spans="1:9" x14ac:dyDescent="0.3">
      <c r="A628" s="1" t="s">
        <v>307</v>
      </c>
      <c r="B628" s="6"/>
      <c r="C628" s="1">
        <v>-1</v>
      </c>
      <c r="D628" s="105">
        <v>45997</v>
      </c>
      <c r="E628" s="105">
        <f t="shared" si="24"/>
        <v>45999</v>
      </c>
      <c r="F628" s="105">
        <v>45998</v>
      </c>
      <c r="G628" s="2">
        <f t="shared" si="27"/>
        <v>45999</v>
      </c>
      <c r="H628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45997</v>
      </c>
      <c r="I628" s="95" t="s">
        <v>614</v>
      </c>
    </row>
    <row r="629" spans="1:9" x14ac:dyDescent="0.3">
      <c r="A629" s="1" t="s">
        <v>307</v>
      </c>
      <c r="B629" s="6"/>
      <c r="C629" s="1">
        <v>-1</v>
      </c>
      <c r="D629" s="105">
        <v>45997</v>
      </c>
      <c r="E629" s="105">
        <f t="shared" si="24"/>
        <v>46035</v>
      </c>
      <c r="F629" s="105">
        <v>46034</v>
      </c>
      <c r="G629" s="2">
        <f t="shared" si="27"/>
        <v>46035</v>
      </c>
      <c r="H629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45997</v>
      </c>
      <c r="I629" s="95" t="s">
        <v>614</v>
      </c>
    </row>
    <row r="630" spans="1:9" x14ac:dyDescent="0.3">
      <c r="A630" s="1" t="s">
        <v>122</v>
      </c>
      <c r="B630" s="6"/>
      <c r="C630" s="1">
        <v>-1</v>
      </c>
      <c r="D630" s="105">
        <v>46024</v>
      </c>
      <c r="E630" s="105">
        <f t="shared" si="24"/>
        <v>46026</v>
      </c>
      <c r="F630" s="105">
        <v>46025</v>
      </c>
      <c r="G630" s="2">
        <f t="shared" si="27"/>
        <v>46026</v>
      </c>
      <c r="H630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45997</v>
      </c>
      <c r="I630" s="95" t="s">
        <v>615</v>
      </c>
    </row>
    <row r="631" spans="1:9" x14ac:dyDescent="0.3">
      <c r="A631" s="1" t="s">
        <v>118</v>
      </c>
      <c r="B631" s="6"/>
      <c r="C631" s="1">
        <v>-1</v>
      </c>
      <c r="D631" s="105">
        <v>46026</v>
      </c>
      <c r="E631" s="105">
        <f t="shared" si="24"/>
        <v>46030</v>
      </c>
      <c r="F631" s="105">
        <v>46029</v>
      </c>
      <c r="G631" s="2">
        <f t="shared" si="27"/>
        <v>46030</v>
      </c>
      <c r="H631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45997</v>
      </c>
      <c r="I631" s="95" t="s">
        <v>616</v>
      </c>
    </row>
    <row r="632" spans="1:9" x14ac:dyDescent="0.3">
      <c r="A632" s="1" t="s">
        <v>160</v>
      </c>
      <c r="B632" s="6"/>
      <c r="C632" s="1">
        <v>-1</v>
      </c>
      <c r="D632" s="105">
        <v>46009</v>
      </c>
      <c r="E632" s="105">
        <f t="shared" si="24"/>
        <v>46010</v>
      </c>
      <c r="F632" s="105">
        <v>46009</v>
      </c>
      <c r="G632" s="2">
        <f t="shared" si="27"/>
        <v>46010</v>
      </c>
      <c r="H632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45997</v>
      </c>
      <c r="I632" s="95" t="s">
        <v>617</v>
      </c>
    </row>
    <row r="633" spans="1:9" x14ac:dyDescent="0.3">
      <c r="A633" s="1" t="s">
        <v>120</v>
      </c>
      <c r="B633" s="6"/>
      <c r="C633" s="1">
        <v>-1</v>
      </c>
      <c r="D633" s="105">
        <v>46015</v>
      </c>
      <c r="E633" s="105">
        <f t="shared" si="24"/>
        <v>46018</v>
      </c>
      <c r="F633" s="105">
        <v>46017</v>
      </c>
      <c r="G633" s="2">
        <f t="shared" si="27"/>
        <v>46018</v>
      </c>
      <c r="H633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45997</v>
      </c>
      <c r="I633" s="95" t="s">
        <v>618</v>
      </c>
    </row>
    <row r="634" spans="1:9" x14ac:dyDescent="0.3">
      <c r="A634" s="1" t="s">
        <v>57</v>
      </c>
      <c r="B634" s="6"/>
      <c r="C634" s="1">
        <v>-1</v>
      </c>
      <c r="D634" s="105">
        <v>46126</v>
      </c>
      <c r="E634" s="105">
        <f t="shared" si="24"/>
        <v>46015</v>
      </c>
      <c r="F634" s="105">
        <v>46014</v>
      </c>
      <c r="G634" s="2">
        <f t="shared" si="27"/>
        <v>46015</v>
      </c>
      <c r="H634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45997</v>
      </c>
      <c r="I634" s="95" t="s">
        <v>619</v>
      </c>
    </row>
    <row r="635" spans="1:9" x14ac:dyDescent="0.3">
      <c r="A635" s="1" t="s">
        <v>57</v>
      </c>
      <c r="B635" s="6"/>
      <c r="C635" s="1">
        <v>-1</v>
      </c>
      <c r="D635" s="105">
        <v>46077</v>
      </c>
      <c r="E635" s="105">
        <f t="shared" ref="E635:E698" si="28">G635</f>
        <v>46085</v>
      </c>
      <c r="F635" s="105">
        <v>46084</v>
      </c>
      <c r="G635" s="2">
        <f t="shared" si="27"/>
        <v>46085</v>
      </c>
      <c r="H635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45997</v>
      </c>
      <c r="I635" s="95" t="s">
        <v>619</v>
      </c>
    </row>
    <row r="636" spans="1:9" x14ac:dyDescent="0.3">
      <c r="A636" s="1" t="s">
        <v>118</v>
      </c>
      <c r="B636" s="6"/>
      <c r="C636" s="1">
        <v>-1</v>
      </c>
      <c r="D636" s="105">
        <v>46014</v>
      </c>
      <c r="E636" s="105">
        <f t="shared" si="28"/>
        <v>46018</v>
      </c>
      <c r="F636" s="105">
        <v>46017</v>
      </c>
      <c r="G636" s="2">
        <f t="shared" si="27"/>
        <v>46018</v>
      </c>
      <c r="H636" s="2" t="e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#VALUE!</v>
      </c>
      <c r="I636" s="95"/>
    </row>
    <row r="637" spans="1:9" x14ac:dyDescent="0.3">
      <c r="A637" s="1" t="s">
        <v>123</v>
      </c>
      <c r="B637" s="6"/>
      <c r="C637" s="1">
        <v>-1</v>
      </c>
      <c r="D637" s="105">
        <v>46039</v>
      </c>
      <c r="E637" s="105">
        <f t="shared" si="28"/>
        <v>46040</v>
      </c>
      <c r="F637" s="105">
        <v>46039</v>
      </c>
      <c r="G637" s="2">
        <f t="shared" si="27"/>
        <v>46040</v>
      </c>
      <c r="H637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45998</v>
      </c>
      <c r="I637" s="95" t="s">
        <v>620</v>
      </c>
    </row>
    <row r="638" spans="1:9" x14ac:dyDescent="0.3">
      <c r="A638" s="1" t="s">
        <v>123</v>
      </c>
      <c r="B638" s="6"/>
      <c r="C638" s="1">
        <v>-1</v>
      </c>
      <c r="D638" s="105">
        <v>46029</v>
      </c>
      <c r="E638" s="105">
        <f t="shared" si="28"/>
        <v>46037</v>
      </c>
      <c r="F638" s="105">
        <v>46036</v>
      </c>
      <c r="G638" s="2">
        <f t="shared" si="27"/>
        <v>46037</v>
      </c>
      <c r="H638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45998</v>
      </c>
      <c r="I638" s="95" t="s">
        <v>620</v>
      </c>
    </row>
    <row r="639" spans="1:9" x14ac:dyDescent="0.3">
      <c r="A639" s="1" t="s">
        <v>123</v>
      </c>
      <c r="B639" s="6"/>
      <c r="C639" s="1">
        <v>-1</v>
      </c>
      <c r="D639" s="105">
        <v>46009</v>
      </c>
      <c r="E639" s="105">
        <f t="shared" si="28"/>
        <v>46010</v>
      </c>
      <c r="F639" s="105">
        <v>46009</v>
      </c>
      <c r="G639" s="2">
        <f t="shared" si="27"/>
        <v>46010</v>
      </c>
      <c r="H639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45998</v>
      </c>
      <c r="I639" s="95" t="s">
        <v>620</v>
      </c>
    </row>
    <row r="640" spans="1:9" x14ac:dyDescent="0.3">
      <c r="A640" s="1" t="s">
        <v>123</v>
      </c>
      <c r="B640" s="6"/>
      <c r="C640" s="1">
        <v>-1</v>
      </c>
      <c r="D640" s="105">
        <v>46019</v>
      </c>
      <c r="E640" s="105">
        <f t="shared" si="28"/>
        <v>46020</v>
      </c>
      <c r="F640" s="105">
        <v>46019</v>
      </c>
      <c r="G640" s="2">
        <f t="shared" si="27"/>
        <v>46020</v>
      </c>
      <c r="H640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45998</v>
      </c>
      <c r="I640" s="95" t="s">
        <v>620</v>
      </c>
    </row>
    <row r="641" spans="1:9" x14ac:dyDescent="0.3">
      <c r="A641" s="1" t="s">
        <v>123</v>
      </c>
      <c r="B641" s="6"/>
      <c r="C641" s="1">
        <v>-1</v>
      </c>
      <c r="D641" s="105">
        <v>46033</v>
      </c>
      <c r="E641" s="105">
        <f t="shared" si="28"/>
        <v>46038</v>
      </c>
      <c r="F641" s="105">
        <v>46037</v>
      </c>
      <c r="G641" s="2">
        <f t="shared" si="27"/>
        <v>46038</v>
      </c>
      <c r="H641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45998</v>
      </c>
      <c r="I641" s="95" t="s">
        <v>620</v>
      </c>
    </row>
    <row r="642" spans="1:9" x14ac:dyDescent="0.3">
      <c r="A642" s="1" t="s">
        <v>118</v>
      </c>
      <c r="B642" s="6"/>
      <c r="C642" s="1">
        <v>-1</v>
      </c>
      <c r="D642" s="105">
        <v>46091</v>
      </c>
      <c r="E642" s="105">
        <f t="shared" si="28"/>
        <v>46102</v>
      </c>
      <c r="F642" s="105">
        <v>46101</v>
      </c>
      <c r="G642" s="2">
        <f t="shared" si="27"/>
        <v>46102</v>
      </c>
      <c r="H642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45998</v>
      </c>
      <c r="I642" s="95" t="s">
        <v>621</v>
      </c>
    </row>
    <row r="643" spans="1:9" x14ac:dyDescent="0.3">
      <c r="A643" s="1" t="s">
        <v>89</v>
      </c>
      <c r="B643" s="6"/>
      <c r="C643" s="1">
        <v>-1</v>
      </c>
      <c r="D643" s="105">
        <v>46007</v>
      </c>
      <c r="E643" s="105">
        <f t="shared" si="28"/>
        <v>46008</v>
      </c>
      <c r="F643" s="105">
        <v>46007</v>
      </c>
      <c r="G643" s="2">
        <f t="shared" si="27"/>
        <v>46008</v>
      </c>
      <c r="H643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45998</v>
      </c>
      <c r="I643" s="95" t="s">
        <v>622</v>
      </c>
    </row>
    <row r="644" spans="1:9" x14ac:dyDescent="0.3">
      <c r="A644" s="1" t="s">
        <v>623</v>
      </c>
      <c r="B644" s="6"/>
      <c r="C644" s="1">
        <v>-1</v>
      </c>
      <c r="D644" s="105">
        <v>46002</v>
      </c>
      <c r="E644" s="105">
        <f t="shared" si="28"/>
        <v>46003</v>
      </c>
      <c r="F644" s="105">
        <v>46002</v>
      </c>
      <c r="G644" s="2">
        <f t="shared" si="27"/>
        <v>46003</v>
      </c>
      <c r="H644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45998</v>
      </c>
      <c r="I644" s="95" t="s">
        <v>624</v>
      </c>
    </row>
    <row r="645" spans="1:9" x14ac:dyDescent="0.3">
      <c r="A645" s="1" t="s">
        <v>80</v>
      </c>
      <c r="B645" s="6"/>
      <c r="C645" s="1">
        <v>-1</v>
      </c>
      <c r="D645" s="105">
        <v>46021</v>
      </c>
      <c r="E645" s="105">
        <f t="shared" si="28"/>
        <v>46024</v>
      </c>
      <c r="F645" s="105">
        <v>46023</v>
      </c>
      <c r="G645" s="2">
        <f t="shared" si="27"/>
        <v>46024</v>
      </c>
      <c r="H645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45998</v>
      </c>
      <c r="I645" s="95" t="s">
        <v>625</v>
      </c>
    </row>
    <row r="646" spans="1:9" x14ac:dyDescent="0.3">
      <c r="A646" s="1" t="s">
        <v>66</v>
      </c>
      <c r="B646" s="6"/>
      <c r="C646" s="1">
        <v>-1</v>
      </c>
      <c r="D646" s="105">
        <v>46018</v>
      </c>
      <c r="E646" s="105">
        <f t="shared" si="28"/>
        <v>46019</v>
      </c>
      <c r="F646" s="105">
        <v>46018</v>
      </c>
      <c r="G646" s="2">
        <f t="shared" si="27"/>
        <v>46019</v>
      </c>
      <c r="H646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45998</v>
      </c>
      <c r="I646" s="95" t="s">
        <v>626</v>
      </c>
    </row>
    <row r="647" spans="1:9" x14ac:dyDescent="0.3">
      <c r="A647" s="1" t="s">
        <v>321</v>
      </c>
      <c r="B647" s="6"/>
      <c r="C647" s="1">
        <v>-1</v>
      </c>
      <c r="D647" s="105">
        <v>46024</v>
      </c>
      <c r="E647" s="105">
        <f t="shared" si="28"/>
        <v>46025</v>
      </c>
      <c r="F647" s="105">
        <v>46024</v>
      </c>
      <c r="G647" s="2">
        <f t="shared" si="27"/>
        <v>46025</v>
      </c>
      <c r="H647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45999</v>
      </c>
      <c r="I647" s="95" t="s">
        <v>627</v>
      </c>
    </row>
    <row r="648" spans="1:9" x14ac:dyDescent="0.3">
      <c r="A648" s="1" t="s">
        <v>126</v>
      </c>
      <c r="B648" s="6"/>
      <c r="C648" s="1">
        <v>-1</v>
      </c>
      <c r="D648" s="105">
        <v>46007</v>
      </c>
      <c r="E648" s="105">
        <f t="shared" si="28"/>
        <v>46009</v>
      </c>
      <c r="F648" s="105">
        <v>46008</v>
      </c>
      <c r="G648" s="2">
        <f t="shared" si="27"/>
        <v>46009</v>
      </c>
      <c r="H648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45999</v>
      </c>
      <c r="I648" s="95" t="s">
        <v>628</v>
      </c>
    </row>
    <row r="649" spans="1:9" x14ac:dyDescent="0.3">
      <c r="A649" s="1" t="s">
        <v>62</v>
      </c>
      <c r="B649" s="6"/>
      <c r="C649" s="1">
        <v>-1</v>
      </c>
      <c r="D649" s="105">
        <v>46026</v>
      </c>
      <c r="E649" s="105">
        <f t="shared" si="28"/>
        <v>46027</v>
      </c>
      <c r="F649" s="105">
        <v>46026</v>
      </c>
      <c r="G649" s="2">
        <f t="shared" si="27"/>
        <v>46027</v>
      </c>
      <c r="H649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45999</v>
      </c>
      <c r="I649" s="95" t="s">
        <v>629</v>
      </c>
    </row>
    <row r="650" spans="1:9" x14ac:dyDescent="0.3">
      <c r="A650" s="1" t="s">
        <v>123</v>
      </c>
      <c r="B650" s="6"/>
      <c r="C650" s="1">
        <v>-1</v>
      </c>
      <c r="D650" s="105">
        <v>46019</v>
      </c>
      <c r="E650" s="105">
        <f t="shared" si="28"/>
        <v>46022</v>
      </c>
      <c r="F650" s="105">
        <v>46021</v>
      </c>
      <c r="G650" s="2">
        <f t="shared" si="27"/>
        <v>46022</v>
      </c>
      <c r="H650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45999</v>
      </c>
      <c r="I650" s="95" t="s">
        <v>630</v>
      </c>
    </row>
    <row r="651" spans="1:9" x14ac:dyDescent="0.3">
      <c r="A651" s="1" t="s">
        <v>307</v>
      </c>
      <c r="B651" s="6"/>
      <c r="C651" s="1">
        <v>-1</v>
      </c>
      <c r="D651" s="105">
        <v>46011</v>
      </c>
      <c r="E651" s="105">
        <f t="shared" si="28"/>
        <v>46029</v>
      </c>
      <c r="F651" s="105">
        <v>46028</v>
      </c>
      <c r="G651" s="2">
        <f t="shared" si="27"/>
        <v>46029</v>
      </c>
      <c r="H651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45999</v>
      </c>
      <c r="I651" s="95" t="s">
        <v>631</v>
      </c>
    </row>
    <row r="652" spans="1:9" x14ac:dyDescent="0.3">
      <c r="A652" s="1" t="s">
        <v>307</v>
      </c>
      <c r="B652" s="6"/>
      <c r="C652" s="1">
        <v>-1</v>
      </c>
      <c r="D652" s="105">
        <v>46000</v>
      </c>
      <c r="E652" s="105">
        <f t="shared" si="28"/>
        <v>46047</v>
      </c>
      <c r="F652" s="105">
        <v>46046</v>
      </c>
      <c r="G652" s="2">
        <f t="shared" si="27"/>
        <v>46047</v>
      </c>
      <c r="H652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45999</v>
      </c>
      <c r="I652" s="95" t="s">
        <v>631</v>
      </c>
    </row>
    <row r="653" spans="1:9" x14ac:dyDescent="0.3">
      <c r="A653" s="1" t="s">
        <v>307</v>
      </c>
      <c r="B653" s="6"/>
      <c r="C653" s="1">
        <v>-1</v>
      </c>
      <c r="D653" s="105">
        <v>46000</v>
      </c>
      <c r="E653" s="105">
        <f t="shared" si="28"/>
        <v>46041</v>
      </c>
      <c r="F653" s="105">
        <v>46040</v>
      </c>
      <c r="G653" s="2">
        <f t="shared" si="27"/>
        <v>46041</v>
      </c>
      <c r="H653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45999</v>
      </c>
      <c r="I653" s="95" t="s">
        <v>631</v>
      </c>
    </row>
    <row r="654" spans="1:9" x14ac:dyDescent="0.3">
      <c r="A654" s="1" t="s">
        <v>307</v>
      </c>
      <c r="B654" s="6"/>
      <c r="C654" s="1">
        <v>-1</v>
      </c>
      <c r="D654" s="105">
        <v>46000</v>
      </c>
      <c r="E654" s="105">
        <f t="shared" si="28"/>
        <v>46033</v>
      </c>
      <c r="F654" s="105">
        <v>46032</v>
      </c>
      <c r="G654" s="2">
        <f t="shared" si="27"/>
        <v>46033</v>
      </c>
      <c r="H654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45999</v>
      </c>
      <c r="I654" s="95" t="s">
        <v>631</v>
      </c>
    </row>
    <row r="655" spans="1:9" x14ac:dyDescent="0.3">
      <c r="A655" s="1" t="s">
        <v>307</v>
      </c>
      <c r="B655" s="6"/>
      <c r="C655" s="1">
        <v>-1</v>
      </c>
      <c r="D655" s="105">
        <v>46000</v>
      </c>
      <c r="E655" s="105">
        <f t="shared" si="28"/>
        <v>46035</v>
      </c>
      <c r="F655" s="105">
        <v>46034</v>
      </c>
      <c r="G655" s="2">
        <f t="shared" si="27"/>
        <v>46035</v>
      </c>
      <c r="H655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45999</v>
      </c>
      <c r="I655" s="95" t="s">
        <v>631</v>
      </c>
    </row>
    <row r="656" spans="1:9" x14ac:dyDescent="0.3">
      <c r="A656" s="1" t="s">
        <v>123</v>
      </c>
      <c r="B656" s="6"/>
      <c r="C656" s="1">
        <v>-1</v>
      </c>
      <c r="D656" s="105">
        <v>46013</v>
      </c>
      <c r="E656" s="105">
        <f t="shared" si="28"/>
        <v>46014</v>
      </c>
      <c r="F656" s="105">
        <v>46013</v>
      </c>
      <c r="G656" s="2">
        <f t="shared" si="27"/>
        <v>46014</v>
      </c>
      <c r="H656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46000</v>
      </c>
      <c r="I656" s="95" t="s">
        <v>632</v>
      </c>
    </row>
    <row r="657" spans="1:9" x14ac:dyDescent="0.3">
      <c r="A657" s="1" t="s">
        <v>123</v>
      </c>
      <c r="B657" s="6"/>
      <c r="C657" s="1">
        <v>-1</v>
      </c>
      <c r="D657" s="118">
        <v>46040</v>
      </c>
      <c r="E657" s="105">
        <f t="shared" si="28"/>
        <v>46044</v>
      </c>
      <c r="F657" s="105">
        <v>46043</v>
      </c>
      <c r="G657" s="2">
        <f t="shared" si="27"/>
        <v>46044</v>
      </c>
      <c r="H657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46000</v>
      </c>
      <c r="I657" s="95" t="s">
        <v>632</v>
      </c>
    </row>
    <row r="658" spans="1:9" x14ac:dyDescent="0.3">
      <c r="A658" s="1" t="s">
        <v>123</v>
      </c>
      <c r="B658" s="6"/>
      <c r="C658" s="1">
        <v>-1</v>
      </c>
      <c r="D658" s="105">
        <v>46075</v>
      </c>
      <c r="E658" s="105">
        <f t="shared" si="28"/>
        <v>46076</v>
      </c>
      <c r="F658" s="105">
        <v>46075</v>
      </c>
      <c r="G658" s="2">
        <f t="shared" si="27"/>
        <v>46076</v>
      </c>
      <c r="H658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46000</v>
      </c>
      <c r="I658" s="95" t="s">
        <v>632</v>
      </c>
    </row>
    <row r="659" spans="1:9" x14ac:dyDescent="0.3">
      <c r="A659" s="1" t="s">
        <v>123</v>
      </c>
      <c r="B659" s="6"/>
      <c r="C659" s="1">
        <v>-1</v>
      </c>
      <c r="D659" s="105">
        <v>46034</v>
      </c>
      <c r="E659" s="105">
        <f t="shared" si="28"/>
        <v>46041</v>
      </c>
      <c r="F659" s="105">
        <v>46040</v>
      </c>
      <c r="G659" s="2">
        <f t="shared" si="27"/>
        <v>46041</v>
      </c>
      <c r="H659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46000</v>
      </c>
      <c r="I659" s="95" t="s">
        <v>633</v>
      </c>
    </row>
    <row r="660" spans="1:9" x14ac:dyDescent="0.3">
      <c r="A660" s="1" t="s">
        <v>123</v>
      </c>
      <c r="B660" s="6"/>
      <c r="C660" s="1">
        <v>-1</v>
      </c>
      <c r="D660" s="105">
        <v>46011</v>
      </c>
      <c r="E660" s="105">
        <f t="shared" si="28"/>
        <v>46014</v>
      </c>
      <c r="F660" s="105">
        <v>46013</v>
      </c>
      <c r="G660" s="2">
        <f t="shared" si="27"/>
        <v>46014</v>
      </c>
      <c r="H660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46000</v>
      </c>
      <c r="I660" s="95" t="s">
        <v>633</v>
      </c>
    </row>
    <row r="661" spans="1:9" x14ac:dyDescent="0.3">
      <c r="A661" s="1" t="s">
        <v>123</v>
      </c>
      <c r="B661" s="6"/>
      <c r="C661" s="1">
        <v>-1</v>
      </c>
      <c r="D661" s="105">
        <v>46032</v>
      </c>
      <c r="E661" s="105">
        <f t="shared" si="28"/>
        <v>46005</v>
      </c>
      <c r="F661" s="105">
        <v>46004</v>
      </c>
      <c r="G661" s="2">
        <f t="shared" si="27"/>
        <v>46005</v>
      </c>
      <c r="H661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46000</v>
      </c>
      <c r="I661" s="95" t="s">
        <v>633</v>
      </c>
    </row>
    <row r="662" spans="1:9" x14ac:dyDescent="0.3">
      <c r="A662" s="1" t="s">
        <v>123</v>
      </c>
      <c r="B662" s="6"/>
      <c r="C662" s="1">
        <v>-1</v>
      </c>
      <c r="D662" s="105">
        <v>46011</v>
      </c>
      <c r="E662" s="105">
        <f t="shared" si="28"/>
        <v>46014</v>
      </c>
      <c r="F662" s="105">
        <v>46013</v>
      </c>
      <c r="G662" s="2">
        <f t="shared" si="27"/>
        <v>46014</v>
      </c>
      <c r="H662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46000</v>
      </c>
      <c r="I662" s="95" t="s">
        <v>633</v>
      </c>
    </row>
    <row r="663" spans="1:9" x14ac:dyDescent="0.3">
      <c r="A663" s="1" t="s">
        <v>123</v>
      </c>
      <c r="B663" s="6"/>
      <c r="C663" s="1">
        <v>-1</v>
      </c>
      <c r="D663" s="105">
        <v>46019</v>
      </c>
      <c r="E663" s="105">
        <f t="shared" si="28"/>
        <v>46020</v>
      </c>
      <c r="F663" s="105">
        <v>46019</v>
      </c>
      <c r="G663" s="2">
        <f t="shared" si="27"/>
        <v>46020</v>
      </c>
      <c r="H663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46000</v>
      </c>
      <c r="I663" s="95" t="s">
        <v>633</v>
      </c>
    </row>
    <row r="664" spans="1:9" x14ac:dyDescent="0.3">
      <c r="A664" s="1" t="s">
        <v>123</v>
      </c>
      <c r="B664" s="6"/>
      <c r="C664" s="1">
        <v>-1</v>
      </c>
      <c r="D664" s="105">
        <v>46032</v>
      </c>
      <c r="E664" s="105">
        <f t="shared" si="28"/>
        <v>46036</v>
      </c>
      <c r="F664" s="105">
        <v>46035</v>
      </c>
      <c r="G664" s="2">
        <f t="shared" si="27"/>
        <v>46036</v>
      </c>
      <c r="H664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46000</v>
      </c>
      <c r="I664" s="95" t="s">
        <v>633</v>
      </c>
    </row>
    <row r="665" spans="1:9" x14ac:dyDescent="0.3">
      <c r="A665" s="1" t="s">
        <v>123</v>
      </c>
      <c r="B665" s="6"/>
      <c r="C665" s="1">
        <v>-1</v>
      </c>
      <c r="D665" s="105">
        <v>46011</v>
      </c>
      <c r="E665" s="105">
        <f t="shared" si="28"/>
        <v>46012</v>
      </c>
      <c r="F665" s="105">
        <v>46011</v>
      </c>
      <c r="G665" s="2">
        <f t="shared" si="27"/>
        <v>46012</v>
      </c>
      <c r="H665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46000</v>
      </c>
      <c r="I665" s="95" t="s">
        <v>633</v>
      </c>
    </row>
    <row r="666" spans="1:9" x14ac:dyDescent="0.3">
      <c r="A666" s="1" t="s">
        <v>123</v>
      </c>
      <c r="B666" s="6"/>
      <c r="C666" s="1">
        <v>-1</v>
      </c>
      <c r="D666" s="105">
        <v>46032</v>
      </c>
      <c r="E666" s="105">
        <f t="shared" si="28"/>
        <v>46033</v>
      </c>
      <c r="F666" s="105">
        <v>46032</v>
      </c>
      <c r="G666" s="2">
        <f t="shared" si="27"/>
        <v>46033</v>
      </c>
      <c r="H666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46000</v>
      </c>
      <c r="I666" s="95" t="s">
        <v>633</v>
      </c>
    </row>
    <row r="667" spans="1:9" x14ac:dyDescent="0.3">
      <c r="A667" s="1" t="s">
        <v>123</v>
      </c>
      <c r="B667" s="6"/>
      <c r="C667" s="1">
        <v>-1</v>
      </c>
      <c r="D667" s="105">
        <v>46033</v>
      </c>
      <c r="E667" s="105">
        <f t="shared" si="28"/>
        <v>46036</v>
      </c>
      <c r="F667" s="105">
        <v>46035</v>
      </c>
      <c r="G667" s="2">
        <f t="shared" si="27"/>
        <v>46036</v>
      </c>
      <c r="H667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46000</v>
      </c>
      <c r="I667" s="95" t="s">
        <v>633</v>
      </c>
    </row>
    <row r="668" spans="1:9" x14ac:dyDescent="0.3">
      <c r="A668" s="1" t="s">
        <v>590</v>
      </c>
      <c r="B668" s="6"/>
      <c r="C668" s="1">
        <v>-1</v>
      </c>
      <c r="D668" s="105">
        <v>46025</v>
      </c>
      <c r="E668" s="105">
        <f t="shared" si="28"/>
        <v>46029</v>
      </c>
      <c r="F668" s="105">
        <v>46028</v>
      </c>
      <c r="G668" s="2">
        <f t="shared" si="27"/>
        <v>46029</v>
      </c>
      <c r="H668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46000</v>
      </c>
      <c r="I668" s="95" t="s">
        <v>634</v>
      </c>
    </row>
    <row r="669" spans="1:9" x14ac:dyDescent="0.3">
      <c r="A669" s="1" t="s">
        <v>105</v>
      </c>
      <c r="B669" s="6"/>
      <c r="C669" s="1">
        <v>-1</v>
      </c>
      <c r="D669" s="105">
        <v>46034</v>
      </c>
      <c r="E669" s="105">
        <f t="shared" si="28"/>
        <v>46038</v>
      </c>
      <c r="F669" s="105">
        <v>46037</v>
      </c>
      <c r="G669" s="2">
        <f t="shared" si="27"/>
        <v>46038</v>
      </c>
      <c r="H669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46000</v>
      </c>
      <c r="I669" s="95" t="s">
        <v>635</v>
      </c>
    </row>
    <row r="670" spans="1:9" x14ac:dyDescent="0.3">
      <c r="A670" s="1" t="s">
        <v>86</v>
      </c>
      <c r="B670" s="6"/>
      <c r="C670" s="1">
        <v>-1</v>
      </c>
      <c r="D670" s="105">
        <v>46011</v>
      </c>
      <c r="E670" s="105">
        <f t="shared" si="28"/>
        <v>46013</v>
      </c>
      <c r="F670" s="105">
        <v>46012</v>
      </c>
      <c r="G670" s="2">
        <f t="shared" si="27"/>
        <v>46013</v>
      </c>
      <c r="H670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46001</v>
      </c>
      <c r="I670" s="95" t="s">
        <v>636</v>
      </c>
    </row>
    <row r="671" spans="1:9" x14ac:dyDescent="0.3">
      <c r="A671" s="1" t="s">
        <v>86</v>
      </c>
      <c r="B671" s="6"/>
      <c r="C671" s="1">
        <v>-1</v>
      </c>
      <c r="D671" s="105">
        <v>46021</v>
      </c>
      <c r="E671" s="105">
        <f t="shared" si="28"/>
        <v>46026</v>
      </c>
      <c r="F671" s="105">
        <v>46025</v>
      </c>
      <c r="G671" s="2">
        <f t="shared" si="27"/>
        <v>46026</v>
      </c>
      <c r="H671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46001</v>
      </c>
      <c r="I671" s="95" t="s">
        <v>636</v>
      </c>
    </row>
    <row r="672" spans="1:9" x14ac:dyDescent="0.3">
      <c r="A672" s="1" t="s">
        <v>123</v>
      </c>
      <c r="B672" s="6"/>
      <c r="C672" s="1">
        <v>-1</v>
      </c>
      <c r="D672" s="105">
        <v>46012</v>
      </c>
      <c r="E672" s="105">
        <f t="shared" si="28"/>
        <v>46014</v>
      </c>
      <c r="F672" s="105">
        <v>46013</v>
      </c>
      <c r="G672" s="2">
        <f t="shared" si="27"/>
        <v>46014</v>
      </c>
      <c r="H672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46001</v>
      </c>
      <c r="I672" s="95" t="s">
        <v>637</v>
      </c>
    </row>
    <row r="673" spans="1:9" x14ac:dyDescent="0.3">
      <c r="A673" s="1" t="s">
        <v>71</v>
      </c>
      <c r="B673" s="6"/>
      <c r="C673" s="1">
        <v>-1</v>
      </c>
      <c r="D673" s="105">
        <v>46006</v>
      </c>
      <c r="E673" s="105">
        <f t="shared" si="28"/>
        <v>46007</v>
      </c>
      <c r="F673" s="105">
        <v>46006</v>
      </c>
      <c r="G673" s="2">
        <f t="shared" si="27"/>
        <v>46007</v>
      </c>
      <c r="H673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46001</v>
      </c>
      <c r="I673" s="95" t="s">
        <v>638</v>
      </c>
    </row>
    <row r="674" spans="1:9" x14ac:dyDescent="0.3">
      <c r="A674" s="1" t="s">
        <v>71</v>
      </c>
      <c r="B674" s="6"/>
      <c r="C674" s="1">
        <v>-1</v>
      </c>
      <c r="D674" s="105">
        <v>46007</v>
      </c>
      <c r="E674" s="105">
        <f t="shared" si="28"/>
        <v>46013</v>
      </c>
      <c r="F674" s="105">
        <v>46012</v>
      </c>
      <c r="G674" s="2">
        <f t="shared" si="27"/>
        <v>46013</v>
      </c>
      <c r="H674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46001</v>
      </c>
      <c r="I674" s="95" t="s">
        <v>638</v>
      </c>
    </row>
    <row r="675" spans="1:9" x14ac:dyDescent="0.3">
      <c r="A675" s="1" t="s">
        <v>88</v>
      </c>
      <c r="B675" s="6"/>
      <c r="C675" s="1">
        <v>-1</v>
      </c>
      <c r="D675" s="105">
        <v>46012</v>
      </c>
      <c r="E675" s="105">
        <f t="shared" si="28"/>
        <v>46013</v>
      </c>
      <c r="F675" s="105">
        <v>46012</v>
      </c>
      <c r="G675" s="2">
        <f t="shared" si="27"/>
        <v>46013</v>
      </c>
      <c r="H675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46001</v>
      </c>
      <c r="I675" s="95" t="s">
        <v>639</v>
      </c>
    </row>
    <row r="676" spans="1:9" x14ac:dyDescent="0.3">
      <c r="A676" s="1" t="s">
        <v>118</v>
      </c>
      <c r="B676" s="6"/>
      <c r="C676" s="1">
        <v>-1</v>
      </c>
      <c r="D676" s="105">
        <v>46014</v>
      </c>
      <c r="E676" s="105">
        <f t="shared" si="28"/>
        <v>46017</v>
      </c>
      <c r="F676" s="105">
        <v>46016</v>
      </c>
      <c r="G676" s="2">
        <f t="shared" ref="G676:G739" si="29">F676+1</f>
        <v>46017</v>
      </c>
      <c r="H676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46001</v>
      </c>
      <c r="I676" s="95" t="s">
        <v>639</v>
      </c>
    </row>
    <row r="677" spans="1:9" x14ac:dyDescent="0.3">
      <c r="A677" s="1" t="s">
        <v>71</v>
      </c>
      <c r="B677" s="6"/>
      <c r="C677" s="1">
        <v>-1</v>
      </c>
      <c r="D677" s="105">
        <v>46026</v>
      </c>
      <c r="E677" s="105">
        <f t="shared" si="28"/>
        <v>46029</v>
      </c>
      <c r="F677" s="105">
        <v>46028</v>
      </c>
      <c r="G677" s="2">
        <f t="shared" si="29"/>
        <v>46029</v>
      </c>
      <c r="H677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46001</v>
      </c>
      <c r="I677" s="95" t="s">
        <v>640</v>
      </c>
    </row>
    <row r="678" spans="1:9" x14ac:dyDescent="0.3">
      <c r="A678" s="1" t="s">
        <v>71</v>
      </c>
      <c r="B678" s="6"/>
      <c r="C678" s="1">
        <v>-1</v>
      </c>
      <c r="D678" s="105">
        <v>46006</v>
      </c>
      <c r="E678" s="105">
        <f t="shared" si="28"/>
        <v>46007</v>
      </c>
      <c r="F678" s="105">
        <v>46006</v>
      </c>
      <c r="G678" s="2">
        <f t="shared" si="29"/>
        <v>46007</v>
      </c>
      <c r="H678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46001</v>
      </c>
      <c r="I678" s="95" t="s">
        <v>638</v>
      </c>
    </row>
    <row r="679" spans="1:9" x14ac:dyDescent="0.3">
      <c r="A679" s="1" t="s">
        <v>71</v>
      </c>
      <c r="B679" s="6"/>
      <c r="C679" s="1">
        <v>-1</v>
      </c>
      <c r="D679" s="105">
        <v>46007</v>
      </c>
      <c r="E679" s="105">
        <f t="shared" si="28"/>
        <v>46013</v>
      </c>
      <c r="F679" s="105">
        <v>46012</v>
      </c>
      <c r="G679" s="2">
        <f t="shared" si="29"/>
        <v>46013</v>
      </c>
      <c r="H679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46001</v>
      </c>
      <c r="I679" s="95" t="s">
        <v>638</v>
      </c>
    </row>
    <row r="680" spans="1:9" x14ac:dyDescent="0.3">
      <c r="A680" s="1" t="s">
        <v>57</v>
      </c>
      <c r="B680" s="6"/>
      <c r="C680" s="1">
        <v>-1</v>
      </c>
      <c r="D680" s="105">
        <v>46024</v>
      </c>
      <c r="E680" s="105">
        <f t="shared" si="28"/>
        <v>46030</v>
      </c>
      <c r="F680" s="105">
        <v>46029</v>
      </c>
      <c r="G680" s="2">
        <f t="shared" si="29"/>
        <v>46030</v>
      </c>
      <c r="H680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46001</v>
      </c>
      <c r="I680" s="95" t="s">
        <v>641</v>
      </c>
    </row>
    <row r="681" spans="1:9" x14ac:dyDescent="0.3">
      <c r="A681" s="1" t="s">
        <v>57</v>
      </c>
      <c r="B681" s="5"/>
      <c r="C681" s="1">
        <v>-1</v>
      </c>
      <c r="D681" s="105">
        <v>46063</v>
      </c>
      <c r="E681" s="105">
        <f t="shared" si="28"/>
        <v>46064</v>
      </c>
      <c r="F681" s="105">
        <v>46063</v>
      </c>
      <c r="G681" s="2">
        <f t="shared" si="29"/>
        <v>46064</v>
      </c>
      <c r="H681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46001</v>
      </c>
      <c r="I681" s="95" t="s">
        <v>641</v>
      </c>
    </row>
    <row r="682" spans="1:9" x14ac:dyDescent="0.3">
      <c r="A682" s="1" t="s">
        <v>57</v>
      </c>
      <c r="B682" s="6"/>
      <c r="C682" s="1">
        <v>-1</v>
      </c>
      <c r="D682" s="105">
        <v>46121</v>
      </c>
      <c r="E682" s="105">
        <f t="shared" si="28"/>
        <v>46123</v>
      </c>
      <c r="F682" s="105">
        <v>46122</v>
      </c>
      <c r="G682" s="2">
        <f t="shared" si="29"/>
        <v>46123</v>
      </c>
      <c r="H682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46001</v>
      </c>
      <c r="I682" s="95" t="s">
        <v>641</v>
      </c>
    </row>
    <row r="683" spans="1:9" x14ac:dyDescent="0.3">
      <c r="A683" s="1" t="s">
        <v>104</v>
      </c>
      <c r="B683" s="6"/>
      <c r="C683" s="1">
        <v>-1</v>
      </c>
      <c r="D683" s="105">
        <v>46024</v>
      </c>
      <c r="E683" s="105">
        <f t="shared" si="28"/>
        <v>46028</v>
      </c>
      <c r="F683" s="105">
        <v>46027</v>
      </c>
      <c r="G683" s="2">
        <f t="shared" si="29"/>
        <v>46028</v>
      </c>
      <c r="H683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46002</v>
      </c>
      <c r="I683" s="95" t="s">
        <v>642</v>
      </c>
    </row>
    <row r="684" spans="1:9" x14ac:dyDescent="0.3">
      <c r="A684" s="1" t="s">
        <v>110</v>
      </c>
      <c r="B684" s="6"/>
      <c r="C684" s="1">
        <v>-1</v>
      </c>
      <c r="D684" s="105">
        <v>46024</v>
      </c>
      <c r="E684" s="105">
        <f t="shared" si="28"/>
        <v>46025</v>
      </c>
      <c r="F684" s="105">
        <v>46024</v>
      </c>
      <c r="G684" s="2">
        <f t="shared" si="29"/>
        <v>46025</v>
      </c>
      <c r="H684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46002</v>
      </c>
      <c r="I684" s="95" t="s">
        <v>643</v>
      </c>
    </row>
    <row r="685" spans="1:9" x14ac:dyDescent="0.3">
      <c r="A685" s="1" t="s">
        <v>307</v>
      </c>
      <c r="B685" s="6"/>
      <c r="C685" s="1">
        <v>-1</v>
      </c>
      <c r="D685" s="105">
        <v>46013</v>
      </c>
      <c r="E685" s="105">
        <f t="shared" si="28"/>
        <v>46029</v>
      </c>
      <c r="F685" s="105">
        <v>46028</v>
      </c>
      <c r="G685" s="2">
        <f t="shared" si="29"/>
        <v>46029</v>
      </c>
      <c r="H685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46001</v>
      </c>
      <c r="I685" s="95" t="s">
        <v>644</v>
      </c>
    </row>
    <row r="686" spans="1:9" x14ac:dyDescent="0.3">
      <c r="A686" s="1" t="s">
        <v>307</v>
      </c>
      <c r="B686" s="6"/>
      <c r="C686" s="1">
        <v>-1</v>
      </c>
      <c r="D686" s="105">
        <v>46003</v>
      </c>
      <c r="E686" s="105">
        <f t="shared" si="28"/>
        <v>46048</v>
      </c>
      <c r="F686" s="105">
        <v>46047</v>
      </c>
      <c r="G686" s="2">
        <f t="shared" si="29"/>
        <v>46048</v>
      </c>
      <c r="H686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46001</v>
      </c>
      <c r="I686" s="95" t="s">
        <v>644</v>
      </c>
    </row>
    <row r="687" spans="1:9" x14ac:dyDescent="0.3">
      <c r="A687" s="1" t="s">
        <v>307</v>
      </c>
      <c r="B687" s="6"/>
      <c r="C687" s="1">
        <v>-1</v>
      </c>
      <c r="D687" s="105">
        <v>46003</v>
      </c>
      <c r="E687" s="105">
        <f t="shared" si="28"/>
        <v>46041</v>
      </c>
      <c r="F687" s="105">
        <v>46040</v>
      </c>
      <c r="G687" s="2">
        <f t="shared" si="29"/>
        <v>46041</v>
      </c>
      <c r="H687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46001</v>
      </c>
      <c r="I687" s="95" t="s">
        <v>644</v>
      </c>
    </row>
    <row r="688" spans="1:9" x14ac:dyDescent="0.3">
      <c r="A688" s="1" t="s">
        <v>307</v>
      </c>
      <c r="B688" s="6"/>
      <c r="C688" s="1">
        <v>-1</v>
      </c>
      <c r="D688" s="105">
        <v>46003</v>
      </c>
      <c r="E688" s="105">
        <f t="shared" si="28"/>
        <v>46033</v>
      </c>
      <c r="F688" s="105">
        <v>46032</v>
      </c>
      <c r="G688" s="2">
        <f t="shared" si="29"/>
        <v>46033</v>
      </c>
      <c r="H688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46001</v>
      </c>
      <c r="I688" s="95" t="s">
        <v>644</v>
      </c>
    </row>
    <row r="689" spans="1:9" x14ac:dyDescent="0.3">
      <c r="A689" s="1" t="s">
        <v>307</v>
      </c>
      <c r="B689" s="6"/>
      <c r="C689" s="1">
        <v>-1</v>
      </c>
      <c r="D689" s="105">
        <v>46003</v>
      </c>
      <c r="E689" s="105">
        <f t="shared" si="28"/>
        <v>46035</v>
      </c>
      <c r="F689" s="105">
        <v>46034</v>
      </c>
      <c r="G689" s="2">
        <f t="shared" si="29"/>
        <v>46035</v>
      </c>
      <c r="H689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46001</v>
      </c>
      <c r="I689" s="95" t="s">
        <v>644</v>
      </c>
    </row>
    <row r="690" spans="1:9" x14ac:dyDescent="0.3">
      <c r="A690" s="1" t="s">
        <v>623</v>
      </c>
      <c r="B690" s="6"/>
      <c r="C690" s="1">
        <v>-1</v>
      </c>
      <c r="D690" s="105">
        <v>46009</v>
      </c>
      <c r="E690" s="105">
        <f t="shared" si="28"/>
        <v>46013</v>
      </c>
      <c r="F690" s="105">
        <v>46012</v>
      </c>
      <c r="G690" s="2">
        <f t="shared" si="29"/>
        <v>46013</v>
      </c>
      <c r="H690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46002</v>
      </c>
      <c r="I690" s="95" t="s">
        <v>645</v>
      </c>
    </row>
    <row r="691" spans="1:9" x14ac:dyDescent="0.3">
      <c r="A691" s="1" t="s">
        <v>528</v>
      </c>
      <c r="B691" s="6"/>
      <c r="C691" s="1">
        <v>-1</v>
      </c>
      <c r="D691" s="105">
        <v>46015</v>
      </c>
      <c r="E691" s="105">
        <f t="shared" si="28"/>
        <v>46021</v>
      </c>
      <c r="F691" s="105">
        <v>46020</v>
      </c>
      <c r="G691" s="2">
        <f t="shared" si="29"/>
        <v>46021</v>
      </c>
      <c r="H691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46002</v>
      </c>
      <c r="I691" s="95" t="s">
        <v>646</v>
      </c>
    </row>
    <row r="692" spans="1:9" x14ac:dyDescent="0.3">
      <c r="A692" s="1" t="s">
        <v>123</v>
      </c>
      <c r="B692" s="6"/>
      <c r="C692" s="1">
        <v>-1</v>
      </c>
      <c r="D692" s="105">
        <v>46016</v>
      </c>
      <c r="E692" s="105">
        <f t="shared" si="28"/>
        <v>46019</v>
      </c>
      <c r="F692" s="105">
        <v>46018</v>
      </c>
      <c r="G692" s="2">
        <f t="shared" si="29"/>
        <v>46019</v>
      </c>
      <c r="H692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46002</v>
      </c>
      <c r="I692" s="95" t="s">
        <v>647</v>
      </c>
    </row>
    <row r="693" spans="1:9" x14ac:dyDescent="0.3">
      <c r="A693" s="1" t="s">
        <v>122</v>
      </c>
      <c r="B693" s="6"/>
      <c r="C693" s="1">
        <v>-1</v>
      </c>
      <c r="D693" s="105">
        <v>46015</v>
      </c>
      <c r="E693" s="105">
        <f t="shared" si="28"/>
        <v>46017</v>
      </c>
      <c r="F693" s="105">
        <v>46016</v>
      </c>
      <c r="G693" s="2">
        <f t="shared" si="29"/>
        <v>46017</v>
      </c>
      <c r="H693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46002</v>
      </c>
      <c r="I693" s="95" t="s">
        <v>648</v>
      </c>
    </row>
    <row r="694" spans="1:9" x14ac:dyDescent="0.3">
      <c r="A694" s="1" t="s">
        <v>122</v>
      </c>
      <c r="B694" s="6"/>
      <c r="C694" s="1">
        <v>-1</v>
      </c>
      <c r="D694" s="105">
        <v>46024</v>
      </c>
      <c r="E694" s="105">
        <f t="shared" si="28"/>
        <v>46027</v>
      </c>
      <c r="F694" s="105">
        <v>46026</v>
      </c>
      <c r="G694" s="2">
        <f t="shared" si="29"/>
        <v>46027</v>
      </c>
      <c r="H694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46002</v>
      </c>
      <c r="I694" s="95" t="s">
        <v>648</v>
      </c>
    </row>
    <row r="695" spans="1:9" x14ac:dyDescent="0.3">
      <c r="A695" s="1" t="s">
        <v>92</v>
      </c>
      <c r="B695" s="6"/>
      <c r="C695" s="1">
        <v>-1</v>
      </c>
      <c r="D695" s="105">
        <v>46015</v>
      </c>
      <c r="E695" s="105">
        <f t="shared" si="28"/>
        <v>46016</v>
      </c>
      <c r="F695" s="105">
        <v>46015</v>
      </c>
      <c r="G695" s="2">
        <f t="shared" si="29"/>
        <v>46016</v>
      </c>
      <c r="H695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46002</v>
      </c>
      <c r="I695" s="95" t="s">
        <v>649</v>
      </c>
    </row>
    <row r="696" spans="1:9" x14ac:dyDescent="0.3">
      <c r="A696" s="1" t="s">
        <v>123</v>
      </c>
      <c r="B696" s="6"/>
      <c r="C696" s="1">
        <v>-1</v>
      </c>
      <c r="D696" s="105">
        <v>46040</v>
      </c>
      <c r="E696" s="105">
        <f t="shared" si="28"/>
        <v>46011</v>
      </c>
      <c r="F696" s="105">
        <v>46010</v>
      </c>
      <c r="G696" s="2">
        <f t="shared" si="29"/>
        <v>46011</v>
      </c>
      <c r="H696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46002</v>
      </c>
      <c r="I696" s="95" t="s">
        <v>650</v>
      </c>
    </row>
    <row r="697" spans="1:9" x14ac:dyDescent="0.3">
      <c r="A697" s="1" t="s">
        <v>123</v>
      </c>
      <c r="B697" s="6"/>
      <c r="C697" s="1">
        <v>-1</v>
      </c>
      <c r="D697" s="105">
        <v>46037</v>
      </c>
      <c r="E697" s="105">
        <f t="shared" si="28"/>
        <v>46039</v>
      </c>
      <c r="F697" s="105">
        <v>46038</v>
      </c>
      <c r="G697" s="2">
        <f t="shared" si="29"/>
        <v>46039</v>
      </c>
      <c r="H697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46002</v>
      </c>
      <c r="I697" s="95" t="s">
        <v>650</v>
      </c>
    </row>
    <row r="698" spans="1:9" x14ac:dyDescent="0.3">
      <c r="A698" s="1" t="s">
        <v>123</v>
      </c>
      <c r="B698" s="6"/>
      <c r="C698" s="1">
        <v>-1</v>
      </c>
      <c r="D698" s="105">
        <v>46010</v>
      </c>
      <c r="E698" s="105">
        <f t="shared" si="28"/>
        <v>46011</v>
      </c>
      <c r="F698" s="105">
        <v>46010</v>
      </c>
      <c r="G698" s="2">
        <f t="shared" si="29"/>
        <v>46011</v>
      </c>
      <c r="H698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46002</v>
      </c>
      <c r="I698" s="95" t="s">
        <v>650</v>
      </c>
    </row>
    <row r="699" spans="1:9" x14ac:dyDescent="0.3">
      <c r="A699" s="1" t="s">
        <v>123</v>
      </c>
      <c r="B699" s="6"/>
      <c r="C699" s="1">
        <v>-1</v>
      </c>
      <c r="D699" s="105">
        <v>46014</v>
      </c>
      <c r="E699" s="105">
        <f t="shared" ref="E699:E762" si="30">G699</f>
        <v>46019</v>
      </c>
      <c r="F699" s="105">
        <v>46018</v>
      </c>
      <c r="G699" s="2">
        <f t="shared" si="29"/>
        <v>46019</v>
      </c>
      <c r="H699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46002</v>
      </c>
      <c r="I699" s="95" t="s">
        <v>650</v>
      </c>
    </row>
    <row r="700" spans="1:9" x14ac:dyDescent="0.3">
      <c r="A700" s="1" t="s">
        <v>123</v>
      </c>
      <c r="B700" s="6"/>
      <c r="C700" s="1">
        <v>-1</v>
      </c>
      <c r="D700" s="105">
        <v>46036</v>
      </c>
      <c r="E700" s="105">
        <f t="shared" si="30"/>
        <v>46037</v>
      </c>
      <c r="F700" s="105">
        <v>46036</v>
      </c>
      <c r="G700" s="2">
        <f t="shared" si="29"/>
        <v>46037</v>
      </c>
      <c r="H700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46002</v>
      </c>
      <c r="I700" s="95" t="s">
        <v>650</v>
      </c>
    </row>
    <row r="701" spans="1:9" x14ac:dyDescent="0.3">
      <c r="A701" s="1" t="s">
        <v>123</v>
      </c>
      <c r="B701" s="6"/>
      <c r="C701" s="1">
        <v>-1</v>
      </c>
      <c r="D701" s="105">
        <v>46036</v>
      </c>
      <c r="E701" s="105">
        <f t="shared" si="30"/>
        <v>46042</v>
      </c>
      <c r="F701" s="105">
        <v>46041</v>
      </c>
      <c r="G701" s="2">
        <f t="shared" si="29"/>
        <v>46042</v>
      </c>
      <c r="H701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46002</v>
      </c>
      <c r="I701" s="95" t="s">
        <v>650</v>
      </c>
    </row>
    <row r="702" spans="1:9" x14ac:dyDescent="0.3">
      <c r="A702" s="1" t="s">
        <v>123</v>
      </c>
      <c r="B702" s="6"/>
      <c r="C702" s="1">
        <v>-1</v>
      </c>
      <c r="D702" s="105">
        <v>46077</v>
      </c>
      <c r="E702" s="105">
        <f t="shared" si="30"/>
        <v>46080</v>
      </c>
      <c r="F702" s="105">
        <v>46079</v>
      </c>
      <c r="G702" s="2">
        <f t="shared" si="29"/>
        <v>46080</v>
      </c>
      <c r="H702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46002</v>
      </c>
      <c r="I702" s="95" t="s">
        <v>650</v>
      </c>
    </row>
    <row r="703" spans="1:9" x14ac:dyDescent="0.3">
      <c r="A703" s="1" t="s">
        <v>125</v>
      </c>
      <c r="B703" s="6"/>
      <c r="C703" s="1">
        <v>-1</v>
      </c>
      <c r="D703" s="105">
        <v>46024</v>
      </c>
      <c r="E703" s="105">
        <f t="shared" si="30"/>
        <v>46025</v>
      </c>
      <c r="F703" s="105">
        <v>46024</v>
      </c>
      <c r="G703" s="2">
        <f t="shared" si="29"/>
        <v>46025</v>
      </c>
      <c r="H703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46002</v>
      </c>
      <c r="I703" s="95" t="s">
        <v>651</v>
      </c>
    </row>
    <row r="704" spans="1:9" x14ac:dyDescent="0.3">
      <c r="A704" s="1" t="s">
        <v>121</v>
      </c>
      <c r="B704" s="6"/>
      <c r="C704" s="1">
        <v>-1</v>
      </c>
      <c r="D704" s="105">
        <v>46011</v>
      </c>
      <c r="E704" s="105">
        <f t="shared" si="30"/>
        <v>46014</v>
      </c>
      <c r="F704" s="105">
        <v>46013</v>
      </c>
      <c r="G704" s="2">
        <f t="shared" si="29"/>
        <v>46014</v>
      </c>
      <c r="H704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46002</v>
      </c>
      <c r="I704" s="95" t="s">
        <v>652</v>
      </c>
    </row>
    <row r="705" spans="1:9" x14ac:dyDescent="0.3">
      <c r="A705" s="1" t="s">
        <v>307</v>
      </c>
      <c r="B705" s="6"/>
      <c r="C705" s="1">
        <v>-1</v>
      </c>
      <c r="D705" s="105">
        <v>46014</v>
      </c>
      <c r="E705" s="105">
        <f t="shared" si="30"/>
        <v>46029</v>
      </c>
      <c r="F705" s="105">
        <v>46028</v>
      </c>
      <c r="G705" s="2">
        <f t="shared" si="29"/>
        <v>46029</v>
      </c>
      <c r="H705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46002</v>
      </c>
      <c r="I705" s="95" t="s">
        <v>653</v>
      </c>
    </row>
    <row r="706" spans="1:9" x14ac:dyDescent="0.3">
      <c r="A706" s="1" t="s">
        <v>307</v>
      </c>
      <c r="B706" s="6"/>
      <c r="C706" s="1">
        <v>-1</v>
      </c>
      <c r="D706" s="105">
        <v>46003</v>
      </c>
      <c r="E706" s="105">
        <f t="shared" si="30"/>
        <v>46069</v>
      </c>
      <c r="F706" s="105">
        <v>46068</v>
      </c>
      <c r="G706" s="2">
        <f t="shared" si="29"/>
        <v>46069</v>
      </c>
      <c r="H706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46002</v>
      </c>
      <c r="I706" s="95" t="s">
        <v>653</v>
      </c>
    </row>
    <row r="707" spans="1:9" x14ac:dyDescent="0.3">
      <c r="A707" s="1" t="s">
        <v>307</v>
      </c>
      <c r="B707" s="6"/>
      <c r="C707" s="1">
        <v>-1</v>
      </c>
      <c r="D707" s="105">
        <v>46003</v>
      </c>
      <c r="E707" s="105">
        <f t="shared" si="30"/>
        <v>46047</v>
      </c>
      <c r="F707" s="105">
        <v>46046</v>
      </c>
      <c r="G707" s="2">
        <f t="shared" si="29"/>
        <v>46047</v>
      </c>
      <c r="H707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46002</v>
      </c>
      <c r="I707" s="95" t="s">
        <v>653</v>
      </c>
    </row>
    <row r="708" spans="1:9" x14ac:dyDescent="0.3">
      <c r="A708" s="1" t="s">
        <v>307</v>
      </c>
      <c r="B708" s="6"/>
      <c r="C708" s="1">
        <v>-1</v>
      </c>
      <c r="D708" s="105">
        <v>46055</v>
      </c>
      <c r="E708" s="105">
        <f t="shared" si="30"/>
        <v>46059</v>
      </c>
      <c r="F708" s="105">
        <v>46058</v>
      </c>
      <c r="G708" s="2">
        <f t="shared" si="29"/>
        <v>46059</v>
      </c>
      <c r="H708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46002</v>
      </c>
      <c r="I708" s="95" t="s">
        <v>653</v>
      </c>
    </row>
    <row r="709" spans="1:9" x14ac:dyDescent="0.3">
      <c r="A709" s="1" t="s">
        <v>307</v>
      </c>
      <c r="B709" s="6"/>
      <c r="C709" s="1">
        <v>-1</v>
      </c>
      <c r="D709" s="105">
        <v>46003</v>
      </c>
      <c r="E709" s="105">
        <f t="shared" si="30"/>
        <v>46035</v>
      </c>
      <c r="F709" s="105">
        <v>46034</v>
      </c>
      <c r="G709" s="2">
        <f t="shared" si="29"/>
        <v>46035</v>
      </c>
      <c r="H709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46002</v>
      </c>
      <c r="I709" s="95" t="s">
        <v>653</v>
      </c>
    </row>
    <row r="710" spans="1:9" x14ac:dyDescent="0.3">
      <c r="A710" s="1" t="s">
        <v>307</v>
      </c>
      <c r="B710" s="6"/>
      <c r="C710" s="1">
        <v>-1</v>
      </c>
      <c r="D710" s="105">
        <v>46068</v>
      </c>
      <c r="E710" s="105">
        <f t="shared" si="30"/>
        <v>46073</v>
      </c>
      <c r="F710" s="105">
        <v>46072</v>
      </c>
      <c r="G710" s="2">
        <f t="shared" si="29"/>
        <v>46073</v>
      </c>
      <c r="H710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46002</v>
      </c>
      <c r="I710" s="95" t="s">
        <v>653</v>
      </c>
    </row>
    <row r="711" spans="1:9" x14ac:dyDescent="0.3">
      <c r="A711" s="1" t="s">
        <v>125</v>
      </c>
      <c r="B711" s="6"/>
      <c r="C711" s="1">
        <v>-1</v>
      </c>
      <c r="D711" s="105">
        <v>46020</v>
      </c>
      <c r="E711" s="105">
        <f t="shared" si="30"/>
        <v>46022</v>
      </c>
      <c r="F711" s="105">
        <v>46021</v>
      </c>
      <c r="G711" s="2">
        <f t="shared" si="29"/>
        <v>46022</v>
      </c>
      <c r="H711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46002</v>
      </c>
      <c r="I711" s="95" t="s">
        <v>654</v>
      </c>
    </row>
    <row r="712" spans="1:9" x14ac:dyDescent="0.3">
      <c r="A712" s="1" t="s">
        <v>123</v>
      </c>
      <c r="B712" s="6"/>
      <c r="C712" s="1">
        <v>-1</v>
      </c>
      <c r="D712" s="105">
        <v>46032</v>
      </c>
      <c r="E712" s="105">
        <f t="shared" si="30"/>
        <v>46035</v>
      </c>
      <c r="F712" s="105">
        <v>46034</v>
      </c>
      <c r="G712" s="2">
        <f t="shared" si="29"/>
        <v>46035</v>
      </c>
      <c r="H712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46002</v>
      </c>
      <c r="I712" s="95" t="s">
        <v>655</v>
      </c>
    </row>
    <row r="713" spans="1:9" x14ac:dyDescent="0.3">
      <c r="A713" s="1" t="s">
        <v>123</v>
      </c>
      <c r="B713" s="6"/>
      <c r="C713" s="1">
        <v>-1</v>
      </c>
      <c r="D713" s="105">
        <v>46032</v>
      </c>
      <c r="E713" s="105">
        <f t="shared" si="30"/>
        <v>46035</v>
      </c>
      <c r="F713" s="105">
        <v>46034</v>
      </c>
      <c r="G713" s="2">
        <f t="shared" si="29"/>
        <v>46035</v>
      </c>
      <c r="H713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46002</v>
      </c>
      <c r="I713" s="95" t="s">
        <v>655</v>
      </c>
    </row>
    <row r="714" spans="1:9" x14ac:dyDescent="0.3">
      <c r="A714" s="1" t="s">
        <v>136</v>
      </c>
      <c r="B714" s="6"/>
      <c r="C714" s="1">
        <v>-1</v>
      </c>
      <c r="D714" s="105">
        <v>46022</v>
      </c>
      <c r="E714" s="105">
        <f t="shared" si="30"/>
        <v>46024</v>
      </c>
      <c r="F714" s="105">
        <v>46023</v>
      </c>
      <c r="G714" s="2">
        <f t="shared" si="29"/>
        <v>46024</v>
      </c>
      <c r="H714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46003</v>
      </c>
      <c r="I714" s="95" t="s">
        <v>656</v>
      </c>
    </row>
    <row r="715" spans="1:9" x14ac:dyDescent="0.3">
      <c r="A715" s="1" t="s">
        <v>89</v>
      </c>
      <c r="B715" s="6"/>
      <c r="C715" s="1">
        <v>-1</v>
      </c>
      <c r="D715" s="105">
        <v>46010</v>
      </c>
      <c r="E715" s="105">
        <f t="shared" si="30"/>
        <v>46011</v>
      </c>
      <c r="F715" s="105">
        <v>46010</v>
      </c>
      <c r="G715" s="2">
        <f t="shared" si="29"/>
        <v>46011</v>
      </c>
      <c r="H715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46003</v>
      </c>
      <c r="I715" s="95" t="s">
        <v>657</v>
      </c>
    </row>
    <row r="716" spans="1:9" x14ac:dyDescent="0.3">
      <c r="A716" s="1" t="s">
        <v>89</v>
      </c>
      <c r="B716" s="6"/>
      <c r="C716" s="1">
        <v>-1</v>
      </c>
      <c r="D716" s="105">
        <v>46021</v>
      </c>
      <c r="E716" s="105">
        <f t="shared" si="30"/>
        <v>46023</v>
      </c>
      <c r="F716" s="105">
        <v>46022</v>
      </c>
      <c r="G716" s="2">
        <f t="shared" si="29"/>
        <v>46023</v>
      </c>
      <c r="H716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46003</v>
      </c>
      <c r="I716" s="95" t="s">
        <v>657</v>
      </c>
    </row>
    <row r="717" spans="1:9" x14ac:dyDescent="0.3">
      <c r="A717" s="1" t="s">
        <v>308</v>
      </c>
      <c r="B717" s="6"/>
      <c r="C717" s="1">
        <v>-1</v>
      </c>
      <c r="D717" s="105">
        <v>46019</v>
      </c>
      <c r="E717" s="105">
        <f t="shared" si="30"/>
        <v>46020</v>
      </c>
      <c r="F717" s="105">
        <v>46019</v>
      </c>
      <c r="G717" s="2">
        <f t="shared" si="29"/>
        <v>46020</v>
      </c>
      <c r="H717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46003</v>
      </c>
      <c r="I717" s="95" t="s">
        <v>658</v>
      </c>
    </row>
    <row r="718" spans="1:9" x14ac:dyDescent="0.3">
      <c r="A718" s="1" t="s">
        <v>108</v>
      </c>
      <c r="B718" s="6"/>
      <c r="C718" s="1">
        <v>-1</v>
      </c>
      <c r="D718" s="105">
        <v>46019</v>
      </c>
      <c r="E718" s="105">
        <f t="shared" si="30"/>
        <v>46020</v>
      </c>
      <c r="F718" s="105">
        <v>46019</v>
      </c>
      <c r="G718" s="2">
        <f t="shared" si="29"/>
        <v>46020</v>
      </c>
      <c r="H718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46003</v>
      </c>
      <c r="I718" s="95" t="s">
        <v>658</v>
      </c>
    </row>
    <row r="719" spans="1:9" x14ac:dyDescent="0.3">
      <c r="A719" s="1" t="s">
        <v>113</v>
      </c>
      <c r="B719" s="6"/>
      <c r="C719" s="1">
        <v>-1</v>
      </c>
      <c r="D719" s="105">
        <v>46024</v>
      </c>
      <c r="E719" s="105">
        <f t="shared" si="30"/>
        <v>46025</v>
      </c>
      <c r="F719" s="105">
        <v>46024</v>
      </c>
      <c r="G719" s="2">
        <f t="shared" si="29"/>
        <v>46025</v>
      </c>
      <c r="H719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46003</v>
      </c>
      <c r="I719" s="95" t="s">
        <v>659</v>
      </c>
    </row>
    <row r="720" spans="1:9" x14ac:dyDescent="0.3">
      <c r="A720" s="1" t="s">
        <v>113</v>
      </c>
      <c r="B720" s="6"/>
      <c r="C720" s="1">
        <v>-1</v>
      </c>
      <c r="D720" s="105">
        <v>46022</v>
      </c>
      <c r="E720" s="105">
        <f t="shared" si="30"/>
        <v>46023</v>
      </c>
      <c r="F720" s="105">
        <v>46022</v>
      </c>
      <c r="G720" s="2">
        <f t="shared" si="29"/>
        <v>46023</v>
      </c>
      <c r="H720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46003</v>
      </c>
      <c r="I720" s="95" t="s">
        <v>659</v>
      </c>
    </row>
    <row r="721" spans="1:9" x14ac:dyDescent="0.3">
      <c r="A721" s="1" t="s">
        <v>66</v>
      </c>
      <c r="B721" s="6"/>
      <c r="C721" s="1">
        <v>-1</v>
      </c>
      <c r="D721" s="105">
        <v>46013</v>
      </c>
      <c r="E721" s="105">
        <f t="shared" si="30"/>
        <v>46014</v>
      </c>
      <c r="F721" s="105">
        <v>46013</v>
      </c>
      <c r="G721" s="2">
        <f t="shared" si="29"/>
        <v>46014</v>
      </c>
      <c r="H721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46004</v>
      </c>
      <c r="I721" s="95" t="s">
        <v>660</v>
      </c>
    </row>
    <row r="722" spans="1:9" x14ac:dyDescent="0.3">
      <c r="A722" s="1" t="s">
        <v>307</v>
      </c>
      <c r="B722" s="6"/>
      <c r="C722" s="1">
        <v>-1</v>
      </c>
      <c r="D722" s="105">
        <v>46015</v>
      </c>
      <c r="E722" s="105">
        <f t="shared" si="30"/>
        <v>46029</v>
      </c>
      <c r="F722" s="105">
        <v>46028</v>
      </c>
      <c r="G722" s="2">
        <f t="shared" si="29"/>
        <v>46029</v>
      </c>
      <c r="H722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46004</v>
      </c>
      <c r="I722" s="95" t="s">
        <v>661</v>
      </c>
    </row>
    <row r="723" spans="1:9" x14ac:dyDescent="0.3">
      <c r="A723" s="1" t="s">
        <v>307</v>
      </c>
      <c r="B723" s="6"/>
      <c r="C723" s="1">
        <v>-1</v>
      </c>
      <c r="D723" s="105">
        <v>46005</v>
      </c>
      <c r="E723" s="105">
        <f t="shared" si="30"/>
        <v>46069</v>
      </c>
      <c r="F723" s="105">
        <v>46068</v>
      </c>
      <c r="G723" s="2">
        <f t="shared" si="29"/>
        <v>46069</v>
      </c>
      <c r="H723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46004</v>
      </c>
      <c r="I723" s="95" t="s">
        <v>661</v>
      </c>
    </row>
    <row r="724" spans="1:9" x14ac:dyDescent="0.3">
      <c r="A724" s="1" t="s">
        <v>307</v>
      </c>
      <c r="B724" s="6"/>
      <c r="C724" s="1">
        <v>-1</v>
      </c>
      <c r="D724" s="105">
        <v>46005</v>
      </c>
      <c r="E724" s="105">
        <f t="shared" si="30"/>
        <v>46017</v>
      </c>
      <c r="F724" s="105">
        <v>46016</v>
      </c>
      <c r="G724" s="2">
        <f t="shared" si="29"/>
        <v>46017</v>
      </c>
      <c r="H724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46004</v>
      </c>
      <c r="I724" s="95" t="s">
        <v>661</v>
      </c>
    </row>
    <row r="725" spans="1:9" x14ac:dyDescent="0.3">
      <c r="A725" s="1" t="s">
        <v>307</v>
      </c>
      <c r="B725" s="6"/>
      <c r="C725" s="1">
        <v>-1</v>
      </c>
      <c r="D725" s="105">
        <v>46054</v>
      </c>
      <c r="E725" s="105">
        <f t="shared" si="30"/>
        <v>46059</v>
      </c>
      <c r="F725" s="105">
        <v>46058</v>
      </c>
      <c r="G725" s="2">
        <f t="shared" si="29"/>
        <v>46059</v>
      </c>
      <c r="H725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46004</v>
      </c>
      <c r="I725" s="95" t="s">
        <v>661</v>
      </c>
    </row>
    <row r="726" spans="1:9" x14ac:dyDescent="0.3">
      <c r="A726" s="1" t="s">
        <v>307</v>
      </c>
      <c r="B726" s="6"/>
      <c r="C726" s="1">
        <v>-1</v>
      </c>
      <c r="D726" s="105">
        <v>46005</v>
      </c>
      <c r="E726" s="105">
        <f t="shared" si="30"/>
        <v>46033</v>
      </c>
      <c r="F726" s="105">
        <v>46032</v>
      </c>
      <c r="G726" s="2">
        <f t="shared" si="29"/>
        <v>46033</v>
      </c>
      <c r="H726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46004</v>
      </c>
      <c r="I726" s="95" t="s">
        <v>661</v>
      </c>
    </row>
    <row r="727" spans="1:9" x14ac:dyDescent="0.3">
      <c r="A727" s="1" t="s">
        <v>307</v>
      </c>
      <c r="B727" s="6"/>
      <c r="C727" s="1">
        <v>-1</v>
      </c>
      <c r="D727" s="105">
        <v>46005</v>
      </c>
      <c r="E727" s="105">
        <f t="shared" si="30"/>
        <v>46035</v>
      </c>
      <c r="F727" s="105">
        <v>46034</v>
      </c>
      <c r="G727" s="2">
        <f t="shared" si="29"/>
        <v>46035</v>
      </c>
      <c r="H727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46004</v>
      </c>
      <c r="I727" s="95" t="s">
        <v>661</v>
      </c>
    </row>
    <row r="728" spans="1:9" x14ac:dyDescent="0.3">
      <c r="A728" s="1" t="s">
        <v>307</v>
      </c>
      <c r="B728" s="6"/>
      <c r="C728" s="1">
        <v>-1</v>
      </c>
      <c r="D728" s="105">
        <v>46068</v>
      </c>
      <c r="E728" s="105">
        <f t="shared" si="30"/>
        <v>46073</v>
      </c>
      <c r="F728" s="105">
        <v>46072</v>
      </c>
      <c r="G728" s="2">
        <f t="shared" si="29"/>
        <v>46073</v>
      </c>
      <c r="H728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46004</v>
      </c>
      <c r="I728" s="95" t="s">
        <v>661</v>
      </c>
    </row>
    <row r="729" spans="1:9" x14ac:dyDescent="0.3">
      <c r="A729" s="1" t="s">
        <v>122</v>
      </c>
      <c r="B729" s="6"/>
      <c r="C729" s="1">
        <v>-1</v>
      </c>
      <c r="D729" s="105">
        <v>46012</v>
      </c>
      <c r="E729" s="105">
        <f t="shared" si="30"/>
        <v>46014</v>
      </c>
      <c r="F729" s="105">
        <v>46013</v>
      </c>
      <c r="G729" s="2">
        <f t="shared" si="29"/>
        <v>46014</v>
      </c>
      <c r="H729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46004</v>
      </c>
      <c r="I729" s="95" t="s">
        <v>662</v>
      </c>
    </row>
    <row r="730" spans="1:9" x14ac:dyDescent="0.3">
      <c r="A730" s="1" t="s">
        <v>77</v>
      </c>
      <c r="B730" s="6"/>
      <c r="C730" s="1">
        <v>-1</v>
      </c>
      <c r="D730" s="105">
        <v>46016</v>
      </c>
      <c r="E730" s="105">
        <f t="shared" si="30"/>
        <v>46017</v>
      </c>
      <c r="F730" s="105">
        <v>46016</v>
      </c>
      <c r="G730" s="2">
        <f t="shared" si="29"/>
        <v>46017</v>
      </c>
      <c r="H730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46004</v>
      </c>
      <c r="I730" s="95" t="s">
        <v>663</v>
      </c>
    </row>
    <row r="731" spans="1:9" x14ac:dyDescent="0.3">
      <c r="A731" s="1" t="s">
        <v>77</v>
      </c>
      <c r="B731" s="6"/>
      <c r="C731" s="1">
        <v>-1</v>
      </c>
      <c r="D731" s="105">
        <v>46022</v>
      </c>
      <c r="E731" s="105">
        <f t="shared" si="30"/>
        <v>46023</v>
      </c>
      <c r="F731" s="105">
        <v>46022</v>
      </c>
      <c r="G731" s="2">
        <f t="shared" si="29"/>
        <v>46023</v>
      </c>
      <c r="H731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46004</v>
      </c>
      <c r="I731" s="95" t="s">
        <v>663</v>
      </c>
    </row>
    <row r="732" spans="1:9" x14ac:dyDescent="0.3">
      <c r="A732" s="1" t="s">
        <v>82</v>
      </c>
      <c r="B732" s="6"/>
      <c r="C732" s="1">
        <v>-1</v>
      </c>
      <c r="D732" s="105">
        <v>46009</v>
      </c>
      <c r="E732" s="105">
        <f t="shared" si="30"/>
        <v>46020</v>
      </c>
      <c r="F732" s="105">
        <v>46019</v>
      </c>
      <c r="G732" s="2">
        <f t="shared" si="29"/>
        <v>46020</v>
      </c>
      <c r="H732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46005</v>
      </c>
      <c r="I732" s="95" t="s">
        <v>664</v>
      </c>
    </row>
    <row r="733" spans="1:9" x14ac:dyDescent="0.3">
      <c r="A733" s="1" t="s">
        <v>123</v>
      </c>
      <c r="B733" s="6"/>
      <c r="C733" s="1">
        <v>-1</v>
      </c>
      <c r="D733" s="105">
        <v>46108</v>
      </c>
      <c r="E733" s="105">
        <f t="shared" si="30"/>
        <v>46115</v>
      </c>
      <c r="F733" s="105">
        <v>46114</v>
      </c>
      <c r="G733" s="2">
        <f t="shared" si="29"/>
        <v>46115</v>
      </c>
      <c r="H733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46005</v>
      </c>
      <c r="I733" s="95" t="s">
        <v>665</v>
      </c>
    </row>
    <row r="734" spans="1:9" x14ac:dyDescent="0.3">
      <c r="A734" s="1" t="s">
        <v>123</v>
      </c>
      <c r="B734" s="6"/>
      <c r="C734" s="1">
        <v>-1</v>
      </c>
      <c r="D734" s="105">
        <v>46076</v>
      </c>
      <c r="E734" s="105">
        <f t="shared" si="30"/>
        <v>46081</v>
      </c>
      <c r="F734" s="105">
        <v>46080</v>
      </c>
      <c r="G734" s="2">
        <f t="shared" si="29"/>
        <v>46081</v>
      </c>
      <c r="H734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46005</v>
      </c>
      <c r="I734" s="95" t="s">
        <v>665</v>
      </c>
    </row>
    <row r="735" spans="1:9" x14ac:dyDescent="0.3">
      <c r="A735" s="1" t="s">
        <v>96</v>
      </c>
      <c r="B735" s="6"/>
      <c r="C735" s="1">
        <v>-1</v>
      </c>
      <c r="D735" s="105">
        <v>46019</v>
      </c>
      <c r="E735" s="105">
        <f t="shared" si="30"/>
        <v>46021</v>
      </c>
      <c r="F735" s="105">
        <v>46020</v>
      </c>
      <c r="G735" s="2">
        <f t="shared" si="29"/>
        <v>46021</v>
      </c>
      <c r="H735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46005</v>
      </c>
      <c r="I735" s="95" t="s">
        <v>666</v>
      </c>
    </row>
    <row r="736" spans="1:9" x14ac:dyDescent="0.3">
      <c r="A736" s="1" t="s">
        <v>96</v>
      </c>
      <c r="B736" s="6"/>
      <c r="C736" s="1">
        <v>-1</v>
      </c>
      <c r="D736" s="105">
        <v>46029</v>
      </c>
      <c r="E736" s="105">
        <f t="shared" si="30"/>
        <v>46030</v>
      </c>
      <c r="F736" s="105">
        <v>46029</v>
      </c>
      <c r="G736" s="2">
        <f t="shared" si="29"/>
        <v>46030</v>
      </c>
      <c r="H736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46005</v>
      </c>
      <c r="I736" s="95" t="s">
        <v>666</v>
      </c>
    </row>
    <row r="737" spans="1:9" x14ac:dyDescent="0.3">
      <c r="A737" s="1" t="s">
        <v>96</v>
      </c>
      <c r="B737" s="6"/>
      <c r="C737" s="1">
        <v>-1</v>
      </c>
      <c r="D737" s="105">
        <v>46046</v>
      </c>
      <c r="E737" s="105">
        <f t="shared" si="30"/>
        <v>46047</v>
      </c>
      <c r="F737" s="105">
        <v>46046</v>
      </c>
      <c r="G737" s="2">
        <f t="shared" si="29"/>
        <v>46047</v>
      </c>
      <c r="H737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46005</v>
      </c>
      <c r="I737" s="95" t="s">
        <v>666</v>
      </c>
    </row>
    <row r="738" spans="1:9" x14ac:dyDescent="0.3">
      <c r="A738" s="1" t="s">
        <v>96</v>
      </c>
      <c r="B738" s="6"/>
      <c r="C738" s="1">
        <v>-1</v>
      </c>
      <c r="D738" s="105">
        <v>46074</v>
      </c>
      <c r="E738" s="105">
        <f t="shared" si="30"/>
        <v>46076</v>
      </c>
      <c r="F738" s="105">
        <v>46075</v>
      </c>
      <c r="G738" s="2">
        <f t="shared" si="29"/>
        <v>46076</v>
      </c>
      <c r="H738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46005</v>
      </c>
      <c r="I738" s="95" t="s">
        <v>666</v>
      </c>
    </row>
    <row r="739" spans="1:9" x14ac:dyDescent="0.3">
      <c r="A739" s="1" t="s">
        <v>96</v>
      </c>
      <c r="B739" s="6"/>
      <c r="C739" s="1">
        <v>-1</v>
      </c>
      <c r="D739" s="105">
        <v>46134</v>
      </c>
      <c r="E739" s="105">
        <f t="shared" si="30"/>
        <v>46138</v>
      </c>
      <c r="F739" s="105">
        <v>46137</v>
      </c>
      <c r="G739" s="2">
        <f t="shared" si="29"/>
        <v>46138</v>
      </c>
      <c r="H739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46005</v>
      </c>
      <c r="I739" s="95" t="s">
        <v>666</v>
      </c>
    </row>
    <row r="740" spans="1:9" x14ac:dyDescent="0.3">
      <c r="A740" s="1" t="s">
        <v>307</v>
      </c>
      <c r="B740" s="6"/>
      <c r="C740" s="1">
        <v>-1</v>
      </c>
      <c r="D740" s="105">
        <v>46005</v>
      </c>
      <c r="E740" s="105">
        <f t="shared" si="30"/>
        <v>46070</v>
      </c>
      <c r="F740" s="105">
        <v>46069</v>
      </c>
      <c r="G740" s="2">
        <f t="shared" ref="G740:G803" si="31">F740+1</f>
        <v>46070</v>
      </c>
      <c r="H740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46005</v>
      </c>
      <c r="I740" s="95" t="s">
        <v>667</v>
      </c>
    </row>
    <row r="741" spans="1:9" x14ac:dyDescent="0.3">
      <c r="A741" s="1" t="s">
        <v>110</v>
      </c>
      <c r="B741" s="6"/>
      <c r="C741" s="1">
        <v>-1</v>
      </c>
      <c r="D741" s="105">
        <v>46025</v>
      </c>
      <c r="E741" s="105">
        <f t="shared" si="30"/>
        <v>46026</v>
      </c>
      <c r="F741" s="105">
        <v>46025</v>
      </c>
      <c r="G741" s="2">
        <f t="shared" si="31"/>
        <v>46026</v>
      </c>
      <c r="H741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46005</v>
      </c>
      <c r="I741" s="95" t="s">
        <v>668</v>
      </c>
    </row>
    <row r="742" spans="1:9" x14ac:dyDescent="0.3">
      <c r="A742" s="1" t="s">
        <v>88</v>
      </c>
      <c r="B742" s="6"/>
      <c r="C742" s="1">
        <v>-1</v>
      </c>
      <c r="D742" s="105">
        <v>46011</v>
      </c>
      <c r="E742" s="105">
        <f t="shared" si="30"/>
        <v>46014</v>
      </c>
      <c r="F742" s="105">
        <v>46013</v>
      </c>
      <c r="G742" s="2">
        <f t="shared" si="31"/>
        <v>46014</v>
      </c>
      <c r="H742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46005</v>
      </c>
      <c r="I742" s="95" t="s">
        <v>669</v>
      </c>
    </row>
    <row r="743" spans="1:9" x14ac:dyDescent="0.3">
      <c r="A743" s="1" t="s">
        <v>78</v>
      </c>
      <c r="B743" s="6"/>
      <c r="C743" s="1">
        <v>-1</v>
      </c>
      <c r="D743" s="105">
        <v>46020</v>
      </c>
      <c r="E743" s="105">
        <f t="shared" si="30"/>
        <v>46023</v>
      </c>
      <c r="F743" s="105">
        <v>46022</v>
      </c>
      <c r="G743" s="2">
        <f t="shared" si="31"/>
        <v>46023</v>
      </c>
      <c r="H743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46006</v>
      </c>
      <c r="I743" s="95" t="s">
        <v>670</v>
      </c>
    </row>
    <row r="744" spans="1:9" x14ac:dyDescent="0.3">
      <c r="A744" s="1" t="s">
        <v>117</v>
      </c>
      <c r="B744" s="6"/>
      <c r="C744" s="1">
        <v>-1</v>
      </c>
      <c r="D744" s="105">
        <v>46088</v>
      </c>
      <c r="E744" s="105">
        <f t="shared" si="30"/>
        <v>46091</v>
      </c>
      <c r="F744" s="105">
        <v>46090</v>
      </c>
      <c r="G744" s="2">
        <f t="shared" si="31"/>
        <v>46091</v>
      </c>
      <c r="H744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46006</v>
      </c>
      <c r="I744" s="95" t="s">
        <v>671</v>
      </c>
    </row>
    <row r="745" spans="1:9" x14ac:dyDescent="0.3">
      <c r="A745" s="1" t="s">
        <v>117</v>
      </c>
      <c r="B745" s="6"/>
      <c r="C745" s="1">
        <v>-1</v>
      </c>
      <c r="D745" s="105">
        <v>46102</v>
      </c>
      <c r="E745" s="105">
        <f t="shared" si="30"/>
        <v>46106</v>
      </c>
      <c r="F745" s="105">
        <v>46105</v>
      </c>
      <c r="G745" s="2">
        <f t="shared" si="31"/>
        <v>46106</v>
      </c>
      <c r="H745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46006</v>
      </c>
      <c r="I745" s="95" t="s">
        <v>671</v>
      </c>
    </row>
    <row r="746" spans="1:9" x14ac:dyDescent="0.3">
      <c r="A746" s="1" t="s">
        <v>117</v>
      </c>
      <c r="B746" s="6"/>
      <c r="C746" s="1">
        <v>-1</v>
      </c>
      <c r="D746" s="105">
        <v>46122</v>
      </c>
      <c r="E746" s="105">
        <f t="shared" si="30"/>
        <v>46125</v>
      </c>
      <c r="F746" s="105">
        <v>46124</v>
      </c>
      <c r="G746" s="2">
        <f t="shared" si="31"/>
        <v>46125</v>
      </c>
      <c r="H746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46006</v>
      </c>
      <c r="I746" s="95" t="s">
        <v>671</v>
      </c>
    </row>
    <row r="747" spans="1:9" x14ac:dyDescent="0.3">
      <c r="A747" s="1" t="s">
        <v>64</v>
      </c>
      <c r="B747" s="6"/>
      <c r="C747" s="1">
        <v>-1</v>
      </c>
      <c r="D747" s="105">
        <v>46013</v>
      </c>
      <c r="E747" s="105">
        <f t="shared" si="30"/>
        <v>46014</v>
      </c>
      <c r="F747" s="105">
        <v>46013</v>
      </c>
      <c r="G747" s="2">
        <f t="shared" si="31"/>
        <v>46014</v>
      </c>
      <c r="H747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46006</v>
      </c>
      <c r="I747" s="95" t="s">
        <v>672</v>
      </c>
    </row>
    <row r="748" spans="1:9" x14ac:dyDescent="0.3">
      <c r="A748" s="1" t="s">
        <v>528</v>
      </c>
      <c r="B748" s="6"/>
      <c r="C748" s="1">
        <v>-1</v>
      </c>
      <c r="D748" s="105">
        <v>46030</v>
      </c>
      <c r="E748" s="105">
        <f t="shared" si="30"/>
        <v>46032</v>
      </c>
      <c r="F748" s="105">
        <v>46031</v>
      </c>
      <c r="G748" s="2">
        <f t="shared" si="31"/>
        <v>46032</v>
      </c>
      <c r="H748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46006</v>
      </c>
      <c r="I748" s="95" t="s">
        <v>673</v>
      </c>
    </row>
    <row r="749" spans="1:9" x14ac:dyDescent="0.3">
      <c r="A749" s="1" t="s">
        <v>96</v>
      </c>
      <c r="B749" s="6"/>
      <c r="C749" s="1">
        <v>-1</v>
      </c>
      <c r="D749" s="105">
        <v>46021</v>
      </c>
      <c r="E749" s="105">
        <f t="shared" si="30"/>
        <v>46025</v>
      </c>
      <c r="F749" s="105">
        <v>46024</v>
      </c>
      <c r="G749" s="2">
        <f t="shared" si="31"/>
        <v>46025</v>
      </c>
      <c r="H749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46006</v>
      </c>
      <c r="I749" s="95" t="s">
        <v>674</v>
      </c>
    </row>
    <row r="750" spans="1:9" x14ac:dyDescent="0.3">
      <c r="A750" s="1" t="s">
        <v>133</v>
      </c>
      <c r="B750" s="6"/>
      <c r="C750" s="1">
        <v>-1</v>
      </c>
      <c r="D750" s="105">
        <v>46015</v>
      </c>
      <c r="E750" s="105">
        <f t="shared" si="30"/>
        <v>46021</v>
      </c>
      <c r="F750" s="105">
        <v>46020</v>
      </c>
      <c r="G750" s="2">
        <f t="shared" si="31"/>
        <v>46021</v>
      </c>
      <c r="H750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46007</v>
      </c>
      <c r="I750" s="95" t="s">
        <v>675</v>
      </c>
    </row>
    <row r="751" spans="1:9" x14ac:dyDescent="0.3">
      <c r="A751" s="1" t="s">
        <v>590</v>
      </c>
      <c r="B751" s="6"/>
      <c r="C751" s="1">
        <v>-1</v>
      </c>
      <c r="D751" s="105">
        <v>46019</v>
      </c>
      <c r="E751" s="105">
        <f t="shared" si="30"/>
        <v>46020</v>
      </c>
      <c r="F751" s="105">
        <v>46019</v>
      </c>
      <c r="G751" s="2">
        <f t="shared" si="31"/>
        <v>46020</v>
      </c>
      <c r="H751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46008</v>
      </c>
      <c r="I751" s="95" t="s">
        <v>676</v>
      </c>
    </row>
    <row r="752" spans="1:9" x14ac:dyDescent="0.3">
      <c r="A752" s="1" t="s">
        <v>59</v>
      </c>
      <c r="B752" s="6"/>
      <c r="C752" s="1">
        <v>-1</v>
      </c>
      <c r="D752" s="105">
        <v>46018</v>
      </c>
      <c r="E752" s="105">
        <f t="shared" si="30"/>
        <v>46020</v>
      </c>
      <c r="F752" s="105">
        <v>46019</v>
      </c>
      <c r="G752" s="2">
        <f t="shared" si="31"/>
        <v>46020</v>
      </c>
      <c r="H752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46008</v>
      </c>
      <c r="I752" s="95" t="s">
        <v>677</v>
      </c>
    </row>
    <row r="753" spans="1:9" x14ac:dyDescent="0.3">
      <c r="A753" s="1" t="s">
        <v>132</v>
      </c>
      <c r="B753" s="6"/>
      <c r="C753" s="1">
        <v>-1</v>
      </c>
      <c r="D753" s="105">
        <v>46012</v>
      </c>
      <c r="E753" s="105">
        <f t="shared" si="30"/>
        <v>46014</v>
      </c>
      <c r="F753" s="105">
        <v>46013</v>
      </c>
      <c r="G753" s="2">
        <f t="shared" si="31"/>
        <v>46014</v>
      </c>
      <c r="H753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46008</v>
      </c>
      <c r="I753" s="95" t="s">
        <v>678</v>
      </c>
    </row>
    <row r="754" spans="1:9" x14ac:dyDescent="0.3">
      <c r="A754" s="1" t="s">
        <v>114</v>
      </c>
      <c r="B754" s="6"/>
      <c r="C754" s="1">
        <v>-1</v>
      </c>
      <c r="D754" s="105">
        <v>46012</v>
      </c>
      <c r="E754" s="105">
        <f t="shared" si="30"/>
        <v>46014</v>
      </c>
      <c r="F754" s="105">
        <v>46013</v>
      </c>
      <c r="G754" s="2">
        <f t="shared" si="31"/>
        <v>46014</v>
      </c>
      <c r="H754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46008</v>
      </c>
      <c r="I754" s="95" t="s">
        <v>678</v>
      </c>
    </row>
    <row r="755" spans="1:9" x14ac:dyDescent="0.3">
      <c r="A755" s="1" t="s">
        <v>126</v>
      </c>
      <c r="B755" s="6"/>
      <c r="C755" s="1">
        <v>-1</v>
      </c>
      <c r="D755" s="105">
        <v>46029</v>
      </c>
      <c r="E755" s="105">
        <f t="shared" si="30"/>
        <v>46030</v>
      </c>
      <c r="F755" s="105">
        <v>46029</v>
      </c>
      <c r="G755" s="2">
        <f t="shared" si="31"/>
        <v>46030</v>
      </c>
      <c r="H755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46008</v>
      </c>
      <c r="I755" s="95" t="s">
        <v>679</v>
      </c>
    </row>
    <row r="756" spans="1:9" x14ac:dyDescent="0.3">
      <c r="A756" s="1" t="s">
        <v>308</v>
      </c>
      <c r="B756" s="6"/>
      <c r="C756" s="1">
        <v>-1</v>
      </c>
      <c r="D756" s="105">
        <v>46015</v>
      </c>
      <c r="E756" s="105">
        <f t="shared" si="30"/>
        <v>46021</v>
      </c>
      <c r="F756" s="105">
        <v>46020</v>
      </c>
      <c r="G756" s="2">
        <f t="shared" si="31"/>
        <v>46021</v>
      </c>
      <c r="H756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46008</v>
      </c>
      <c r="I756" s="95" t="s">
        <v>680</v>
      </c>
    </row>
    <row r="757" spans="1:9" x14ac:dyDescent="0.3">
      <c r="A757" s="1" t="s">
        <v>108</v>
      </c>
      <c r="B757" s="6"/>
      <c r="C757" s="1">
        <v>-1</v>
      </c>
      <c r="D757" s="105">
        <v>46015</v>
      </c>
      <c r="E757" s="105">
        <f t="shared" si="30"/>
        <v>46021</v>
      </c>
      <c r="F757" s="105">
        <v>46020</v>
      </c>
      <c r="G757" s="2">
        <f t="shared" si="31"/>
        <v>46021</v>
      </c>
      <c r="H757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46008</v>
      </c>
      <c r="I757" s="95" t="s">
        <v>680</v>
      </c>
    </row>
    <row r="758" spans="1:9" x14ac:dyDescent="0.3">
      <c r="A758" s="1" t="s">
        <v>126</v>
      </c>
      <c r="B758" s="6"/>
      <c r="C758" s="1">
        <v>-1</v>
      </c>
      <c r="D758" s="105">
        <v>46041</v>
      </c>
      <c r="E758" s="105">
        <f t="shared" si="30"/>
        <v>46042</v>
      </c>
      <c r="F758" s="105">
        <v>46041</v>
      </c>
      <c r="G758" s="2">
        <f t="shared" si="31"/>
        <v>46042</v>
      </c>
      <c r="H758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46008</v>
      </c>
      <c r="I758" s="95" t="s">
        <v>681</v>
      </c>
    </row>
    <row r="759" spans="1:9" x14ac:dyDescent="0.3">
      <c r="A759" s="1" t="s">
        <v>88</v>
      </c>
      <c r="B759" s="6"/>
      <c r="C759" s="1">
        <v>-1</v>
      </c>
      <c r="D759" s="105">
        <v>46020</v>
      </c>
      <c r="E759" s="105">
        <f t="shared" si="30"/>
        <v>46021</v>
      </c>
      <c r="F759" s="105">
        <v>46020</v>
      </c>
      <c r="G759" s="2">
        <f t="shared" si="31"/>
        <v>46021</v>
      </c>
      <c r="H759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46008</v>
      </c>
      <c r="I759" s="95" t="s">
        <v>682</v>
      </c>
    </row>
    <row r="760" spans="1:9" x14ac:dyDescent="0.3">
      <c r="A760" s="1" t="s">
        <v>126</v>
      </c>
      <c r="B760" s="6"/>
      <c r="C760" s="1">
        <v>-1</v>
      </c>
      <c r="D760" s="105">
        <v>46039</v>
      </c>
      <c r="E760" s="105">
        <f t="shared" si="30"/>
        <v>46041</v>
      </c>
      <c r="F760" s="105">
        <v>46040</v>
      </c>
      <c r="G760" s="2">
        <f t="shared" si="31"/>
        <v>46041</v>
      </c>
      <c r="H760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46008</v>
      </c>
      <c r="I760" s="95" t="s">
        <v>683</v>
      </c>
    </row>
    <row r="761" spans="1:9" x14ac:dyDescent="0.3">
      <c r="A761" s="1" t="s">
        <v>122</v>
      </c>
      <c r="B761" s="6"/>
      <c r="C761" s="1">
        <v>-1</v>
      </c>
      <c r="D761" s="105">
        <v>46028</v>
      </c>
      <c r="E761" s="105">
        <f t="shared" si="30"/>
        <v>46030</v>
      </c>
      <c r="F761" s="105">
        <v>46029</v>
      </c>
      <c r="G761" s="2">
        <f t="shared" si="31"/>
        <v>46030</v>
      </c>
      <c r="H761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46008</v>
      </c>
      <c r="I761" s="95" t="s">
        <v>684</v>
      </c>
    </row>
    <row r="762" spans="1:9" x14ac:dyDescent="0.3">
      <c r="A762" s="1" t="s">
        <v>122</v>
      </c>
      <c r="B762" s="6"/>
      <c r="C762" s="1">
        <v>-1</v>
      </c>
      <c r="D762" s="105">
        <v>46026</v>
      </c>
      <c r="E762" s="105">
        <f t="shared" si="30"/>
        <v>46028</v>
      </c>
      <c r="F762" s="105">
        <v>46027</v>
      </c>
      <c r="G762" s="2">
        <f t="shared" si="31"/>
        <v>46028</v>
      </c>
      <c r="H762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46008</v>
      </c>
      <c r="I762" s="95" t="s">
        <v>684</v>
      </c>
    </row>
    <row r="763" spans="1:9" x14ac:dyDescent="0.3">
      <c r="A763" s="1" t="s">
        <v>78</v>
      </c>
      <c r="B763" s="6"/>
      <c r="C763" s="1">
        <v>-1</v>
      </c>
      <c r="D763" s="105">
        <v>46012</v>
      </c>
      <c r="E763" s="105">
        <f t="shared" ref="E763:E826" si="32">G763</f>
        <v>46014</v>
      </c>
      <c r="F763" s="105">
        <v>46013</v>
      </c>
      <c r="G763" s="2">
        <f t="shared" si="31"/>
        <v>46014</v>
      </c>
      <c r="H763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46009</v>
      </c>
      <c r="I763" s="95" t="s">
        <v>685</v>
      </c>
    </row>
    <row r="764" spans="1:9" x14ac:dyDescent="0.3">
      <c r="A764" s="1" t="s">
        <v>78</v>
      </c>
      <c r="B764" s="6"/>
      <c r="C764" s="1">
        <v>-1</v>
      </c>
      <c r="D764" s="105">
        <v>46015</v>
      </c>
      <c r="E764" s="105">
        <f t="shared" si="32"/>
        <v>46016</v>
      </c>
      <c r="F764" s="105">
        <v>46015</v>
      </c>
      <c r="G764" s="2">
        <f t="shared" si="31"/>
        <v>46016</v>
      </c>
      <c r="H764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46009</v>
      </c>
      <c r="I764" s="95" t="s">
        <v>685</v>
      </c>
    </row>
    <row r="765" spans="1:9" x14ac:dyDescent="0.3">
      <c r="A765" s="1" t="s">
        <v>78</v>
      </c>
      <c r="B765" s="6"/>
      <c r="C765" s="1">
        <v>-1</v>
      </c>
      <c r="D765" s="105">
        <v>46019</v>
      </c>
      <c r="E765" s="105">
        <f t="shared" si="32"/>
        <v>46020</v>
      </c>
      <c r="F765" s="105">
        <v>46019</v>
      </c>
      <c r="G765" s="2">
        <f t="shared" si="31"/>
        <v>46020</v>
      </c>
      <c r="H765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46009</v>
      </c>
      <c r="I765" s="95" t="s">
        <v>685</v>
      </c>
    </row>
    <row r="766" spans="1:9" x14ac:dyDescent="0.3">
      <c r="A766" s="1" t="s">
        <v>78</v>
      </c>
      <c r="B766" s="6"/>
      <c r="C766" s="1">
        <v>-1</v>
      </c>
      <c r="D766" s="105">
        <v>46021</v>
      </c>
      <c r="E766" s="105">
        <f t="shared" si="32"/>
        <v>46022</v>
      </c>
      <c r="F766" s="105">
        <v>46021</v>
      </c>
      <c r="G766" s="2">
        <f t="shared" si="31"/>
        <v>46022</v>
      </c>
      <c r="H766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46009</v>
      </c>
      <c r="I766" s="95" t="s">
        <v>685</v>
      </c>
    </row>
    <row r="767" spans="1:9" x14ac:dyDescent="0.3">
      <c r="A767" s="1" t="s">
        <v>122</v>
      </c>
      <c r="B767" s="6"/>
      <c r="C767" s="1">
        <v>-1</v>
      </c>
      <c r="D767" s="105">
        <v>46014</v>
      </c>
      <c r="E767" s="105">
        <f t="shared" si="32"/>
        <v>46020</v>
      </c>
      <c r="F767" s="105">
        <v>46019</v>
      </c>
      <c r="G767" s="2">
        <f t="shared" si="31"/>
        <v>46020</v>
      </c>
      <c r="H767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46009</v>
      </c>
      <c r="I767" s="95" t="s">
        <v>686</v>
      </c>
    </row>
    <row r="768" spans="1:9" x14ac:dyDescent="0.3">
      <c r="A768" s="1" t="s">
        <v>81</v>
      </c>
      <c r="B768" s="6"/>
      <c r="C768" s="1">
        <v>-1</v>
      </c>
      <c r="D768" s="105">
        <v>46021</v>
      </c>
      <c r="E768" s="105">
        <f t="shared" si="32"/>
        <v>46023</v>
      </c>
      <c r="F768" s="105">
        <v>46022</v>
      </c>
      <c r="G768" s="2">
        <f t="shared" si="31"/>
        <v>46023</v>
      </c>
      <c r="H768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46009</v>
      </c>
      <c r="I768" s="95" t="s">
        <v>687</v>
      </c>
    </row>
    <row r="769" spans="1:9" x14ac:dyDescent="0.3">
      <c r="A769" s="1" t="s">
        <v>121</v>
      </c>
      <c r="B769" s="6"/>
      <c r="C769" s="1">
        <v>-1</v>
      </c>
      <c r="D769" s="105">
        <v>46014</v>
      </c>
      <c r="E769" s="105">
        <f t="shared" si="32"/>
        <v>46022</v>
      </c>
      <c r="F769" s="105">
        <v>46021</v>
      </c>
      <c r="G769" s="2">
        <f t="shared" si="31"/>
        <v>46022</v>
      </c>
      <c r="H769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46009</v>
      </c>
      <c r="I769" s="95" t="s">
        <v>688</v>
      </c>
    </row>
    <row r="770" spans="1:9" x14ac:dyDescent="0.3">
      <c r="A770" s="1" t="s">
        <v>88</v>
      </c>
      <c r="B770" s="6"/>
      <c r="C770" s="1">
        <v>-1</v>
      </c>
      <c r="D770" s="105">
        <v>46021</v>
      </c>
      <c r="E770" s="105">
        <f t="shared" si="32"/>
        <v>46022</v>
      </c>
      <c r="F770" s="105">
        <v>46021</v>
      </c>
      <c r="G770" s="2">
        <f t="shared" si="31"/>
        <v>46022</v>
      </c>
      <c r="H770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46009</v>
      </c>
      <c r="I770" s="95" t="s">
        <v>689</v>
      </c>
    </row>
    <row r="771" spans="1:9" x14ac:dyDescent="0.3">
      <c r="A771" s="1" t="s">
        <v>86</v>
      </c>
      <c r="B771" s="6"/>
      <c r="C771" s="1">
        <v>-1</v>
      </c>
      <c r="D771" s="105">
        <v>46021</v>
      </c>
      <c r="E771" s="105">
        <f t="shared" si="32"/>
        <v>46024</v>
      </c>
      <c r="F771" s="105">
        <v>46023</v>
      </c>
      <c r="G771" s="2">
        <f t="shared" si="31"/>
        <v>46024</v>
      </c>
      <c r="H771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46009</v>
      </c>
      <c r="I771" s="95" t="s">
        <v>690</v>
      </c>
    </row>
    <row r="772" spans="1:9" x14ac:dyDescent="0.3">
      <c r="A772" s="1" t="s">
        <v>81</v>
      </c>
      <c r="B772" s="6"/>
      <c r="C772" s="1">
        <v>-1</v>
      </c>
      <c r="D772" s="105">
        <v>46026</v>
      </c>
      <c r="E772" s="105">
        <f t="shared" si="32"/>
        <v>46027</v>
      </c>
      <c r="F772" s="105">
        <v>46026</v>
      </c>
      <c r="G772" s="2">
        <f t="shared" si="31"/>
        <v>46027</v>
      </c>
      <c r="H772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46010</v>
      </c>
      <c r="I772" s="95" t="s">
        <v>691</v>
      </c>
    </row>
    <row r="773" spans="1:9" x14ac:dyDescent="0.3">
      <c r="A773" s="1" t="s">
        <v>136</v>
      </c>
      <c r="B773" s="6"/>
      <c r="C773" s="1">
        <v>-1</v>
      </c>
      <c r="D773" s="105">
        <v>46011</v>
      </c>
      <c r="E773" s="105">
        <f t="shared" si="32"/>
        <v>46014</v>
      </c>
      <c r="F773" s="105">
        <v>46013</v>
      </c>
      <c r="G773" s="2">
        <f t="shared" si="31"/>
        <v>46014</v>
      </c>
      <c r="H773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46010</v>
      </c>
      <c r="I773" s="95" t="s">
        <v>692</v>
      </c>
    </row>
    <row r="774" spans="1:9" x14ac:dyDescent="0.3">
      <c r="A774" s="1" t="s">
        <v>134</v>
      </c>
      <c r="B774" s="6"/>
      <c r="C774" s="1">
        <v>-1</v>
      </c>
      <c r="D774" s="105">
        <v>46015</v>
      </c>
      <c r="E774" s="105">
        <f t="shared" si="32"/>
        <v>46016</v>
      </c>
      <c r="F774" s="105">
        <v>46015</v>
      </c>
      <c r="G774" s="2">
        <f t="shared" si="31"/>
        <v>46016</v>
      </c>
      <c r="H774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46010</v>
      </c>
      <c r="I774" s="95" t="s">
        <v>693</v>
      </c>
    </row>
    <row r="775" spans="1:9" x14ac:dyDescent="0.3">
      <c r="A775" s="1" t="s">
        <v>134</v>
      </c>
      <c r="B775" s="6"/>
      <c r="C775" s="1">
        <v>-1</v>
      </c>
      <c r="D775" s="105">
        <v>46020</v>
      </c>
      <c r="E775" s="105">
        <f t="shared" si="32"/>
        <v>46022</v>
      </c>
      <c r="F775" s="105">
        <v>46021</v>
      </c>
      <c r="G775" s="2">
        <f t="shared" si="31"/>
        <v>46022</v>
      </c>
      <c r="H775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46010</v>
      </c>
      <c r="I775" s="95" t="s">
        <v>693</v>
      </c>
    </row>
    <row r="776" spans="1:9" x14ac:dyDescent="0.3">
      <c r="A776" s="1" t="s">
        <v>126</v>
      </c>
      <c r="B776" s="6"/>
      <c r="C776" s="1">
        <v>-1</v>
      </c>
      <c r="D776" s="105">
        <v>46014</v>
      </c>
      <c r="E776" s="105">
        <f t="shared" si="32"/>
        <v>46016</v>
      </c>
      <c r="F776" s="105">
        <v>46015</v>
      </c>
      <c r="G776" s="2">
        <f t="shared" si="31"/>
        <v>46016</v>
      </c>
      <c r="H776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46010</v>
      </c>
      <c r="I776" s="95" t="s">
        <v>694</v>
      </c>
    </row>
    <row r="777" spans="1:9" x14ac:dyDescent="0.3">
      <c r="A777" s="1" t="s">
        <v>82</v>
      </c>
      <c r="B777" s="6"/>
      <c r="C777" s="1">
        <v>-1</v>
      </c>
      <c r="D777" s="105">
        <v>46016</v>
      </c>
      <c r="E777" s="105">
        <f t="shared" si="32"/>
        <v>46022</v>
      </c>
      <c r="F777" s="105">
        <v>46021</v>
      </c>
      <c r="G777" s="2">
        <f t="shared" si="31"/>
        <v>46022</v>
      </c>
      <c r="H777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46010</v>
      </c>
      <c r="I777" s="95" t="s">
        <v>695</v>
      </c>
    </row>
    <row r="778" spans="1:9" x14ac:dyDescent="0.3">
      <c r="A778" s="1" t="s">
        <v>308</v>
      </c>
      <c r="B778" s="6"/>
      <c r="C778" s="1">
        <v>-1</v>
      </c>
      <c r="D778" s="105">
        <v>46023</v>
      </c>
      <c r="E778" s="105">
        <f t="shared" si="32"/>
        <v>46024</v>
      </c>
      <c r="F778" s="105">
        <v>46023</v>
      </c>
      <c r="G778" s="2">
        <f t="shared" si="31"/>
        <v>46024</v>
      </c>
      <c r="H778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46010</v>
      </c>
      <c r="I778" s="95" t="s">
        <v>696</v>
      </c>
    </row>
    <row r="779" spans="1:9" x14ac:dyDescent="0.3">
      <c r="A779" s="1" t="s">
        <v>108</v>
      </c>
      <c r="B779" s="6"/>
      <c r="C779" s="1">
        <v>-1</v>
      </c>
      <c r="D779" s="105">
        <v>46023</v>
      </c>
      <c r="E779" s="105">
        <f t="shared" si="32"/>
        <v>46024</v>
      </c>
      <c r="F779" s="105">
        <v>46023</v>
      </c>
      <c r="G779" s="2">
        <f t="shared" si="31"/>
        <v>46024</v>
      </c>
      <c r="H779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46010</v>
      </c>
      <c r="I779" s="95" t="s">
        <v>696</v>
      </c>
    </row>
    <row r="780" spans="1:9" x14ac:dyDescent="0.3">
      <c r="A780" s="1" t="s">
        <v>88</v>
      </c>
      <c r="B780" s="6"/>
      <c r="C780" s="1">
        <v>-1</v>
      </c>
      <c r="D780" s="105">
        <v>46022</v>
      </c>
      <c r="E780" s="105">
        <f t="shared" si="32"/>
        <v>46023</v>
      </c>
      <c r="F780" s="105">
        <v>46022</v>
      </c>
      <c r="G780" s="2">
        <f t="shared" si="31"/>
        <v>46023</v>
      </c>
      <c r="H780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46010</v>
      </c>
      <c r="I780" s="95" t="s">
        <v>697</v>
      </c>
    </row>
    <row r="781" spans="1:9" x14ac:dyDescent="0.3">
      <c r="A781" s="1" t="s">
        <v>122</v>
      </c>
      <c r="B781" s="6"/>
      <c r="C781" s="1">
        <v>-1</v>
      </c>
      <c r="D781" s="105">
        <v>46027</v>
      </c>
      <c r="E781" s="105">
        <f t="shared" si="32"/>
        <v>46029</v>
      </c>
      <c r="F781" s="105">
        <v>46028</v>
      </c>
      <c r="G781" s="2">
        <f t="shared" si="31"/>
        <v>46029</v>
      </c>
      <c r="H781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46011</v>
      </c>
      <c r="I781" s="95" t="s">
        <v>698</v>
      </c>
    </row>
    <row r="782" spans="1:9" x14ac:dyDescent="0.3">
      <c r="A782" s="1" t="s">
        <v>123</v>
      </c>
      <c r="B782" s="6"/>
      <c r="C782" s="1">
        <v>-1</v>
      </c>
      <c r="D782" s="105">
        <v>46103</v>
      </c>
      <c r="E782" s="105">
        <f t="shared" si="32"/>
        <v>46109</v>
      </c>
      <c r="F782" s="105">
        <v>46108</v>
      </c>
      <c r="G782" s="2">
        <f t="shared" si="31"/>
        <v>46109</v>
      </c>
      <c r="H782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46012</v>
      </c>
      <c r="I782" s="95" t="s">
        <v>699</v>
      </c>
    </row>
    <row r="783" spans="1:9" x14ac:dyDescent="0.3">
      <c r="A783" s="1" t="s">
        <v>126</v>
      </c>
      <c r="B783" s="6"/>
      <c r="C783" s="1">
        <v>-1</v>
      </c>
      <c r="D783" s="105">
        <v>46033</v>
      </c>
      <c r="E783" s="105">
        <f t="shared" si="32"/>
        <v>46041</v>
      </c>
      <c r="F783" s="105">
        <v>46040</v>
      </c>
      <c r="G783" s="2">
        <f t="shared" si="31"/>
        <v>46041</v>
      </c>
      <c r="H783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46012</v>
      </c>
      <c r="I783" s="95" t="s">
        <v>700</v>
      </c>
    </row>
    <row r="784" spans="1:9" x14ac:dyDescent="0.3">
      <c r="A784" s="1" t="s">
        <v>307</v>
      </c>
      <c r="B784" s="6"/>
      <c r="C784" s="1">
        <v>-1</v>
      </c>
      <c r="D784" s="105">
        <v>46025</v>
      </c>
      <c r="E784" s="105">
        <f t="shared" si="32"/>
        <v>46029</v>
      </c>
      <c r="F784" s="105">
        <v>46028</v>
      </c>
      <c r="G784" s="2">
        <f t="shared" si="31"/>
        <v>46029</v>
      </c>
      <c r="H784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46012</v>
      </c>
      <c r="I784" s="95" t="s">
        <v>701</v>
      </c>
    </row>
    <row r="785" spans="1:9" x14ac:dyDescent="0.3">
      <c r="A785" s="1" t="s">
        <v>307</v>
      </c>
      <c r="B785" s="6"/>
      <c r="C785" s="1">
        <v>-1</v>
      </c>
      <c r="D785" s="105">
        <v>46029</v>
      </c>
      <c r="E785" s="105">
        <f t="shared" si="32"/>
        <v>46056</v>
      </c>
      <c r="F785" s="105">
        <v>46055</v>
      </c>
      <c r="G785" s="2">
        <f t="shared" si="31"/>
        <v>46056</v>
      </c>
      <c r="H785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46012</v>
      </c>
      <c r="I785" s="95" t="s">
        <v>701</v>
      </c>
    </row>
    <row r="786" spans="1:9" x14ac:dyDescent="0.3">
      <c r="A786" s="1" t="s">
        <v>307</v>
      </c>
      <c r="B786" s="6"/>
      <c r="C786" s="1">
        <v>-1</v>
      </c>
      <c r="D786" s="105">
        <v>46013</v>
      </c>
      <c r="E786" s="105">
        <f t="shared" si="32"/>
        <v>46051</v>
      </c>
      <c r="F786" s="105">
        <v>46050</v>
      </c>
      <c r="G786" s="2">
        <f t="shared" si="31"/>
        <v>46051</v>
      </c>
      <c r="H786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46012</v>
      </c>
      <c r="I786" s="95" t="s">
        <v>701</v>
      </c>
    </row>
    <row r="787" spans="1:9" x14ac:dyDescent="0.3">
      <c r="A787" s="1" t="s">
        <v>307</v>
      </c>
      <c r="B787" s="6"/>
      <c r="C787" s="1">
        <v>-1</v>
      </c>
      <c r="D787" s="105">
        <v>46029</v>
      </c>
      <c r="E787" s="105">
        <f t="shared" si="32"/>
        <v>46035</v>
      </c>
      <c r="F787" s="105">
        <v>46034</v>
      </c>
      <c r="G787" s="2">
        <f t="shared" si="31"/>
        <v>46035</v>
      </c>
      <c r="H787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46012</v>
      </c>
      <c r="I787" s="95" t="s">
        <v>701</v>
      </c>
    </row>
    <row r="788" spans="1:9" x14ac:dyDescent="0.3">
      <c r="A788" s="1" t="s">
        <v>590</v>
      </c>
      <c r="B788" s="6"/>
      <c r="C788" s="1">
        <v>-1</v>
      </c>
      <c r="D788" s="105">
        <v>46023</v>
      </c>
      <c r="E788" s="105">
        <f t="shared" si="32"/>
        <v>46027</v>
      </c>
      <c r="F788" s="105">
        <v>46026</v>
      </c>
      <c r="G788" s="2">
        <f t="shared" si="31"/>
        <v>46027</v>
      </c>
      <c r="H788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46013</v>
      </c>
      <c r="I788" s="95" t="s">
        <v>702</v>
      </c>
    </row>
    <row r="789" spans="1:9" x14ac:dyDescent="0.3">
      <c r="A789" s="1" t="s">
        <v>121</v>
      </c>
      <c r="B789" s="6"/>
      <c r="C789" s="1">
        <v>-1</v>
      </c>
      <c r="D789" s="105">
        <v>46023</v>
      </c>
      <c r="E789" s="105">
        <f t="shared" si="32"/>
        <v>46027</v>
      </c>
      <c r="F789" s="105">
        <v>46026</v>
      </c>
      <c r="G789" s="2">
        <f t="shared" si="31"/>
        <v>46027</v>
      </c>
      <c r="H789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46013</v>
      </c>
      <c r="I789" s="95" t="s">
        <v>703</v>
      </c>
    </row>
    <row r="790" spans="1:9" x14ac:dyDescent="0.3">
      <c r="A790" s="1" t="s">
        <v>148</v>
      </c>
      <c r="B790" s="6"/>
      <c r="C790" s="1">
        <v>-1</v>
      </c>
      <c r="D790" s="105">
        <v>46013</v>
      </c>
      <c r="E790" s="105">
        <f t="shared" si="32"/>
        <v>46035</v>
      </c>
      <c r="F790" s="105">
        <v>46034</v>
      </c>
      <c r="G790" s="2">
        <f t="shared" si="31"/>
        <v>46035</v>
      </c>
      <c r="H790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46013</v>
      </c>
      <c r="I790" s="95" t="s">
        <v>704</v>
      </c>
    </row>
    <row r="791" spans="1:9" x14ac:dyDescent="0.3">
      <c r="A791" s="1" t="s">
        <v>101</v>
      </c>
      <c r="B791" s="6"/>
      <c r="C791" s="1">
        <v>-1</v>
      </c>
      <c r="D791" s="105">
        <v>46024</v>
      </c>
      <c r="E791" s="105">
        <f t="shared" si="32"/>
        <v>46025</v>
      </c>
      <c r="F791" s="105">
        <v>46024</v>
      </c>
      <c r="G791" s="2">
        <f t="shared" si="31"/>
        <v>46025</v>
      </c>
      <c r="H791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46013</v>
      </c>
      <c r="I791" s="95" t="s">
        <v>705</v>
      </c>
    </row>
    <row r="792" spans="1:9" x14ac:dyDescent="0.3">
      <c r="A792" s="1" t="s">
        <v>80</v>
      </c>
      <c r="B792" s="6"/>
      <c r="C792" s="1">
        <v>-1</v>
      </c>
      <c r="D792" s="105">
        <v>46018</v>
      </c>
      <c r="E792" s="105">
        <f t="shared" si="32"/>
        <v>46023</v>
      </c>
      <c r="F792" s="105">
        <v>46022</v>
      </c>
      <c r="G792" s="2">
        <f t="shared" si="31"/>
        <v>46023</v>
      </c>
      <c r="H792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46013</v>
      </c>
      <c r="I792" s="95" t="s">
        <v>706</v>
      </c>
    </row>
    <row r="793" spans="1:9" x14ac:dyDescent="0.3">
      <c r="A793" s="1" t="s">
        <v>82</v>
      </c>
      <c r="B793" s="6"/>
      <c r="C793" s="1">
        <v>-1</v>
      </c>
      <c r="D793" s="105">
        <v>46025</v>
      </c>
      <c r="E793" s="105">
        <f t="shared" si="32"/>
        <v>46027</v>
      </c>
      <c r="F793" s="105">
        <v>46026</v>
      </c>
      <c r="G793" s="2">
        <f t="shared" si="31"/>
        <v>46027</v>
      </c>
      <c r="H793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46014</v>
      </c>
      <c r="I793" s="95" t="s">
        <v>707</v>
      </c>
    </row>
    <row r="794" spans="1:9" x14ac:dyDescent="0.3">
      <c r="A794" s="1" t="s">
        <v>133</v>
      </c>
      <c r="B794" s="6"/>
      <c r="C794" s="1">
        <v>-1</v>
      </c>
      <c r="D794" s="105">
        <v>46015</v>
      </c>
      <c r="E794" s="105">
        <f t="shared" si="32"/>
        <v>46027</v>
      </c>
      <c r="F794" s="105">
        <v>46026</v>
      </c>
      <c r="G794" s="2">
        <f t="shared" si="31"/>
        <v>46027</v>
      </c>
      <c r="H794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46014</v>
      </c>
      <c r="I794" s="95" t="s">
        <v>708</v>
      </c>
    </row>
    <row r="795" spans="1:9" x14ac:dyDescent="0.3">
      <c r="A795" s="1" t="s">
        <v>93</v>
      </c>
      <c r="B795" s="6"/>
      <c r="C795" s="1">
        <v>-1</v>
      </c>
      <c r="D795" s="105">
        <v>46118</v>
      </c>
      <c r="E795" s="105">
        <f t="shared" si="32"/>
        <v>46111</v>
      </c>
      <c r="F795" s="105">
        <v>46110</v>
      </c>
      <c r="G795" s="2">
        <f t="shared" si="31"/>
        <v>46111</v>
      </c>
      <c r="H795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46014</v>
      </c>
      <c r="I795" s="95" t="s">
        <v>709</v>
      </c>
    </row>
    <row r="796" spans="1:9" x14ac:dyDescent="0.3">
      <c r="A796" s="1" t="s">
        <v>67</v>
      </c>
      <c r="B796" s="6"/>
      <c r="C796" s="1">
        <v>-1</v>
      </c>
      <c r="D796" s="105">
        <v>46023</v>
      </c>
      <c r="E796" s="105">
        <f t="shared" si="32"/>
        <v>46024</v>
      </c>
      <c r="F796" s="105">
        <v>46023</v>
      </c>
      <c r="G796" s="2">
        <f t="shared" si="31"/>
        <v>46024</v>
      </c>
      <c r="H796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46014</v>
      </c>
      <c r="I796" s="95" t="s">
        <v>710</v>
      </c>
    </row>
    <row r="797" spans="1:9" x14ac:dyDescent="0.3">
      <c r="A797" s="1" t="s">
        <v>122</v>
      </c>
      <c r="B797" s="6"/>
      <c r="C797" s="1">
        <v>-1</v>
      </c>
      <c r="D797" s="105">
        <v>46020</v>
      </c>
      <c r="E797" s="105">
        <f t="shared" si="32"/>
        <v>46024</v>
      </c>
      <c r="F797" s="105">
        <v>46023</v>
      </c>
      <c r="G797" s="2">
        <f t="shared" si="31"/>
        <v>46024</v>
      </c>
      <c r="H797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46014</v>
      </c>
      <c r="I797" s="95" t="s">
        <v>711</v>
      </c>
    </row>
    <row r="798" spans="1:9" x14ac:dyDescent="0.3">
      <c r="A798" s="1" t="s">
        <v>307</v>
      </c>
      <c r="B798" s="6"/>
      <c r="C798" s="1">
        <v>-1</v>
      </c>
      <c r="D798" s="105">
        <v>46015</v>
      </c>
      <c r="E798" s="105">
        <f t="shared" si="32"/>
        <v>46056</v>
      </c>
      <c r="F798" s="105">
        <v>46055</v>
      </c>
      <c r="G798" s="2">
        <f t="shared" si="31"/>
        <v>46056</v>
      </c>
      <c r="H798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46014</v>
      </c>
      <c r="I798" s="95" t="s">
        <v>712</v>
      </c>
    </row>
    <row r="799" spans="1:9" x14ac:dyDescent="0.3">
      <c r="A799" s="1" t="s">
        <v>104</v>
      </c>
      <c r="B799" s="6"/>
      <c r="C799" s="1">
        <v>-1</v>
      </c>
      <c r="D799" s="105">
        <v>46024</v>
      </c>
      <c r="E799" s="105">
        <f t="shared" si="32"/>
        <v>46026</v>
      </c>
      <c r="F799" s="105">
        <v>46025</v>
      </c>
      <c r="G799" s="2">
        <f t="shared" si="31"/>
        <v>46026</v>
      </c>
      <c r="H799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46015</v>
      </c>
      <c r="I799" s="95" t="s">
        <v>713</v>
      </c>
    </row>
    <row r="800" spans="1:9" x14ac:dyDescent="0.3">
      <c r="A800" s="1" t="s">
        <v>67</v>
      </c>
      <c r="B800" s="6"/>
      <c r="C800" s="1">
        <v>-1</v>
      </c>
      <c r="D800" s="105">
        <v>46068</v>
      </c>
      <c r="E800" s="105">
        <f t="shared" si="32"/>
        <v>46069</v>
      </c>
      <c r="F800" s="105">
        <v>46068</v>
      </c>
      <c r="G800" s="2">
        <f t="shared" si="31"/>
        <v>46069</v>
      </c>
      <c r="H800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46015</v>
      </c>
      <c r="I800" s="95" t="s">
        <v>714</v>
      </c>
    </row>
    <row r="801" spans="1:9" x14ac:dyDescent="0.3">
      <c r="A801" s="1" t="s">
        <v>528</v>
      </c>
      <c r="B801" s="6"/>
      <c r="C801" s="1">
        <v>-1</v>
      </c>
      <c r="D801" s="105">
        <v>46023</v>
      </c>
      <c r="E801" s="105">
        <f t="shared" si="32"/>
        <v>46025</v>
      </c>
      <c r="F801" s="105">
        <v>46024</v>
      </c>
      <c r="G801" s="2">
        <f t="shared" si="31"/>
        <v>46025</v>
      </c>
      <c r="H801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46015</v>
      </c>
      <c r="I801" s="95" t="s">
        <v>715</v>
      </c>
    </row>
    <row r="802" spans="1:9" x14ac:dyDescent="0.3">
      <c r="A802" s="1" t="s">
        <v>528</v>
      </c>
      <c r="B802" s="6"/>
      <c r="C802" s="1">
        <v>-1</v>
      </c>
      <c r="D802" s="105">
        <v>46032</v>
      </c>
      <c r="E802" s="105">
        <f t="shared" si="32"/>
        <v>46035</v>
      </c>
      <c r="F802" s="105">
        <v>46034</v>
      </c>
      <c r="G802" s="2">
        <f t="shared" si="31"/>
        <v>46035</v>
      </c>
      <c r="H802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46015</v>
      </c>
      <c r="I802" s="95" t="s">
        <v>716</v>
      </c>
    </row>
    <row r="803" spans="1:9" x14ac:dyDescent="0.3">
      <c r="A803" s="1" t="s">
        <v>57</v>
      </c>
      <c r="B803" s="6"/>
      <c r="C803" s="1">
        <v>-1</v>
      </c>
      <c r="D803" s="105">
        <v>46025</v>
      </c>
      <c r="E803" s="105">
        <f t="shared" si="32"/>
        <v>46028</v>
      </c>
      <c r="F803" s="105">
        <v>46027</v>
      </c>
      <c r="G803" s="2">
        <f t="shared" si="31"/>
        <v>46028</v>
      </c>
      <c r="H803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46016</v>
      </c>
      <c r="I803" s="95" t="s">
        <v>717</v>
      </c>
    </row>
    <row r="804" spans="1:9" x14ac:dyDescent="0.3">
      <c r="A804" s="1" t="s">
        <v>308</v>
      </c>
      <c r="B804" s="6"/>
      <c r="C804" s="1">
        <v>-1</v>
      </c>
      <c r="D804" s="105">
        <v>46023</v>
      </c>
      <c r="E804" s="105">
        <f t="shared" si="32"/>
        <v>46025</v>
      </c>
      <c r="F804" s="105">
        <v>46024</v>
      </c>
      <c r="G804" s="2">
        <f t="shared" ref="G804:G867" si="33">F804+1</f>
        <v>46025</v>
      </c>
      <c r="H804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46017</v>
      </c>
      <c r="I804" s="95" t="s">
        <v>718</v>
      </c>
    </row>
    <row r="805" spans="1:9" x14ac:dyDescent="0.3">
      <c r="A805" s="1" t="s">
        <v>119</v>
      </c>
      <c r="B805" s="6"/>
      <c r="C805" s="1">
        <v>-1</v>
      </c>
      <c r="D805" s="105">
        <v>46018</v>
      </c>
      <c r="E805" s="105">
        <f t="shared" si="32"/>
        <v>46026</v>
      </c>
      <c r="F805" s="105">
        <v>46025</v>
      </c>
      <c r="G805" s="2">
        <f t="shared" si="33"/>
        <v>46026</v>
      </c>
      <c r="H805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46018</v>
      </c>
      <c r="I805" s="95" t="s">
        <v>719</v>
      </c>
    </row>
    <row r="806" spans="1:9" x14ac:dyDescent="0.3">
      <c r="A806" s="1" t="s">
        <v>109</v>
      </c>
      <c r="B806" s="6"/>
      <c r="C806" s="1">
        <v>-1</v>
      </c>
      <c r="D806" s="105">
        <v>46023</v>
      </c>
      <c r="E806" s="105">
        <f t="shared" si="32"/>
        <v>46031</v>
      </c>
      <c r="F806" s="105">
        <v>46030</v>
      </c>
      <c r="G806" s="2">
        <f t="shared" si="33"/>
        <v>46031</v>
      </c>
      <c r="H806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46018</v>
      </c>
      <c r="I806" s="95" t="s">
        <v>719</v>
      </c>
    </row>
    <row r="807" spans="1:9" x14ac:dyDescent="0.3">
      <c r="A807" s="1" t="s">
        <v>109</v>
      </c>
      <c r="B807" s="6"/>
      <c r="C807" s="1">
        <v>-1</v>
      </c>
      <c r="D807" s="105">
        <v>46050</v>
      </c>
      <c r="E807" s="105">
        <f t="shared" si="32"/>
        <v>46053</v>
      </c>
      <c r="F807" s="105">
        <v>46052</v>
      </c>
      <c r="G807" s="2">
        <f t="shared" si="33"/>
        <v>46053</v>
      </c>
      <c r="H807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46018</v>
      </c>
      <c r="I807" s="95" t="s">
        <v>719</v>
      </c>
    </row>
    <row r="808" spans="1:9" x14ac:dyDescent="0.3">
      <c r="A808" s="1" t="s">
        <v>109</v>
      </c>
      <c r="B808" s="6"/>
      <c r="C808" s="1">
        <v>-1</v>
      </c>
      <c r="D808" s="105">
        <v>46064</v>
      </c>
      <c r="E808" s="105">
        <f t="shared" si="32"/>
        <v>46069</v>
      </c>
      <c r="F808" s="105">
        <v>46068</v>
      </c>
      <c r="G808" s="2">
        <f t="shared" si="33"/>
        <v>46069</v>
      </c>
      <c r="H808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46018</v>
      </c>
      <c r="I808" s="95" t="s">
        <v>719</v>
      </c>
    </row>
    <row r="809" spans="1:9" x14ac:dyDescent="0.3">
      <c r="A809" s="1" t="s">
        <v>64</v>
      </c>
      <c r="B809" s="6"/>
      <c r="C809" s="1">
        <v>-1</v>
      </c>
      <c r="D809" s="105">
        <v>46025</v>
      </c>
      <c r="E809" s="105">
        <f t="shared" si="32"/>
        <v>46026</v>
      </c>
      <c r="F809" s="105">
        <v>46025</v>
      </c>
      <c r="G809" s="2">
        <f t="shared" si="33"/>
        <v>46026</v>
      </c>
      <c r="H809" s="2">
        <v>46019</v>
      </c>
      <c r="I809" s="95" t="s">
        <v>720</v>
      </c>
    </row>
    <row r="810" spans="1:9" x14ac:dyDescent="0.3">
      <c r="A810" s="1" t="s">
        <v>108</v>
      </c>
      <c r="B810" s="6"/>
      <c r="C810" s="1">
        <v>-1</v>
      </c>
      <c r="D810" s="105">
        <v>46020</v>
      </c>
      <c r="E810" s="105">
        <f t="shared" si="32"/>
        <v>46026</v>
      </c>
      <c r="F810" s="105">
        <v>46025</v>
      </c>
      <c r="G810" s="2">
        <f t="shared" si="33"/>
        <v>46026</v>
      </c>
      <c r="H810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46020</v>
      </c>
      <c r="I810" s="95" t="s">
        <v>721</v>
      </c>
    </row>
    <row r="811" spans="1:9" x14ac:dyDescent="0.3">
      <c r="A811" s="1" t="s">
        <v>528</v>
      </c>
      <c r="B811" s="6"/>
      <c r="C811" s="1">
        <v>-1</v>
      </c>
      <c r="D811" s="105">
        <v>46035</v>
      </c>
      <c r="E811" s="105">
        <f t="shared" si="32"/>
        <v>46039</v>
      </c>
      <c r="F811" s="105">
        <v>46038</v>
      </c>
      <c r="G811" s="2">
        <f t="shared" si="33"/>
        <v>46039</v>
      </c>
      <c r="H811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46020</v>
      </c>
      <c r="I811" s="95" t="s">
        <v>722</v>
      </c>
    </row>
    <row r="812" spans="1:9" x14ac:dyDescent="0.3">
      <c r="A812" s="1" t="s">
        <v>127</v>
      </c>
      <c r="B812" s="6"/>
      <c r="C812" s="1">
        <v>-1</v>
      </c>
      <c r="D812" s="105">
        <v>46082</v>
      </c>
      <c r="E812" s="105">
        <f t="shared" si="32"/>
        <v>46087</v>
      </c>
      <c r="F812" s="105">
        <v>46086</v>
      </c>
      <c r="G812" s="2">
        <f t="shared" si="33"/>
        <v>46087</v>
      </c>
      <c r="H812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46020</v>
      </c>
      <c r="I812" s="95" t="s">
        <v>723</v>
      </c>
    </row>
    <row r="813" spans="1:9" x14ac:dyDescent="0.3">
      <c r="A813" s="1" t="s">
        <v>127</v>
      </c>
      <c r="B813" s="6"/>
      <c r="C813" s="1">
        <v>-1</v>
      </c>
      <c r="D813" s="105">
        <v>46089</v>
      </c>
      <c r="E813" s="105">
        <f t="shared" si="32"/>
        <v>46096</v>
      </c>
      <c r="F813" s="105">
        <v>46095</v>
      </c>
      <c r="G813" s="2">
        <f t="shared" si="33"/>
        <v>46096</v>
      </c>
      <c r="H813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46020</v>
      </c>
      <c r="I813" s="95" t="s">
        <v>723</v>
      </c>
    </row>
    <row r="814" spans="1:9" x14ac:dyDescent="0.3">
      <c r="A814" s="1" t="s">
        <v>127</v>
      </c>
      <c r="B814" s="6"/>
      <c r="C814" s="1">
        <v>-1</v>
      </c>
      <c r="D814" s="105">
        <v>46139</v>
      </c>
      <c r="E814" s="105">
        <f t="shared" si="32"/>
        <v>46142</v>
      </c>
      <c r="F814" s="105">
        <v>46141</v>
      </c>
      <c r="G814" s="2">
        <f t="shared" si="33"/>
        <v>46142</v>
      </c>
      <c r="H814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46020</v>
      </c>
      <c r="I814" s="95" t="s">
        <v>723</v>
      </c>
    </row>
    <row r="815" spans="1:9" x14ac:dyDescent="0.3">
      <c r="A815" s="1" t="s">
        <v>57</v>
      </c>
      <c r="B815" s="6"/>
      <c r="C815" s="1">
        <v>-1</v>
      </c>
      <c r="D815" s="105">
        <v>46091</v>
      </c>
      <c r="E815" s="105">
        <f t="shared" si="32"/>
        <v>46098</v>
      </c>
      <c r="F815" s="105">
        <v>46097</v>
      </c>
      <c r="G815" s="2">
        <f t="shared" si="33"/>
        <v>46098</v>
      </c>
      <c r="H815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46021</v>
      </c>
      <c r="I815" s="95" t="s">
        <v>724</v>
      </c>
    </row>
    <row r="816" spans="1:9" x14ac:dyDescent="0.3">
      <c r="A816" s="1" t="s">
        <v>57</v>
      </c>
      <c r="B816" s="6"/>
      <c r="C816" s="1">
        <v>-1</v>
      </c>
      <c r="D816" s="105">
        <v>46123</v>
      </c>
      <c r="E816" s="105">
        <f t="shared" si="32"/>
        <v>46127</v>
      </c>
      <c r="F816" s="105">
        <v>46126</v>
      </c>
      <c r="G816" s="2">
        <f t="shared" si="33"/>
        <v>46127</v>
      </c>
      <c r="H816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46021</v>
      </c>
      <c r="I816" s="95" t="s">
        <v>724</v>
      </c>
    </row>
    <row r="817" spans="1:9" x14ac:dyDescent="0.3">
      <c r="A817" s="1" t="s">
        <v>67</v>
      </c>
      <c r="B817" s="6"/>
      <c r="C817" s="1">
        <v>-1</v>
      </c>
      <c r="D817" s="105">
        <v>46033</v>
      </c>
      <c r="E817" s="105">
        <f t="shared" si="32"/>
        <v>46034</v>
      </c>
      <c r="F817" s="105">
        <v>46033</v>
      </c>
      <c r="G817" s="2">
        <f t="shared" si="33"/>
        <v>46034</v>
      </c>
      <c r="H817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46022</v>
      </c>
      <c r="I817" s="95" t="s">
        <v>725</v>
      </c>
    </row>
    <row r="818" spans="1:9" x14ac:dyDescent="0.3">
      <c r="A818" s="1" t="s">
        <v>67</v>
      </c>
      <c r="B818" s="6"/>
      <c r="C818" s="1">
        <v>-1</v>
      </c>
      <c r="D818" s="105">
        <v>46055</v>
      </c>
      <c r="E818" s="105">
        <f t="shared" si="32"/>
        <v>46057</v>
      </c>
      <c r="F818" s="105">
        <v>46056</v>
      </c>
      <c r="G818" s="2">
        <f t="shared" si="33"/>
        <v>46057</v>
      </c>
      <c r="H818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46022</v>
      </c>
      <c r="I818" s="95" t="s">
        <v>725</v>
      </c>
    </row>
    <row r="819" spans="1:9" x14ac:dyDescent="0.3">
      <c r="A819" s="1" t="s">
        <v>55</v>
      </c>
      <c r="B819" s="6"/>
      <c r="C819" s="1">
        <v>-1</v>
      </c>
      <c r="D819" s="105">
        <v>46204</v>
      </c>
      <c r="E819" s="105">
        <f t="shared" si="32"/>
        <v>46266</v>
      </c>
      <c r="F819" s="105">
        <v>46265</v>
      </c>
      <c r="G819" s="2">
        <f t="shared" si="33"/>
        <v>46266</v>
      </c>
      <c r="H819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46021</v>
      </c>
      <c r="I819" s="95" t="s">
        <v>726</v>
      </c>
    </row>
    <row r="820" spans="1:9" x14ac:dyDescent="0.3">
      <c r="A820" s="1" t="s">
        <v>590</v>
      </c>
      <c r="B820" s="6"/>
      <c r="C820" s="1">
        <v>-1</v>
      </c>
      <c r="D820" s="105">
        <v>46026</v>
      </c>
      <c r="E820" s="105">
        <f t="shared" si="32"/>
        <v>46053</v>
      </c>
      <c r="F820" s="105">
        <v>46052</v>
      </c>
      <c r="G820" s="2">
        <f t="shared" si="33"/>
        <v>46053</v>
      </c>
      <c r="H820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46022</v>
      </c>
      <c r="I820" s="95" t="s">
        <v>727</v>
      </c>
    </row>
    <row r="821" spans="1:9" x14ac:dyDescent="0.3">
      <c r="A821" s="1" t="s">
        <v>321</v>
      </c>
      <c r="B821" s="6"/>
      <c r="C821" s="1">
        <v>-1</v>
      </c>
      <c r="D821" s="105">
        <v>46025</v>
      </c>
      <c r="E821" s="105">
        <f t="shared" si="32"/>
        <v>46028</v>
      </c>
      <c r="F821" s="105">
        <v>46027</v>
      </c>
      <c r="G821" s="2">
        <f t="shared" si="33"/>
        <v>46028</v>
      </c>
      <c r="H821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46024</v>
      </c>
      <c r="I821" s="95" t="s">
        <v>728</v>
      </c>
    </row>
    <row r="822" spans="1:9" x14ac:dyDescent="0.3">
      <c r="A822" s="1" t="s">
        <v>113</v>
      </c>
      <c r="B822" s="6"/>
      <c r="C822" s="1">
        <v>-1</v>
      </c>
      <c r="D822" s="105">
        <v>46031</v>
      </c>
      <c r="E822" s="105">
        <f t="shared" si="32"/>
        <v>46039</v>
      </c>
      <c r="F822" s="105">
        <v>46038</v>
      </c>
      <c r="G822" s="2">
        <f t="shared" si="33"/>
        <v>46039</v>
      </c>
      <c r="H822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46024</v>
      </c>
      <c r="I822" s="95" t="s">
        <v>729</v>
      </c>
    </row>
    <row r="823" spans="1:9" x14ac:dyDescent="0.3">
      <c r="A823" s="1" t="s">
        <v>113</v>
      </c>
      <c r="B823" s="6"/>
      <c r="C823" s="1">
        <v>-1</v>
      </c>
      <c r="D823" s="105">
        <v>46100</v>
      </c>
      <c r="E823" s="105">
        <f t="shared" si="32"/>
        <v>46109</v>
      </c>
      <c r="F823" s="105">
        <v>46108</v>
      </c>
      <c r="G823" s="2">
        <f t="shared" si="33"/>
        <v>46109</v>
      </c>
      <c r="H823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46024</v>
      </c>
      <c r="I823" s="95" t="s">
        <v>729</v>
      </c>
    </row>
    <row r="824" spans="1:9" x14ac:dyDescent="0.3">
      <c r="A824" s="1" t="s">
        <v>113</v>
      </c>
      <c r="B824" s="6"/>
      <c r="C824" s="1">
        <v>-1</v>
      </c>
      <c r="D824" s="105">
        <v>46111</v>
      </c>
      <c r="E824" s="105">
        <f t="shared" si="32"/>
        <v>46122</v>
      </c>
      <c r="F824" s="105">
        <v>46121</v>
      </c>
      <c r="G824" s="2">
        <f t="shared" si="33"/>
        <v>46122</v>
      </c>
      <c r="H824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46024</v>
      </c>
      <c r="I824" s="95" t="s">
        <v>729</v>
      </c>
    </row>
    <row r="825" spans="1:9" x14ac:dyDescent="0.3">
      <c r="A825" s="1" t="s">
        <v>127</v>
      </c>
      <c r="B825" s="6"/>
      <c r="C825" s="1">
        <v>-1</v>
      </c>
      <c r="D825" s="105">
        <v>46108</v>
      </c>
      <c r="E825" s="105">
        <f t="shared" si="32"/>
        <v>46109</v>
      </c>
      <c r="F825" s="105">
        <v>46108</v>
      </c>
      <c r="G825" s="2">
        <f t="shared" si="33"/>
        <v>46109</v>
      </c>
      <c r="H825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46025</v>
      </c>
      <c r="I825" s="95" t="s">
        <v>730</v>
      </c>
    </row>
    <row r="826" spans="1:9" x14ac:dyDescent="0.3">
      <c r="A826" s="1" t="s">
        <v>127</v>
      </c>
      <c r="B826" s="6"/>
      <c r="C826" s="1">
        <v>-1</v>
      </c>
      <c r="D826" s="105">
        <v>46124</v>
      </c>
      <c r="E826" s="105">
        <f t="shared" si="32"/>
        <v>46125</v>
      </c>
      <c r="F826" s="105">
        <v>46124</v>
      </c>
      <c r="G826" s="2">
        <f t="shared" si="33"/>
        <v>46125</v>
      </c>
      <c r="H826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46025</v>
      </c>
      <c r="I826" s="95" t="s">
        <v>730</v>
      </c>
    </row>
    <row r="827" spans="1:9" x14ac:dyDescent="0.3">
      <c r="A827" s="1" t="s">
        <v>127</v>
      </c>
      <c r="B827" s="6"/>
      <c r="C827" s="1">
        <v>-1</v>
      </c>
      <c r="D827" s="105">
        <v>46311</v>
      </c>
      <c r="E827" s="105">
        <f t="shared" ref="E827:E890" si="34">G827</f>
        <v>46313</v>
      </c>
      <c r="F827" s="105">
        <v>46312</v>
      </c>
      <c r="G827" s="2">
        <f t="shared" si="33"/>
        <v>46313</v>
      </c>
      <c r="H827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46025</v>
      </c>
      <c r="I827" s="95" t="s">
        <v>730</v>
      </c>
    </row>
    <row r="828" spans="1:9" x14ac:dyDescent="0.3">
      <c r="A828" s="1" t="s">
        <v>127</v>
      </c>
      <c r="B828" s="6"/>
      <c r="C828" s="1">
        <v>-1</v>
      </c>
      <c r="D828" s="105">
        <v>46083</v>
      </c>
      <c r="E828" s="105">
        <f t="shared" si="34"/>
        <v>46088</v>
      </c>
      <c r="F828" s="105">
        <v>46087</v>
      </c>
      <c r="G828" s="2">
        <f t="shared" si="33"/>
        <v>46088</v>
      </c>
      <c r="H828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46025</v>
      </c>
      <c r="I828" s="95" t="s">
        <v>730</v>
      </c>
    </row>
    <row r="829" spans="1:9" x14ac:dyDescent="0.3">
      <c r="A829" s="1" t="s">
        <v>127</v>
      </c>
      <c r="B829" s="6"/>
      <c r="C829" s="1">
        <v>-1</v>
      </c>
      <c r="D829" s="105">
        <v>46104</v>
      </c>
      <c r="E829" s="105">
        <f t="shared" si="34"/>
        <v>46109</v>
      </c>
      <c r="F829" s="105">
        <v>46108</v>
      </c>
      <c r="G829" s="2">
        <f t="shared" si="33"/>
        <v>46109</v>
      </c>
      <c r="H829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46025</v>
      </c>
      <c r="I829" s="95" t="s">
        <v>730</v>
      </c>
    </row>
    <row r="830" spans="1:9" x14ac:dyDescent="0.3">
      <c r="A830" s="1" t="s">
        <v>127</v>
      </c>
      <c r="B830" s="6"/>
      <c r="C830" s="1">
        <v>-1</v>
      </c>
      <c r="D830" s="105">
        <v>46104</v>
      </c>
      <c r="E830" s="105">
        <f t="shared" ref="E830" si="35">G830</f>
        <v>46105</v>
      </c>
      <c r="F830" s="105">
        <v>46104</v>
      </c>
      <c r="G830" s="2">
        <f t="shared" si="33"/>
        <v>46105</v>
      </c>
      <c r="H830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46025</v>
      </c>
      <c r="I830" s="95" t="s">
        <v>730</v>
      </c>
    </row>
    <row r="831" spans="1:9" x14ac:dyDescent="0.3">
      <c r="A831" s="1" t="s">
        <v>127</v>
      </c>
      <c r="B831" s="6"/>
      <c r="C831" s="1">
        <v>-1</v>
      </c>
      <c r="D831" s="105">
        <v>46117</v>
      </c>
      <c r="E831" s="105">
        <f t="shared" si="34"/>
        <v>46125</v>
      </c>
      <c r="F831" s="105">
        <v>46124</v>
      </c>
      <c r="G831" s="2">
        <f t="shared" si="33"/>
        <v>46125</v>
      </c>
      <c r="H831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46025</v>
      </c>
      <c r="I831" s="95" t="s">
        <v>730</v>
      </c>
    </row>
    <row r="832" spans="1:9" x14ac:dyDescent="0.3">
      <c r="A832" s="1" t="s">
        <v>76</v>
      </c>
      <c r="B832" s="6"/>
      <c r="C832" s="1">
        <v>-1</v>
      </c>
      <c r="D832" s="105">
        <v>46030</v>
      </c>
      <c r="E832" s="105">
        <f t="shared" si="34"/>
        <v>46035</v>
      </c>
      <c r="F832" s="105">
        <v>46034</v>
      </c>
      <c r="G832" s="2">
        <f t="shared" si="33"/>
        <v>46035</v>
      </c>
      <c r="H832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46026</v>
      </c>
      <c r="I832" s="95" t="s">
        <v>731</v>
      </c>
    </row>
    <row r="833" spans="1:9" x14ac:dyDescent="0.3">
      <c r="A833" s="1" t="s">
        <v>66</v>
      </c>
      <c r="B833" s="6"/>
      <c r="C833" s="1">
        <v>-1</v>
      </c>
      <c r="D833" s="105">
        <v>46041</v>
      </c>
      <c r="E833" s="105">
        <f t="shared" si="34"/>
        <v>46042</v>
      </c>
      <c r="F833" s="105">
        <v>46041</v>
      </c>
      <c r="G833" s="2">
        <f t="shared" si="33"/>
        <v>46042</v>
      </c>
      <c r="H833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46025</v>
      </c>
      <c r="I833" s="95" t="s">
        <v>732</v>
      </c>
    </row>
    <row r="834" spans="1:9" x14ac:dyDescent="0.3">
      <c r="A834" s="1" t="s">
        <v>71</v>
      </c>
      <c r="B834" s="6"/>
      <c r="C834" s="1">
        <v>-1</v>
      </c>
      <c r="D834" s="105">
        <v>46031</v>
      </c>
      <c r="E834" s="105">
        <f t="shared" si="34"/>
        <v>46036</v>
      </c>
      <c r="F834" s="105">
        <v>46035</v>
      </c>
      <c r="G834" s="2">
        <f t="shared" si="33"/>
        <v>46036</v>
      </c>
      <c r="H834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46026</v>
      </c>
      <c r="I834" s="95" t="s">
        <v>733</v>
      </c>
    </row>
    <row r="835" spans="1:9" x14ac:dyDescent="0.3">
      <c r="A835" s="1" t="s">
        <v>92</v>
      </c>
      <c r="B835" s="6"/>
      <c r="C835" s="1">
        <v>-1</v>
      </c>
      <c r="D835" s="105">
        <v>46109</v>
      </c>
      <c r="E835" s="105">
        <f t="shared" si="34"/>
        <v>46120</v>
      </c>
      <c r="F835" s="105">
        <v>46119</v>
      </c>
      <c r="G835" s="2">
        <f t="shared" si="33"/>
        <v>46120</v>
      </c>
      <c r="H835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46026</v>
      </c>
      <c r="I835" s="95" t="s">
        <v>734</v>
      </c>
    </row>
    <row r="836" spans="1:9" x14ac:dyDescent="0.3">
      <c r="A836" s="1" t="s">
        <v>123</v>
      </c>
      <c r="B836" s="6"/>
      <c r="C836" s="1">
        <v>-1</v>
      </c>
      <c r="D836" s="105">
        <v>46103</v>
      </c>
      <c r="E836" s="105">
        <f t="shared" si="34"/>
        <v>46109</v>
      </c>
      <c r="F836" s="105">
        <v>46108</v>
      </c>
      <c r="G836" s="2">
        <f t="shared" si="33"/>
        <v>46109</v>
      </c>
      <c r="H836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46026</v>
      </c>
      <c r="I836" s="95" t="s">
        <v>735</v>
      </c>
    </row>
    <row r="837" spans="1:9" x14ac:dyDescent="0.3">
      <c r="A837" s="1" t="s">
        <v>123</v>
      </c>
      <c r="B837" s="6"/>
      <c r="C837" s="1">
        <v>-1</v>
      </c>
      <c r="D837" s="105">
        <v>46115</v>
      </c>
      <c r="E837" s="105">
        <f t="shared" si="34"/>
        <v>46116</v>
      </c>
      <c r="F837" s="105">
        <v>46115</v>
      </c>
      <c r="G837" s="2">
        <f t="shared" si="33"/>
        <v>46116</v>
      </c>
      <c r="H837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46026</v>
      </c>
      <c r="I837" s="95" t="s">
        <v>735</v>
      </c>
    </row>
    <row r="838" spans="1:9" x14ac:dyDescent="0.3">
      <c r="A838" s="1" t="s">
        <v>123</v>
      </c>
      <c r="B838" s="6"/>
      <c r="C838" s="1">
        <v>-1</v>
      </c>
      <c r="D838" s="105">
        <v>46108</v>
      </c>
      <c r="E838" s="105">
        <f t="shared" si="34"/>
        <v>46113</v>
      </c>
      <c r="F838" s="105">
        <v>46112</v>
      </c>
      <c r="G838" s="2">
        <f t="shared" si="33"/>
        <v>46113</v>
      </c>
      <c r="H838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46026</v>
      </c>
      <c r="I838" s="95" t="s">
        <v>735</v>
      </c>
    </row>
    <row r="839" spans="1:9" x14ac:dyDescent="0.3">
      <c r="A839" s="1" t="s">
        <v>80</v>
      </c>
      <c r="B839" s="6"/>
      <c r="C839" s="1">
        <v>-1</v>
      </c>
      <c r="D839" s="105">
        <v>46041</v>
      </c>
      <c r="E839" s="105">
        <f t="shared" si="34"/>
        <v>46045</v>
      </c>
      <c r="F839" s="105">
        <v>46044</v>
      </c>
      <c r="G839" s="2">
        <f t="shared" si="33"/>
        <v>46045</v>
      </c>
      <c r="H839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46028</v>
      </c>
      <c r="I839" s="95" t="s">
        <v>736</v>
      </c>
    </row>
    <row r="840" spans="1:9" x14ac:dyDescent="0.3">
      <c r="A840" s="1" t="s">
        <v>66</v>
      </c>
      <c r="B840" s="6"/>
      <c r="C840" s="1">
        <v>-1</v>
      </c>
      <c r="D840" s="105">
        <v>46039</v>
      </c>
      <c r="E840" s="105">
        <f t="shared" si="34"/>
        <v>46041</v>
      </c>
      <c r="F840" s="105">
        <v>46040</v>
      </c>
      <c r="G840" s="2">
        <f t="shared" si="33"/>
        <v>46041</v>
      </c>
      <c r="H840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46027</v>
      </c>
      <c r="I840" s="95" t="s">
        <v>737</v>
      </c>
    </row>
    <row r="841" spans="1:9" x14ac:dyDescent="0.3">
      <c r="A841" s="1" t="s">
        <v>66</v>
      </c>
      <c r="B841" s="6"/>
      <c r="C841" s="1">
        <v>-1</v>
      </c>
      <c r="D841" s="105">
        <v>46042</v>
      </c>
      <c r="E841" s="105">
        <f t="shared" si="34"/>
        <v>46044</v>
      </c>
      <c r="F841" s="105">
        <v>46043</v>
      </c>
      <c r="G841" s="2">
        <f t="shared" si="33"/>
        <v>46044</v>
      </c>
      <c r="H841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46027</v>
      </c>
      <c r="I841" s="95" t="s">
        <v>737</v>
      </c>
    </row>
    <row r="842" spans="1:9" x14ac:dyDescent="0.3">
      <c r="A842" s="1" t="s">
        <v>66</v>
      </c>
      <c r="B842" s="6"/>
      <c r="C842" s="1">
        <v>-1</v>
      </c>
      <c r="D842" s="105">
        <v>46041</v>
      </c>
      <c r="E842" s="105">
        <f t="shared" si="34"/>
        <v>46042</v>
      </c>
      <c r="F842" s="105">
        <v>46041</v>
      </c>
      <c r="G842" s="2">
        <f t="shared" si="33"/>
        <v>46042</v>
      </c>
      <c r="H842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46027</v>
      </c>
      <c r="I842" s="95" t="s">
        <v>737</v>
      </c>
    </row>
    <row r="843" spans="1:9" x14ac:dyDescent="0.3">
      <c r="A843" s="1" t="s">
        <v>88</v>
      </c>
      <c r="B843" s="6"/>
      <c r="C843" s="1">
        <v>-1</v>
      </c>
      <c r="D843" s="105">
        <v>46032</v>
      </c>
      <c r="E843" s="105">
        <f t="shared" si="34"/>
        <v>46036</v>
      </c>
      <c r="F843" s="105">
        <v>46035</v>
      </c>
      <c r="G843" s="2">
        <f t="shared" si="33"/>
        <v>46036</v>
      </c>
      <c r="H843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46028</v>
      </c>
      <c r="I843" s="95" t="s">
        <v>738</v>
      </c>
    </row>
    <row r="844" spans="1:9" x14ac:dyDescent="0.3">
      <c r="A844" s="1" t="s">
        <v>92</v>
      </c>
      <c r="B844" s="6"/>
      <c r="C844" s="1">
        <v>-1</v>
      </c>
      <c r="D844" s="105">
        <v>46108</v>
      </c>
      <c r="E844" s="105">
        <f t="shared" si="34"/>
        <v>46123</v>
      </c>
      <c r="F844" s="105">
        <v>46122</v>
      </c>
      <c r="G844" s="2">
        <f t="shared" si="33"/>
        <v>46123</v>
      </c>
      <c r="H844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46028</v>
      </c>
      <c r="I844" s="95" t="s">
        <v>739</v>
      </c>
    </row>
    <row r="845" spans="1:9" x14ac:dyDescent="0.3">
      <c r="A845" s="1" t="s">
        <v>92</v>
      </c>
      <c r="B845" s="6"/>
      <c r="C845" s="1">
        <v>-1</v>
      </c>
      <c r="D845" s="105">
        <v>46060</v>
      </c>
      <c r="E845" s="105">
        <f t="shared" si="34"/>
        <v>46082</v>
      </c>
      <c r="F845" s="105">
        <v>46081</v>
      </c>
      <c r="G845" s="2">
        <f t="shared" si="33"/>
        <v>46082</v>
      </c>
      <c r="H845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46028</v>
      </c>
      <c r="I845" s="95" t="s">
        <v>739</v>
      </c>
    </row>
    <row r="846" spans="1:9" x14ac:dyDescent="0.3">
      <c r="A846" s="1" t="s">
        <v>92</v>
      </c>
      <c r="B846" s="6"/>
      <c r="C846" s="1">
        <v>-1</v>
      </c>
      <c r="D846" s="105">
        <v>46088</v>
      </c>
      <c r="E846" s="105">
        <f t="shared" si="34"/>
        <v>46096</v>
      </c>
      <c r="F846" s="105">
        <v>46095</v>
      </c>
      <c r="G846" s="2">
        <f t="shared" si="33"/>
        <v>46096</v>
      </c>
      <c r="H846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46028</v>
      </c>
      <c r="I846" s="95" t="s">
        <v>739</v>
      </c>
    </row>
    <row r="847" spans="1:9" x14ac:dyDescent="0.3">
      <c r="A847" s="1" t="s">
        <v>92</v>
      </c>
      <c r="B847" s="6"/>
      <c r="C847" s="1">
        <v>-1</v>
      </c>
      <c r="D847" s="105">
        <v>46104</v>
      </c>
      <c r="E847" s="105">
        <f t="shared" si="34"/>
        <v>46107</v>
      </c>
      <c r="F847" s="105">
        <v>46106</v>
      </c>
      <c r="G847" s="2">
        <f t="shared" si="33"/>
        <v>46107</v>
      </c>
      <c r="H847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46028</v>
      </c>
      <c r="I847" s="95" t="s">
        <v>739</v>
      </c>
    </row>
    <row r="848" spans="1:9" x14ac:dyDescent="0.3">
      <c r="A848" s="1" t="s">
        <v>92</v>
      </c>
      <c r="B848" s="6"/>
      <c r="C848" s="1">
        <v>-1</v>
      </c>
      <c r="D848" s="105">
        <v>46122</v>
      </c>
      <c r="E848" s="105">
        <f t="shared" si="34"/>
        <v>46143</v>
      </c>
      <c r="F848" s="105">
        <v>46142</v>
      </c>
      <c r="G848" s="2">
        <f t="shared" si="33"/>
        <v>46143</v>
      </c>
      <c r="H848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46028</v>
      </c>
      <c r="I848" s="95" t="s">
        <v>739</v>
      </c>
    </row>
    <row r="849" spans="1:9" x14ac:dyDescent="0.3">
      <c r="A849" s="1" t="s">
        <v>136</v>
      </c>
      <c r="B849" s="6"/>
      <c r="C849" s="1">
        <v>-1</v>
      </c>
      <c r="D849" s="105">
        <v>46035</v>
      </c>
      <c r="E849" s="105">
        <f t="shared" si="34"/>
        <v>46040</v>
      </c>
      <c r="F849" s="105">
        <v>46039</v>
      </c>
      <c r="G849" s="2">
        <f t="shared" si="33"/>
        <v>46040</v>
      </c>
      <c r="H849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46028</v>
      </c>
      <c r="I849" s="95" t="s">
        <v>740</v>
      </c>
    </row>
    <row r="850" spans="1:9" x14ac:dyDescent="0.3">
      <c r="A850" s="1" t="s">
        <v>81</v>
      </c>
      <c r="B850" s="6"/>
      <c r="C850" s="1">
        <v>-1</v>
      </c>
      <c r="D850" s="105">
        <v>46033</v>
      </c>
      <c r="E850" s="105">
        <f t="shared" si="34"/>
        <v>46038</v>
      </c>
      <c r="F850" s="105">
        <v>46037</v>
      </c>
      <c r="G850" s="2">
        <f t="shared" si="33"/>
        <v>46038</v>
      </c>
      <c r="H850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46028</v>
      </c>
      <c r="I850" s="95" t="s">
        <v>741</v>
      </c>
    </row>
    <row r="851" spans="1:9" x14ac:dyDescent="0.3">
      <c r="A851" s="1" t="s">
        <v>80</v>
      </c>
      <c r="B851" s="6"/>
      <c r="C851" s="1">
        <v>-1</v>
      </c>
      <c r="D851" s="105">
        <v>46032</v>
      </c>
      <c r="E851" s="105">
        <f t="shared" si="34"/>
        <v>46037</v>
      </c>
      <c r="F851" s="105">
        <v>46036</v>
      </c>
      <c r="G851" s="2">
        <f t="shared" si="33"/>
        <v>46037</v>
      </c>
      <c r="H851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46029</v>
      </c>
      <c r="I851" s="95" t="s">
        <v>742</v>
      </c>
    </row>
    <row r="852" spans="1:9" x14ac:dyDescent="0.3">
      <c r="A852" s="1" t="s">
        <v>57</v>
      </c>
      <c r="B852" s="6"/>
      <c r="C852" s="1">
        <v>-1</v>
      </c>
      <c r="D852" s="105">
        <v>46116</v>
      </c>
      <c r="E852" s="105">
        <f t="shared" si="34"/>
        <v>46122</v>
      </c>
      <c r="F852" s="105">
        <v>46121</v>
      </c>
      <c r="G852" s="2">
        <f t="shared" si="33"/>
        <v>46122</v>
      </c>
      <c r="H852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46029</v>
      </c>
      <c r="I852" s="95" t="s">
        <v>743</v>
      </c>
    </row>
    <row r="853" spans="1:9" x14ac:dyDescent="0.3">
      <c r="A853" s="1" t="s">
        <v>126</v>
      </c>
      <c r="B853" s="6"/>
      <c r="C853" s="1">
        <v>-1</v>
      </c>
      <c r="D853" s="105">
        <v>46040</v>
      </c>
      <c r="E853" s="105">
        <f t="shared" si="34"/>
        <v>46043</v>
      </c>
      <c r="F853" s="105">
        <v>46042</v>
      </c>
      <c r="G853" s="2">
        <f t="shared" si="33"/>
        <v>46043</v>
      </c>
      <c r="H853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46029</v>
      </c>
      <c r="I853" s="95" t="s">
        <v>744</v>
      </c>
    </row>
    <row r="854" spans="1:9" x14ac:dyDescent="0.3">
      <c r="A854" s="1" t="s">
        <v>67</v>
      </c>
      <c r="B854" s="6"/>
      <c r="C854" s="1">
        <v>-1</v>
      </c>
      <c r="D854" s="105">
        <v>46067</v>
      </c>
      <c r="E854" s="105">
        <f t="shared" si="34"/>
        <v>46070</v>
      </c>
      <c r="F854" s="105">
        <v>46069</v>
      </c>
      <c r="G854" s="2">
        <f t="shared" si="33"/>
        <v>46070</v>
      </c>
      <c r="H854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46030</v>
      </c>
      <c r="I854" s="95" t="s">
        <v>745</v>
      </c>
    </row>
    <row r="855" spans="1:9" x14ac:dyDescent="0.3">
      <c r="A855" s="1" t="s">
        <v>590</v>
      </c>
      <c r="B855" s="6"/>
      <c r="C855" s="1">
        <v>-1</v>
      </c>
      <c r="D855" s="105">
        <v>46062</v>
      </c>
      <c r="E855" s="105">
        <f t="shared" si="34"/>
        <v>46072</v>
      </c>
      <c r="F855" s="105">
        <v>46071</v>
      </c>
      <c r="G855" s="2">
        <f t="shared" si="33"/>
        <v>46072</v>
      </c>
      <c r="H855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46031</v>
      </c>
      <c r="I855" s="95" t="s">
        <v>746</v>
      </c>
    </row>
    <row r="856" spans="1:9" x14ac:dyDescent="0.3">
      <c r="A856" s="1" t="s">
        <v>590</v>
      </c>
      <c r="B856" s="6"/>
      <c r="C856" s="1">
        <v>-1</v>
      </c>
      <c r="D856" s="105">
        <v>46091</v>
      </c>
      <c r="E856" s="105">
        <f t="shared" si="34"/>
        <v>46101</v>
      </c>
      <c r="F856" s="105">
        <v>46100</v>
      </c>
      <c r="G856" s="2">
        <f t="shared" si="33"/>
        <v>46101</v>
      </c>
      <c r="H856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46031</v>
      </c>
      <c r="I856" s="95" t="s">
        <v>746</v>
      </c>
    </row>
    <row r="857" spans="1:9" x14ac:dyDescent="0.3">
      <c r="A857" s="1" t="s">
        <v>590</v>
      </c>
      <c r="B857" s="6"/>
      <c r="C857" s="1">
        <v>-1</v>
      </c>
      <c r="D857" s="105">
        <v>46126</v>
      </c>
      <c r="E857" s="105">
        <f t="shared" si="34"/>
        <v>46135</v>
      </c>
      <c r="F857" s="105">
        <v>46134</v>
      </c>
      <c r="G857" s="2">
        <f t="shared" si="33"/>
        <v>46135</v>
      </c>
      <c r="H857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46031</v>
      </c>
      <c r="I857" s="95" t="s">
        <v>746</v>
      </c>
    </row>
    <row r="858" spans="1:9" x14ac:dyDescent="0.3">
      <c r="A858" s="1" t="s">
        <v>80</v>
      </c>
      <c r="B858" s="6"/>
      <c r="C858" s="1">
        <v>-1</v>
      </c>
      <c r="D858" s="105">
        <v>46045</v>
      </c>
      <c r="E858" s="105">
        <f t="shared" si="34"/>
        <v>46063</v>
      </c>
      <c r="F858" s="105">
        <v>46062</v>
      </c>
      <c r="G858" s="2">
        <f t="shared" si="33"/>
        <v>46063</v>
      </c>
      <c r="H858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46031</v>
      </c>
      <c r="I858" s="95" t="s">
        <v>747</v>
      </c>
    </row>
    <row r="859" spans="1:9" x14ac:dyDescent="0.3">
      <c r="A859" s="1" t="s">
        <v>123</v>
      </c>
      <c r="B859" s="6"/>
      <c r="C859" s="1">
        <v>-1</v>
      </c>
      <c r="D859" s="105">
        <v>46045</v>
      </c>
      <c r="E859" s="105">
        <f t="shared" si="34"/>
        <v>46108</v>
      </c>
      <c r="F859" s="105">
        <v>46107</v>
      </c>
      <c r="G859" s="2">
        <f t="shared" si="33"/>
        <v>46108</v>
      </c>
      <c r="H859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46031</v>
      </c>
      <c r="I859" s="95" t="s">
        <v>747</v>
      </c>
    </row>
    <row r="860" spans="1:9" x14ac:dyDescent="0.3">
      <c r="A860" s="1" t="s">
        <v>623</v>
      </c>
      <c r="B860" s="6"/>
      <c r="C860" s="1">
        <v>-1</v>
      </c>
      <c r="D860" s="105">
        <v>46084</v>
      </c>
      <c r="E860" s="105">
        <f t="shared" si="34"/>
        <v>46088</v>
      </c>
      <c r="F860" s="105">
        <v>46087</v>
      </c>
      <c r="G860" s="2">
        <f t="shared" si="33"/>
        <v>46088</v>
      </c>
      <c r="H860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46032</v>
      </c>
      <c r="I860" s="95" t="s">
        <v>748</v>
      </c>
    </row>
    <row r="861" spans="1:9" x14ac:dyDescent="0.3">
      <c r="A861" s="1" t="s">
        <v>623</v>
      </c>
      <c r="B861" s="6"/>
      <c r="C861" s="1">
        <v>-1</v>
      </c>
      <c r="D861" s="105">
        <v>46034</v>
      </c>
      <c r="E861" s="105">
        <f t="shared" si="34"/>
        <v>46035</v>
      </c>
      <c r="F861" s="105">
        <v>46034</v>
      </c>
      <c r="G861" s="2">
        <f t="shared" si="33"/>
        <v>46035</v>
      </c>
      <c r="H861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46032</v>
      </c>
      <c r="I861" s="95" t="s">
        <v>748</v>
      </c>
    </row>
    <row r="862" spans="1:9" x14ac:dyDescent="0.3">
      <c r="A862" s="1" t="s">
        <v>62</v>
      </c>
      <c r="B862" s="6"/>
      <c r="C862" s="1">
        <v>-1</v>
      </c>
      <c r="D862" s="105">
        <v>46066</v>
      </c>
      <c r="E862" s="105">
        <f t="shared" si="34"/>
        <v>46067</v>
      </c>
      <c r="F862" s="105">
        <v>46066</v>
      </c>
      <c r="G862" s="2">
        <f t="shared" si="33"/>
        <v>46067</v>
      </c>
      <c r="H862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46033</v>
      </c>
      <c r="I862" s="95" t="s">
        <v>749</v>
      </c>
    </row>
    <row r="863" spans="1:9" x14ac:dyDescent="0.3">
      <c r="A863" s="1" t="s">
        <v>80</v>
      </c>
      <c r="B863" s="6"/>
      <c r="C863" s="1">
        <v>-1</v>
      </c>
      <c r="D863" s="105">
        <v>46073</v>
      </c>
      <c r="E863" s="105">
        <f t="shared" si="34"/>
        <v>46050</v>
      </c>
      <c r="F863" s="105">
        <v>46049</v>
      </c>
      <c r="G863" s="2">
        <f t="shared" si="33"/>
        <v>46050</v>
      </c>
      <c r="H863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46033</v>
      </c>
      <c r="I863" s="95" t="s">
        <v>750</v>
      </c>
    </row>
    <row r="864" spans="1:9" x14ac:dyDescent="0.3">
      <c r="A864" s="1" t="s">
        <v>80</v>
      </c>
      <c r="B864" s="6"/>
      <c r="C864" s="1">
        <v>-1</v>
      </c>
      <c r="D864" s="105">
        <v>46065</v>
      </c>
      <c r="E864" s="105">
        <f t="shared" si="34"/>
        <v>46075</v>
      </c>
      <c r="F864" s="105">
        <v>46074</v>
      </c>
      <c r="G864" s="2">
        <f t="shared" si="33"/>
        <v>46075</v>
      </c>
      <c r="H864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46033</v>
      </c>
      <c r="I864" s="95" t="s">
        <v>751</v>
      </c>
    </row>
    <row r="865" spans="1:9" x14ac:dyDescent="0.3">
      <c r="A865" s="1" t="s">
        <v>62</v>
      </c>
      <c r="B865" s="6"/>
      <c r="C865" s="1">
        <v>-1</v>
      </c>
      <c r="D865" s="105"/>
      <c r="E865" s="105">
        <f t="shared" si="34"/>
        <v>1</v>
      </c>
      <c r="F865" s="105"/>
      <c r="G865" s="2">
        <f t="shared" si="33"/>
        <v>1</v>
      </c>
      <c r="H865" s="2" t="e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#VALUE!</v>
      </c>
      <c r="I865" s="95"/>
    </row>
    <row r="866" spans="1:9" x14ac:dyDescent="0.3">
      <c r="A866" s="1" t="s">
        <v>109</v>
      </c>
      <c r="B866" s="6"/>
      <c r="C866" s="1">
        <v>-1</v>
      </c>
      <c r="D866" s="105">
        <v>46109</v>
      </c>
      <c r="E866" s="105">
        <f t="shared" si="34"/>
        <v>46123</v>
      </c>
      <c r="F866" s="105">
        <v>46122</v>
      </c>
      <c r="G866" s="2">
        <f t="shared" si="33"/>
        <v>46123</v>
      </c>
      <c r="H866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46034</v>
      </c>
      <c r="I866" s="95" t="s">
        <v>752</v>
      </c>
    </row>
    <row r="867" spans="1:9" x14ac:dyDescent="0.3">
      <c r="A867" s="1" t="s">
        <v>55</v>
      </c>
      <c r="B867" s="6"/>
      <c r="C867" s="1">
        <v>-1</v>
      </c>
      <c r="D867" s="105">
        <v>46067</v>
      </c>
      <c r="E867" s="105">
        <f t="shared" si="34"/>
        <v>46075</v>
      </c>
      <c r="F867" s="105">
        <v>46074</v>
      </c>
      <c r="G867" s="2">
        <f t="shared" si="33"/>
        <v>46075</v>
      </c>
      <c r="H867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46034</v>
      </c>
      <c r="I867" s="95" t="s">
        <v>753</v>
      </c>
    </row>
    <row r="868" spans="1:9" x14ac:dyDescent="0.3">
      <c r="A868" s="1" t="s">
        <v>67</v>
      </c>
      <c r="B868" s="6"/>
      <c r="C868" s="1">
        <v>-1</v>
      </c>
      <c r="D868" s="105">
        <v>46046</v>
      </c>
      <c r="E868" s="105">
        <f t="shared" si="34"/>
        <v>46047</v>
      </c>
      <c r="F868" s="105">
        <v>46046</v>
      </c>
      <c r="G868" s="2">
        <f t="shared" ref="G868:G931" si="36">F868+1</f>
        <v>46047</v>
      </c>
      <c r="H868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46034</v>
      </c>
      <c r="I868" s="95" t="s">
        <v>754</v>
      </c>
    </row>
    <row r="869" spans="1:9" x14ac:dyDescent="0.3">
      <c r="A869" s="1" t="s">
        <v>62</v>
      </c>
      <c r="B869" s="6"/>
      <c r="C869" s="1">
        <v>-1</v>
      </c>
      <c r="D869" s="105">
        <v>46065</v>
      </c>
      <c r="E869" s="105">
        <f t="shared" si="34"/>
        <v>46066</v>
      </c>
      <c r="F869" s="105">
        <v>46065</v>
      </c>
      <c r="G869" s="2">
        <f t="shared" si="36"/>
        <v>46066</v>
      </c>
      <c r="H869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46034</v>
      </c>
      <c r="I869" s="95" t="s">
        <v>755</v>
      </c>
    </row>
    <row r="870" spans="1:9" x14ac:dyDescent="0.3">
      <c r="A870" s="1" t="s">
        <v>71</v>
      </c>
      <c r="B870" s="6"/>
      <c r="C870" s="1">
        <v>-1</v>
      </c>
      <c r="D870" s="105">
        <v>46091</v>
      </c>
      <c r="E870" s="105">
        <f t="shared" si="34"/>
        <v>46093</v>
      </c>
      <c r="F870" s="105">
        <v>46092</v>
      </c>
      <c r="G870" s="2">
        <f t="shared" si="36"/>
        <v>46093</v>
      </c>
      <c r="H870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46034</v>
      </c>
      <c r="I870" s="95" t="s">
        <v>755</v>
      </c>
    </row>
    <row r="871" spans="1:9" x14ac:dyDescent="0.3">
      <c r="A871" s="1" t="s">
        <v>71</v>
      </c>
      <c r="B871" s="6"/>
      <c r="C871" s="1">
        <v>-1</v>
      </c>
      <c r="D871" s="105">
        <v>46095</v>
      </c>
      <c r="E871" s="105">
        <f t="shared" si="34"/>
        <v>46103</v>
      </c>
      <c r="F871" s="105">
        <v>46102</v>
      </c>
      <c r="G871" s="2">
        <f t="shared" si="36"/>
        <v>46103</v>
      </c>
      <c r="H871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46034</v>
      </c>
      <c r="I871" s="95" t="s">
        <v>755</v>
      </c>
    </row>
    <row r="872" spans="1:9" x14ac:dyDescent="0.3">
      <c r="A872" s="1" t="s">
        <v>76</v>
      </c>
      <c r="B872" s="6"/>
      <c r="C872" s="1">
        <v>-1</v>
      </c>
      <c r="D872" s="105">
        <v>46072</v>
      </c>
      <c r="E872" s="105">
        <f t="shared" si="34"/>
        <v>46075</v>
      </c>
      <c r="F872" s="105">
        <v>46074</v>
      </c>
      <c r="G872" s="2">
        <f t="shared" si="36"/>
        <v>46075</v>
      </c>
      <c r="H872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46034</v>
      </c>
      <c r="I872" s="95" t="s">
        <v>756</v>
      </c>
    </row>
    <row r="873" spans="1:9" x14ac:dyDescent="0.3">
      <c r="A873" s="1" t="s">
        <v>51</v>
      </c>
      <c r="B873" s="6"/>
      <c r="C873" s="1">
        <v>-1</v>
      </c>
      <c r="D873" s="105">
        <v>46072</v>
      </c>
      <c r="E873" s="105">
        <f t="shared" si="34"/>
        <v>46075</v>
      </c>
      <c r="F873" s="105">
        <v>46074</v>
      </c>
      <c r="G873" s="2">
        <f t="shared" si="36"/>
        <v>46075</v>
      </c>
      <c r="H873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46034</v>
      </c>
      <c r="I873" s="95" t="s">
        <v>756</v>
      </c>
    </row>
    <row r="874" spans="1:9" x14ac:dyDescent="0.3">
      <c r="A874" s="1" t="s">
        <v>55</v>
      </c>
      <c r="B874" s="6"/>
      <c r="C874" s="1">
        <v>-1</v>
      </c>
      <c r="D874" s="105">
        <v>46067</v>
      </c>
      <c r="E874" s="105">
        <f t="shared" si="34"/>
        <v>46075</v>
      </c>
      <c r="F874" s="105">
        <v>46074</v>
      </c>
      <c r="G874" s="2">
        <f t="shared" si="36"/>
        <v>46075</v>
      </c>
      <c r="H874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46034</v>
      </c>
      <c r="I874" s="95" t="s">
        <v>753</v>
      </c>
    </row>
    <row r="875" spans="1:9" x14ac:dyDescent="0.3">
      <c r="A875" s="1" t="s">
        <v>55</v>
      </c>
      <c r="B875" s="6"/>
      <c r="C875" s="1">
        <v>-1</v>
      </c>
      <c r="D875" s="105">
        <v>46128</v>
      </c>
      <c r="E875" s="105">
        <f t="shared" si="34"/>
        <v>46140</v>
      </c>
      <c r="F875" s="105">
        <v>46139</v>
      </c>
      <c r="G875" s="2">
        <f t="shared" si="36"/>
        <v>46140</v>
      </c>
      <c r="H875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46035</v>
      </c>
      <c r="I875" s="95" t="s">
        <v>757</v>
      </c>
    </row>
    <row r="876" spans="1:9" x14ac:dyDescent="0.3">
      <c r="A876" s="1" t="s">
        <v>93</v>
      </c>
      <c r="B876" s="6"/>
      <c r="C876" s="1">
        <v>-1</v>
      </c>
      <c r="D876" s="105">
        <v>46113</v>
      </c>
      <c r="E876" s="105">
        <f t="shared" si="34"/>
        <v>46121</v>
      </c>
      <c r="F876" s="105">
        <v>46120</v>
      </c>
      <c r="G876" s="2">
        <f t="shared" si="36"/>
        <v>46121</v>
      </c>
      <c r="H876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46035</v>
      </c>
      <c r="I876" s="95" t="s">
        <v>758</v>
      </c>
    </row>
    <row r="877" spans="1:9" x14ac:dyDescent="0.3">
      <c r="A877" s="1" t="s">
        <v>623</v>
      </c>
      <c r="B877" s="6"/>
      <c r="C877" s="1">
        <v>-1</v>
      </c>
      <c r="D877" s="105">
        <v>46048</v>
      </c>
      <c r="E877" s="105">
        <f t="shared" si="34"/>
        <v>46049</v>
      </c>
      <c r="F877" s="105">
        <v>46048</v>
      </c>
      <c r="G877" s="2">
        <f t="shared" si="36"/>
        <v>46049</v>
      </c>
      <c r="H877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46035</v>
      </c>
      <c r="I877" s="95" t="s">
        <v>759</v>
      </c>
    </row>
    <row r="878" spans="1:9" x14ac:dyDescent="0.3">
      <c r="A878" s="1" t="s">
        <v>623</v>
      </c>
      <c r="B878" s="6"/>
      <c r="C878" s="1">
        <v>-1</v>
      </c>
      <c r="D878" s="105">
        <v>46053</v>
      </c>
      <c r="E878" s="105">
        <f t="shared" si="34"/>
        <v>46058</v>
      </c>
      <c r="F878" s="105">
        <v>46057</v>
      </c>
      <c r="G878" s="2">
        <f t="shared" si="36"/>
        <v>46058</v>
      </c>
      <c r="H878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46035</v>
      </c>
      <c r="I878" s="95" t="s">
        <v>759</v>
      </c>
    </row>
    <row r="879" spans="1:9" x14ac:dyDescent="0.3">
      <c r="A879" s="1" t="s">
        <v>623</v>
      </c>
      <c r="B879" s="6"/>
      <c r="C879" s="1">
        <v>-1</v>
      </c>
      <c r="D879" s="105">
        <v>46117</v>
      </c>
      <c r="E879" s="105">
        <f t="shared" si="34"/>
        <v>46118</v>
      </c>
      <c r="F879" s="105">
        <v>46117</v>
      </c>
      <c r="G879" s="2">
        <f t="shared" si="36"/>
        <v>46118</v>
      </c>
      <c r="H879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46035</v>
      </c>
      <c r="I879" s="95" t="s">
        <v>759</v>
      </c>
    </row>
    <row r="880" spans="1:9" x14ac:dyDescent="0.3">
      <c r="A880" s="1" t="s">
        <v>113</v>
      </c>
      <c r="B880" s="6"/>
      <c r="C880" s="1">
        <v>-1</v>
      </c>
      <c r="D880" s="105">
        <v>46044</v>
      </c>
      <c r="E880" s="105">
        <f t="shared" si="34"/>
        <v>29</v>
      </c>
      <c r="F880" s="105">
        <v>28</v>
      </c>
      <c r="G880" s="2">
        <f t="shared" si="36"/>
        <v>29</v>
      </c>
      <c r="H880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46036</v>
      </c>
      <c r="I880" s="95" t="s">
        <v>760</v>
      </c>
    </row>
    <row r="881" spans="1:9" x14ac:dyDescent="0.3">
      <c r="A881" s="1" t="s">
        <v>113</v>
      </c>
      <c r="B881" s="6"/>
      <c r="C881" s="1">
        <v>-1</v>
      </c>
      <c r="D881" s="105">
        <v>46328</v>
      </c>
      <c r="E881" s="105">
        <f t="shared" si="34"/>
        <v>46071</v>
      </c>
      <c r="F881" s="105">
        <v>46070</v>
      </c>
      <c r="G881" s="2">
        <f t="shared" si="36"/>
        <v>46071</v>
      </c>
      <c r="H881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46036</v>
      </c>
      <c r="I881" s="95" t="s">
        <v>760</v>
      </c>
    </row>
    <row r="882" spans="1:9" x14ac:dyDescent="0.3">
      <c r="A882" s="1" t="s">
        <v>113</v>
      </c>
      <c r="B882" s="6"/>
      <c r="C882" s="1">
        <v>-1</v>
      </c>
      <c r="D882" s="105">
        <v>46073</v>
      </c>
      <c r="E882" s="105">
        <f t="shared" si="34"/>
        <v>46082</v>
      </c>
      <c r="F882" s="105">
        <v>46081</v>
      </c>
      <c r="G882" s="2">
        <f t="shared" si="36"/>
        <v>46082</v>
      </c>
      <c r="H882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46036</v>
      </c>
      <c r="I882" s="95" t="s">
        <v>760</v>
      </c>
    </row>
    <row r="883" spans="1:9" x14ac:dyDescent="0.3">
      <c r="A883" s="1" t="s">
        <v>113</v>
      </c>
      <c r="B883" s="6"/>
      <c r="C883" s="1">
        <v>-1</v>
      </c>
      <c r="D883" s="105">
        <v>46091</v>
      </c>
      <c r="E883" s="105">
        <f t="shared" si="34"/>
        <v>46094</v>
      </c>
      <c r="F883" s="105">
        <v>46093</v>
      </c>
      <c r="G883" s="2">
        <f t="shared" si="36"/>
        <v>46094</v>
      </c>
      <c r="H883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46036</v>
      </c>
      <c r="I883" s="95" t="s">
        <v>760</v>
      </c>
    </row>
    <row r="884" spans="1:9" x14ac:dyDescent="0.3">
      <c r="A884" s="1" t="s">
        <v>113</v>
      </c>
      <c r="B884" s="6"/>
      <c r="C884" s="1">
        <v>-1</v>
      </c>
      <c r="D884" s="105">
        <v>46067</v>
      </c>
      <c r="E884" s="105">
        <f t="shared" si="34"/>
        <v>46040</v>
      </c>
      <c r="F884" s="105">
        <v>46039</v>
      </c>
      <c r="G884" s="2">
        <f t="shared" si="36"/>
        <v>46040</v>
      </c>
      <c r="H884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46036</v>
      </c>
      <c r="I884" s="95" t="s">
        <v>760</v>
      </c>
    </row>
    <row r="885" spans="1:9" x14ac:dyDescent="0.3">
      <c r="A885" s="1" t="s">
        <v>96</v>
      </c>
      <c r="B885" s="6"/>
      <c r="C885" s="1">
        <v>-1</v>
      </c>
      <c r="D885" s="105">
        <v>46054</v>
      </c>
      <c r="E885" s="105">
        <f t="shared" si="34"/>
        <v>46055</v>
      </c>
      <c r="F885" s="105">
        <v>46054</v>
      </c>
      <c r="G885" s="2">
        <f t="shared" si="36"/>
        <v>46055</v>
      </c>
      <c r="H885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46035</v>
      </c>
      <c r="I885" s="95" t="s">
        <v>761</v>
      </c>
    </row>
    <row r="886" spans="1:9" x14ac:dyDescent="0.3">
      <c r="A886" s="1" t="s">
        <v>96</v>
      </c>
      <c r="B886" s="6"/>
      <c r="C886" s="1">
        <v>-1</v>
      </c>
      <c r="D886" s="105">
        <v>46078</v>
      </c>
      <c r="E886" s="105">
        <f t="shared" si="34"/>
        <v>46079</v>
      </c>
      <c r="F886" s="105">
        <v>46078</v>
      </c>
      <c r="G886" s="2">
        <f t="shared" si="36"/>
        <v>46079</v>
      </c>
      <c r="H886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46035</v>
      </c>
      <c r="I886" s="95" t="s">
        <v>761</v>
      </c>
    </row>
    <row r="887" spans="1:9" x14ac:dyDescent="0.3">
      <c r="A887" s="1" t="s">
        <v>62</v>
      </c>
      <c r="B887" s="6"/>
      <c r="C887" s="1">
        <v>-1</v>
      </c>
      <c r="D887" s="105">
        <v>46046</v>
      </c>
      <c r="E887" s="105">
        <f t="shared" si="34"/>
        <v>46047</v>
      </c>
      <c r="F887" s="105">
        <v>46046</v>
      </c>
      <c r="G887" s="2">
        <f t="shared" si="36"/>
        <v>46047</v>
      </c>
      <c r="H887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46036</v>
      </c>
      <c r="I887" s="95" t="s">
        <v>762</v>
      </c>
    </row>
    <row r="888" spans="1:9" x14ac:dyDescent="0.3">
      <c r="A888" s="1" t="s">
        <v>71</v>
      </c>
      <c r="B888" s="6"/>
      <c r="C888" s="1">
        <v>-1</v>
      </c>
      <c r="D888" s="105">
        <v>46058</v>
      </c>
      <c r="E888" s="105">
        <f t="shared" si="34"/>
        <v>46067</v>
      </c>
      <c r="F888" s="105">
        <v>46066</v>
      </c>
      <c r="G888" s="2">
        <f t="shared" si="36"/>
        <v>46067</v>
      </c>
      <c r="H888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46036</v>
      </c>
      <c r="I888" s="95" t="s">
        <v>763</v>
      </c>
    </row>
    <row r="889" spans="1:9" x14ac:dyDescent="0.3">
      <c r="A889" s="1" t="s">
        <v>71</v>
      </c>
      <c r="B889" s="6"/>
      <c r="C889" s="1">
        <v>-1</v>
      </c>
      <c r="D889" s="105">
        <v>46059</v>
      </c>
      <c r="E889" s="105">
        <f t="shared" si="34"/>
        <v>46060</v>
      </c>
      <c r="F889" s="105">
        <v>46059</v>
      </c>
      <c r="G889" s="2">
        <f t="shared" si="36"/>
        <v>46060</v>
      </c>
      <c r="H889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46036</v>
      </c>
      <c r="I889" s="95" t="s">
        <v>763</v>
      </c>
    </row>
    <row r="890" spans="1:9" x14ac:dyDescent="0.3">
      <c r="A890" s="1" t="s">
        <v>123</v>
      </c>
      <c r="B890" s="6"/>
      <c r="C890" s="1">
        <v>-1</v>
      </c>
      <c r="D890" s="105">
        <v>46036</v>
      </c>
      <c r="E890" s="105">
        <f t="shared" si="34"/>
        <v>46043</v>
      </c>
      <c r="F890" s="105">
        <v>46042</v>
      </c>
      <c r="G890" s="2">
        <f t="shared" si="36"/>
        <v>46043</v>
      </c>
      <c r="H890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46035</v>
      </c>
      <c r="I890" s="95" t="s">
        <v>764</v>
      </c>
    </row>
    <row r="891" spans="1:9" x14ac:dyDescent="0.3">
      <c r="A891" s="1" t="s">
        <v>123</v>
      </c>
      <c r="B891" s="6"/>
      <c r="C891" s="1">
        <v>-1</v>
      </c>
      <c r="D891" s="105">
        <v>46103</v>
      </c>
      <c r="E891" s="105">
        <f t="shared" ref="E891:E954" si="37">G891</f>
        <v>46109</v>
      </c>
      <c r="F891" s="105">
        <v>46108</v>
      </c>
      <c r="G891" s="2">
        <f t="shared" si="36"/>
        <v>46109</v>
      </c>
      <c r="H891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46035</v>
      </c>
      <c r="I891" s="95" t="s">
        <v>764</v>
      </c>
    </row>
    <row r="892" spans="1:9" x14ac:dyDescent="0.3">
      <c r="A892" s="1" t="s">
        <v>123</v>
      </c>
      <c r="B892" s="6"/>
      <c r="C892" s="1">
        <v>-1</v>
      </c>
      <c r="D892" s="105">
        <v>46036</v>
      </c>
      <c r="E892" s="105">
        <f t="shared" si="37"/>
        <v>46040</v>
      </c>
      <c r="F892" s="105">
        <v>46039</v>
      </c>
      <c r="G892" s="2">
        <f t="shared" si="36"/>
        <v>46040</v>
      </c>
      <c r="H892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46035</v>
      </c>
      <c r="I892" s="95" t="s">
        <v>764</v>
      </c>
    </row>
    <row r="893" spans="1:9" x14ac:dyDescent="0.3">
      <c r="A893" s="1" t="s">
        <v>123</v>
      </c>
      <c r="B893" s="6"/>
      <c r="C893" s="1">
        <v>-1</v>
      </c>
      <c r="D893" s="105">
        <v>46036</v>
      </c>
      <c r="E893" s="105">
        <f t="shared" si="37"/>
        <v>46058</v>
      </c>
      <c r="F893" s="105">
        <v>46057</v>
      </c>
      <c r="G893" s="2">
        <f t="shared" si="36"/>
        <v>46058</v>
      </c>
      <c r="H893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46035</v>
      </c>
      <c r="I893" s="95" t="s">
        <v>764</v>
      </c>
    </row>
    <row r="894" spans="1:9" x14ac:dyDescent="0.3">
      <c r="A894" s="1" t="s">
        <v>123</v>
      </c>
      <c r="B894" s="6"/>
      <c r="C894" s="1">
        <v>-1</v>
      </c>
      <c r="D894" s="105">
        <v>46104</v>
      </c>
      <c r="E894" s="105">
        <f t="shared" si="37"/>
        <v>46108</v>
      </c>
      <c r="F894" s="105">
        <v>46107</v>
      </c>
      <c r="G894" s="2">
        <f t="shared" si="36"/>
        <v>46108</v>
      </c>
      <c r="H894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46035</v>
      </c>
      <c r="I894" s="95" t="s">
        <v>764</v>
      </c>
    </row>
    <row r="895" spans="1:9" x14ac:dyDescent="0.3">
      <c r="A895" s="1" t="s">
        <v>109</v>
      </c>
      <c r="B895" s="6"/>
      <c r="C895" s="1">
        <v>-1</v>
      </c>
      <c r="D895" s="105">
        <v>46113</v>
      </c>
      <c r="E895" s="105">
        <f t="shared" si="37"/>
        <v>46127</v>
      </c>
      <c r="F895" s="105">
        <v>46126</v>
      </c>
      <c r="G895" s="2">
        <f t="shared" si="36"/>
        <v>46127</v>
      </c>
      <c r="H895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46036</v>
      </c>
      <c r="I895" s="95" t="s">
        <v>765</v>
      </c>
    </row>
    <row r="896" spans="1:9" x14ac:dyDescent="0.3">
      <c r="A896" s="1" t="s">
        <v>109</v>
      </c>
      <c r="B896" s="6"/>
      <c r="C896" s="1">
        <v>-1</v>
      </c>
      <c r="D896" s="105">
        <v>46127</v>
      </c>
      <c r="E896" s="105">
        <f t="shared" si="37"/>
        <v>46130</v>
      </c>
      <c r="F896" s="105">
        <v>46129</v>
      </c>
      <c r="G896" s="2">
        <f t="shared" si="36"/>
        <v>46130</v>
      </c>
      <c r="H896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46036</v>
      </c>
      <c r="I896" s="95" t="s">
        <v>765</v>
      </c>
    </row>
    <row r="897" spans="1:9" x14ac:dyDescent="0.3">
      <c r="A897" s="1" t="s">
        <v>119</v>
      </c>
      <c r="B897" s="6"/>
      <c r="C897" s="1">
        <v>-1</v>
      </c>
      <c r="D897" s="105">
        <v>46088</v>
      </c>
      <c r="E897" s="105">
        <f t="shared" si="37"/>
        <v>46103</v>
      </c>
      <c r="F897" s="105">
        <v>46102</v>
      </c>
      <c r="G897" s="2">
        <f t="shared" si="36"/>
        <v>46103</v>
      </c>
      <c r="H897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46036</v>
      </c>
      <c r="I897" s="95" t="s">
        <v>765</v>
      </c>
    </row>
    <row r="898" spans="1:9" x14ac:dyDescent="0.3">
      <c r="A898" s="1" t="s">
        <v>119</v>
      </c>
      <c r="B898" s="6"/>
      <c r="C898" s="1">
        <v>-1</v>
      </c>
      <c r="D898" s="105">
        <v>46106</v>
      </c>
      <c r="E898" s="105">
        <f t="shared" si="37"/>
        <v>46109</v>
      </c>
      <c r="F898" s="105">
        <v>46108</v>
      </c>
      <c r="G898" s="2">
        <f t="shared" si="36"/>
        <v>46109</v>
      </c>
      <c r="H898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46036</v>
      </c>
      <c r="I898" s="95" t="s">
        <v>765</v>
      </c>
    </row>
    <row r="899" spans="1:9" x14ac:dyDescent="0.3">
      <c r="A899" s="1" t="s">
        <v>92</v>
      </c>
      <c r="B899" s="6"/>
      <c r="C899" s="1">
        <v>-1</v>
      </c>
      <c r="D899" s="105">
        <v>46097</v>
      </c>
      <c r="E899" s="105">
        <f t="shared" si="37"/>
        <v>46109</v>
      </c>
      <c r="F899" s="105">
        <v>46108</v>
      </c>
      <c r="G899" s="2">
        <f t="shared" si="36"/>
        <v>46109</v>
      </c>
      <c r="H899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46037</v>
      </c>
      <c r="I899" s="95" t="s">
        <v>766</v>
      </c>
    </row>
    <row r="900" spans="1:9" x14ac:dyDescent="0.3">
      <c r="A900" s="1" t="s">
        <v>67</v>
      </c>
      <c r="B900" s="6"/>
      <c r="C900" s="1">
        <v>-1</v>
      </c>
      <c r="D900" s="105">
        <v>46066</v>
      </c>
      <c r="E900" s="105">
        <f t="shared" si="37"/>
        <v>46068</v>
      </c>
      <c r="F900" s="105">
        <v>46067</v>
      </c>
      <c r="G900" s="2">
        <f t="shared" si="36"/>
        <v>46068</v>
      </c>
      <c r="H900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46037</v>
      </c>
      <c r="I900" s="95" t="s">
        <v>767</v>
      </c>
    </row>
    <row r="901" spans="1:9" x14ac:dyDescent="0.3">
      <c r="A901" s="1" t="s">
        <v>57</v>
      </c>
      <c r="B901" s="6"/>
      <c r="C901" s="1">
        <v>-1</v>
      </c>
      <c r="D901" s="105">
        <v>46102</v>
      </c>
      <c r="E901" s="105">
        <f t="shared" si="37"/>
        <v>46121</v>
      </c>
      <c r="F901" s="105">
        <v>46120</v>
      </c>
      <c r="G901" s="2">
        <f t="shared" si="36"/>
        <v>46121</v>
      </c>
      <c r="H901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46037</v>
      </c>
      <c r="I901" s="95" t="s">
        <v>768</v>
      </c>
    </row>
    <row r="902" spans="1:9" x14ac:dyDescent="0.3">
      <c r="A902" s="1" t="s">
        <v>57</v>
      </c>
      <c r="B902" s="6"/>
      <c r="C902" s="1">
        <v>-1</v>
      </c>
      <c r="D902" s="105">
        <v>46128</v>
      </c>
      <c r="E902" s="105">
        <f t="shared" si="37"/>
        <v>46133</v>
      </c>
      <c r="F902" s="105">
        <v>46132</v>
      </c>
      <c r="G902" s="2">
        <f t="shared" si="36"/>
        <v>46133</v>
      </c>
      <c r="H902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46037</v>
      </c>
      <c r="I902" s="95" t="s">
        <v>768</v>
      </c>
    </row>
    <row r="903" spans="1:9" x14ac:dyDescent="0.3">
      <c r="A903" s="1" t="s">
        <v>55</v>
      </c>
      <c r="B903" s="6"/>
      <c r="C903" s="1">
        <v>-1</v>
      </c>
      <c r="D903" s="105">
        <v>46143</v>
      </c>
      <c r="E903" s="105">
        <f t="shared" si="37"/>
        <v>46174</v>
      </c>
      <c r="F903" s="105">
        <v>46173</v>
      </c>
      <c r="G903" s="2">
        <f t="shared" si="36"/>
        <v>46174</v>
      </c>
      <c r="H903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46038</v>
      </c>
      <c r="I903" s="95" t="s">
        <v>769</v>
      </c>
    </row>
    <row r="904" spans="1:9" x14ac:dyDescent="0.3">
      <c r="A904" s="1" t="s">
        <v>119</v>
      </c>
      <c r="B904" s="6"/>
      <c r="C904" s="1">
        <v>-1</v>
      </c>
      <c r="D904" s="105">
        <v>46072</v>
      </c>
      <c r="E904" s="105">
        <f t="shared" si="37"/>
        <v>46065</v>
      </c>
      <c r="F904" s="105">
        <v>46064</v>
      </c>
      <c r="G904" s="2">
        <f t="shared" si="36"/>
        <v>46065</v>
      </c>
      <c r="H904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46037</v>
      </c>
      <c r="I904" s="95" t="s">
        <v>770</v>
      </c>
    </row>
    <row r="905" spans="1:9" x14ac:dyDescent="0.3">
      <c r="A905" s="1" t="s">
        <v>119</v>
      </c>
      <c r="B905" s="6"/>
      <c r="C905" s="1">
        <v>-1</v>
      </c>
      <c r="D905" s="105">
        <v>46065</v>
      </c>
      <c r="E905" s="105">
        <f t="shared" si="37"/>
        <v>46076</v>
      </c>
      <c r="F905" s="105">
        <v>46075</v>
      </c>
      <c r="G905" s="2">
        <f t="shared" si="36"/>
        <v>46076</v>
      </c>
      <c r="H905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46037</v>
      </c>
      <c r="I905" s="95" t="s">
        <v>770</v>
      </c>
    </row>
    <row r="906" spans="1:9" x14ac:dyDescent="0.3">
      <c r="A906" s="1" t="s">
        <v>119</v>
      </c>
      <c r="B906" s="6"/>
      <c r="C906" s="1">
        <v>-1</v>
      </c>
      <c r="D906" s="105">
        <v>46076</v>
      </c>
      <c r="E906" s="105">
        <f t="shared" si="37"/>
        <v>46078</v>
      </c>
      <c r="F906" s="105">
        <v>46077</v>
      </c>
      <c r="G906" s="2">
        <f t="shared" si="36"/>
        <v>46078</v>
      </c>
      <c r="H906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46037</v>
      </c>
      <c r="I906" s="95" t="s">
        <v>770</v>
      </c>
    </row>
    <row r="907" spans="1:9" x14ac:dyDescent="0.3">
      <c r="A907" s="1" t="s">
        <v>119</v>
      </c>
      <c r="B907" s="6"/>
      <c r="C907" s="1">
        <v>-1</v>
      </c>
      <c r="D907" s="105">
        <v>46078</v>
      </c>
      <c r="E907" s="105">
        <f t="shared" si="37"/>
        <v>46082</v>
      </c>
      <c r="F907" s="105">
        <v>46081</v>
      </c>
      <c r="G907" s="2">
        <f t="shared" si="36"/>
        <v>46082</v>
      </c>
      <c r="H907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46037</v>
      </c>
      <c r="I907" s="95" t="s">
        <v>770</v>
      </c>
    </row>
    <row r="908" spans="1:9" x14ac:dyDescent="0.3">
      <c r="A908" s="1" t="s">
        <v>119</v>
      </c>
      <c r="B908" s="6"/>
      <c r="C908" s="1">
        <v>-1</v>
      </c>
      <c r="D908" s="105">
        <v>46088</v>
      </c>
      <c r="E908" s="105">
        <f t="shared" si="37"/>
        <v>46109</v>
      </c>
      <c r="F908" s="105">
        <v>46108</v>
      </c>
      <c r="G908" s="2">
        <f t="shared" si="36"/>
        <v>46109</v>
      </c>
      <c r="H908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46037</v>
      </c>
      <c r="I908" s="95" t="s">
        <v>770</v>
      </c>
    </row>
    <row r="909" spans="1:9" x14ac:dyDescent="0.3">
      <c r="A909" s="1" t="s">
        <v>109</v>
      </c>
      <c r="B909" s="6"/>
      <c r="C909" s="1">
        <v>-1</v>
      </c>
      <c r="D909" s="105">
        <v>46113</v>
      </c>
      <c r="E909" s="105">
        <f t="shared" si="37"/>
        <v>46127</v>
      </c>
      <c r="F909" s="105">
        <v>46126</v>
      </c>
      <c r="G909" s="2">
        <f t="shared" si="36"/>
        <v>46127</v>
      </c>
      <c r="H909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46037</v>
      </c>
      <c r="I909" s="95" t="s">
        <v>770</v>
      </c>
    </row>
    <row r="910" spans="1:9" x14ac:dyDescent="0.3">
      <c r="A910" s="1" t="s">
        <v>109</v>
      </c>
      <c r="B910" s="6"/>
      <c r="C910" s="1">
        <v>-1</v>
      </c>
      <c r="D910" s="105">
        <v>46127</v>
      </c>
      <c r="E910" s="105">
        <f t="shared" si="37"/>
        <v>46130</v>
      </c>
      <c r="F910" s="105">
        <v>46129</v>
      </c>
      <c r="G910" s="2">
        <f t="shared" si="36"/>
        <v>46130</v>
      </c>
      <c r="H910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46037</v>
      </c>
      <c r="I910" s="95" t="s">
        <v>770</v>
      </c>
    </row>
    <row r="911" spans="1:9" x14ac:dyDescent="0.3">
      <c r="A911" s="1" t="s">
        <v>109</v>
      </c>
      <c r="B911" s="6"/>
      <c r="C911" s="1">
        <v>-1</v>
      </c>
      <c r="D911" s="105">
        <v>46050</v>
      </c>
      <c r="E911" s="105">
        <f t="shared" si="37"/>
        <v>46053</v>
      </c>
      <c r="F911" s="105">
        <v>46052</v>
      </c>
      <c r="G911" s="2">
        <f t="shared" si="36"/>
        <v>46053</v>
      </c>
      <c r="H911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46037</v>
      </c>
      <c r="I911" s="95" t="s">
        <v>770</v>
      </c>
    </row>
    <row r="912" spans="1:9" x14ac:dyDescent="0.3">
      <c r="A912" s="1" t="s">
        <v>109</v>
      </c>
      <c r="B912" s="6"/>
      <c r="C912" s="1">
        <v>-1</v>
      </c>
      <c r="D912" s="105">
        <v>46064</v>
      </c>
      <c r="E912" s="105">
        <f t="shared" si="37"/>
        <v>46069</v>
      </c>
      <c r="F912" s="105">
        <v>46068</v>
      </c>
      <c r="G912" s="2">
        <f t="shared" si="36"/>
        <v>46069</v>
      </c>
      <c r="H912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46037</v>
      </c>
      <c r="I912" s="95" t="s">
        <v>770</v>
      </c>
    </row>
    <row r="913" spans="1:9" x14ac:dyDescent="0.3">
      <c r="A913" s="1" t="s">
        <v>109</v>
      </c>
      <c r="B913" s="6"/>
      <c r="C913" s="1">
        <v>-1</v>
      </c>
      <c r="D913" s="105">
        <v>46109</v>
      </c>
      <c r="E913" s="105">
        <f t="shared" si="37"/>
        <v>46123</v>
      </c>
      <c r="F913" s="105">
        <v>46122</v>
      </c>
      <c r="G913" s="2">
        <f t="shared" si="36"/>
        <v>46123</v>
      </c>
      <c r="H913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46037</v>
      </c>
      <c r="I913" s="95" t="s">
        <v>770</v>
      </c>
    </row>
    <row r="914" spans="1:9" x14ac:dyDescent="0.3">
      <c r="A914" s="1" t="s">
        <v>123</v>
      </c>
      <c r="B914" s="6"/>
      <c r="C914" s="1">
        <v>-1</v>
      </c>
      <c r="D914" s="105">
        <v>46038</v>
      </c>
      <c r="E914" s="105">
        <f t="shared" si="37"/>
        <v>46043</v>
      </c>
      <c r="F914" s="105">
        <v>46042</v>
      </c>
      <c r="G914" s="2">
        <f t="shared" si="36"/>
        <v>46043</v>
      </c>
      <c r="H914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46037</v>
      </c>
      <c r="I914" s="95" t="s">
        <v>771</v>
      </c>
    </row>
    <row r="915" spans="1:9" x14ac:dyDescent="0.3">
      <c r="A915" s="1" t="s">
        <v>123</v>
      </c>
      <c r="B915" s="6"/>
      <c r="C915" s="1">
        <v>-1</v>
      </c>
      <c r="D915" s="105">
        <v>46103</v>
      </c>
      <c r="E915" s="105">
        <f t="shared" si="37"/>
        <v>46109</v>
      </c>
      <c r="F915" s="105">
        <v>46108</v>
      </c>
      <c r="G915" s="2">
        <f t="shared" si="36"/>
        <v>46109</v>
      </c>
      <c r="H915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46037</v>
      </c>
      <c r="I915" s="95" t="s">
        <v>771</v>
      </c>
    </row>
    <row r="916" spans="1:9" x14ac:dyDescent="0.3">
      <c r="A916" s="1" t="s">
        <v>123</v>
      </c>
      <c r="B916" s="6"/>
      <c r="C916" s="1">
        <v>-1</v>
      </c>
      <c r="D916" s="105">
        <v>46038</v>
      </c>
      <c r="E916" s="105">
        <f t="shared" si="37"/>
        <v>46068</v>
      </c>
      <c r="F916" s="105">
        <v>46067</v>
      </c>
      <c r="G916" s="2">
        <f t="shared" si="36"/>
        <v>46068</v>
      </c>
      <c r="H916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46037</v>
      </c>
      <c r="I916" s="95" t="s">
        <v>771</v>
      </c>
    </row>
    <row r="917" spans="1:9" x14ac:dyDescent="0.3">
      <c r="A917" s="1" t="s">
        <v>123</v>
      </c>
      <c r="B917" s="6"/>
      <c r="C917" s="1">
        <v>-1</v>
      </c>
      <c r="D917" s="105">
        <v>46103</v>
      </c>
      <c r="E917" s="105">
        <f t="shared" si="37"/>
        <v>46109</v>
      </c>
      <c r="F917" s="105">
        <v>46108</v>
      </c>
      <c r="G917" s="2">
        <f t="shared" si="36"/>
        <v>46109</v>
      </c>
      <c r="H917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46037</v>
      </c>
      <c r="I917" s="95" t="s">
        <v>771</v>
      </c>
    </row>
    <row r="918" spans="1:9" x14ac:dyDescent="0.3">
      <c r="A918" s="1" t="s">
        <v>123</v>
      </c>
      <c r="B918" s="6"/>
      <c r="C918" s="1">
        <v>-1</v>
      </c>
      <c r="D918" s="105">
        <v>46112</v>
      </c>
      <c r="E918" s="105">
        <f t="shared" si="37"/>
        <v>46116</v>
      </c>
      <c r="F918" s="105">
        <v>46115</v>
      </c>
      <c r="G918" s="2">
        <f t="shared" si="36"/>
        <v>46116</v>
      </c>
      <c r="H918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46037</v>
      </c>
      <c r="I918" s="95" t="s">
        <v>771</v>
      </c>
    </row>
    <row r="919" spans="1:9" x14ac:dyDescent="0.3">
      <c r="A919" s="1" t="s">
        <v>123</v>
      </c>
      <c r="B919" s="6"/>
      <c r="C919" s="1">
        <v>-1</v>
      </c>
      <c r="D919" s="105">
        <v>46038</v>
      </c>
      <c r="E919" s="105">
        <f t="shared" si="37"/>
        <v>46048</v>
      </c>
      <c r="F919" s="105">
        <v>46047</v>
      </c>
      <c r="G919" s="2">
        <f t="shared" si="36"/>
        <v>46048</v>
      </c>
      <c r="H919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46037</v>
      </c>
      <c r="I919" s="95" t="s">
        <v>772</v>
      </c>
    </row>
    <row r="920" spans="1:9" x14ac:dyDescent="0.3">
      <c r="A920" s="1" t="s">
        <v>123</v>
      </c>
      <c r="B920" s="6"/>
      <c r="C920" s="1">
        <v>-1</v>
      </c>
      <c r="D920" s="105">
        <v>46116</v>
      </c>
      <c r="E920" s="105">
        <f t="shared" si="37"/>
        <v>46117</v>
      </c>
      <c r="F920" s="105">
        <v>46116</v>
      </c>
      <c r="G920" s="2">
        <f t="shared" si="36"/>
        <v>46117</v>
      </c>
      <c r="H920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46037</v>
      </c>
      <c r="I920" s="95" t="s">
        <v>772</v>
      </c>
    </row>
    <row r="921" spans="1:9" x14ac:dyDescent="0.3">
      <c r="A921" s="1" t="s">
        <v>623</v>
      </c>
      <c r="B921" s="6"/>
      <c r="C921" s="1">
        <v>-1</v>
      </c>
      <c r="D921" s="105">
        <v>46049</v>
      </c>
      <c r="E921" s="105">
        <f t="shared" si="37"/>
        <v>46051</v>
      </c>
      <c r="F921" s="105">
        <v>46050</v>
      </c>
      <c r="G921" s="2">
        <f t="shared" si="36"/>
        <v>46051</v>
      </c>
      <c r="H921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46038</v>
      </c>
      <c r="I921" s="95" t="s">
        <v>773</v>
      </c>
    </row>
    <row r="922" spans="1:9" x14ac:dyDescent="0.3">
      <c r="A922" s="1" t="s">
        <v>623</v>
      </c>
      <c r="B922" s="6"/>
      <c r="C922" s="1">
        <v>-1</v>
      </c>
      <c r="D922" s="105">
        <v>46062</v>
      </c>
      <c r="E922" s="105">
        <f t="shared" si="37"/>
        <v>46064</v>
      </c>
      <c r="F922" s="105">
        <v>46063</v>
      </c>
      <c r="G922" s="2">
        <f t="shared" si="36"/>
        <v>46064</v>
      </c>
      <c r="H922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46038</v>
      </c>
      <c r="I922" s="95" t="s">
        <v>773</v>
      </c>
    </row>
    <row r="923" spans="1:9" x14ac:dyDescent="0.3">
      <c r="A923" s="1" t="s">
        <v>623</v>
      </c>
      <c r="B923" s="6"/>
      <c r="C923" s="1">
        <v>-1</v>
      </c>
      <c r="D923" s="105">
        <v>46069</v>
      </c>
      <c r="E923" s="105">
        <f t="shared" si="37"/>
        <v>46070</v>
      </c>
      <c r="F923" s="105">
        <v>46069</v>
      </c>
      <c r="G923" s="2">
        <f t="shared" si="36"/>
        <v>46070</v>
      </c>
      <c r="H923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46038</v>
      </c>
      <c r="I923" s="95" t="s">
        <v>773</v>
      </c>
    </row>
    <row r="924" spans="1:9" x14ac:dyDescent="0.3">
      <c r="A924" s="1" t="s">
        <v>623</v>
      </c>
      <c r="B924" s="6"/>
      <c r="C924" s="1">
        <v>-1</v>
      </c>
      <c r="D924" s="105">
        <v>46082</v>
      </c>
      <c r="E924" s="105">
        <f t="shared" si="37"/>
        <v>46084</v>
      </c>
      <c r="F924" s="105">
        <v>46083</v>
      </c>
      <c r="G924" s="2">
        <f t="shared" si="36"/>
        <v>46084</v>
      </c>
      <c r="H924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46038</v>
      </c>
      <c r="I924" s="95" t="s">
        <v>773</v>
      </c>
    </row>
    <row r="925" spans="1:9" x14ac:dyDescent="0.3">
      <c r="A925" s="1" t="s">
        <v>623</v>
      </c>
      <c r="B925" s="6"/>
      <c r="C925" s="1">
        <v>-1</v>
      </c>
      <c r="D925" s="105">
        <v>46089</v>
      </c>
      <c r="E925" s="105">
        <f t="shared" si="37"/>
        <v>46091</v>
      </c>
      <c r="F925" s="105">
        <v>46090</v>
      </c>
      <c r="G925" s="2">
        <f t="shared" si="36"/>
        <v>46091</v>
      </c>
      <c r="H925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46038</v>
      </c>
      <c r="I925" s="95" t="s">
        <v>773</v>
      </c>
    </row>
    <row r="926" spans="1:9" x14ac:dyDescent="0.3">
      <c r="A926" s="1" t="s">
        <v>623</v>
      </c>
      <c r="B926" s="6"/>
      <c r="C926" s="1">
        <v>-1</v>
      </c>
      <c r="D926" s="105">
        <v>46094</v>
      </c>
      <c r="E926" s="105">
        <f t="shared" si="37"/>
        <v>46095</v>
      </c>
      <c r="F926" s="105">
        <v>46094</v>
      </c>
      <c r="G926" s="2">
        <f t="shared" si="36"/>
        <v>46095</v>
      </c>
      <c r="H926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46038</v>
      </c>
      <c r="I926" s="95" t="s">
        <v>773</v>
      </c>
    </row>
    <row r="927" spans="1:9" x14ac:dyDescent="0.3">
      <c r="A927" s="1" t="s">
        <v>136</v>
      </c>
      <c r="B927" s="6"/>
      <c r="C927" s="1">
        <v>-1</v>
      </c>
      <c r="D927" s="105">
        <v>46044</v>
      </c>
      <c r="E927" s="105">
        <f t="shared" si="37"/>
        <v>46046</v>
      </c>
      <c r="F927" s="105">
        <v>46045</v>
      </c>
      <c r="G927" s="2">
        <f t="shared" si="36"/>
        <v>46046</v>
      </c>
      <c r="H927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46038</v>
      </c>
      <c r="I927" s="95" t="s">
        <v>774</v>
      </c>
    </row>
    <row r="928" spans="1:9" x14ac:dyDescent="0.3">
      <c r="A928" s="1" t="s">
        <v>76</v>
      </c>
      <c r="B928" s="6"/>
      <c r="C928" s="1">
        <v>-1</v>
      </c>
      <c r="D928" s="105">
        <v>46068</v>
      </c>
      <c r="E928" s="105">
        <f t="shared" si="37"/>
        <v>46075</v>
      </c>
      <c r="F928" s="105">
        <v>46074</v>
      </c>
      <c r="G928" s="2">
        <f t="shared" si="36"/>
        <v>46075</v>
      </c>
      <c r="H928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46038</v>
      </c>
      <c r="I928" s="95" t="s">
        <v>775</v>
      </c>
    </row>
    <row r="929" spans="1:9" x14ac:dyDescent="0.3">
      <c r="A929" s="1" t="s">
        <v>51</v>
      </c>
      <c r="B929" s="6"/>
      <c r="C929" s="1">
        <v>-1</v>
      </c>
      <c r="D929" s="105">
        <v>46068</v>
      </c>
      <c r="E929" s="105">
        <f t="shared" ref="E929" si="38">G929</f>
        <v>46075</v>
      </c>
      <c r="F929" s="105">
        <v>46074</v>
      </c>
      <c r="G929" s="2">
        <f t="shared" si="36"/>
        <v>46075</v>
      </c>
      <c r="H929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46038</v>
      </c>
      <c r="I929" s="95" t="s">
        <v>775</v>
      </c>
    </row>
    <row r="930" spans="1:9" x14ac:dyDescent="0.3">
      <c r="A930" s="1" t="s">
        <v>103</v>
      </c>
      <c r="B930" s="6"/>
      <c r="C930" s="1">
        <v>-1</v>
      </c>
      <c r="D930" s="105">
        <v>46069</v>
      </c>
      <c r="E930" s="105">
        <f t="shared" si="37"/>
        <v>46073</v>
      </c>
      <c r="F930" s="105">
        <v>46072</v>
      </c>
      <c r="G930" s="2">
        <f t="shared" si="36"/>
        <v>46073</v>
      </c>
      <c r="H930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46038</v>
      </c>
      <c r="I930" s="95" t="s">
        <v>776</v>
      </c>
    </row>
    <row r="931" spans="1:9" x14ac:dyDescent="0.3">
      <c r="A931" s="1" t="s">
        <v>123</v>
      </c>
      <c r="B931" s="6"/>
      <c r="C931" s="1">
        <v>-1</v>
      </c>
      <c r="D931" s="105">
        <v>46048</v>
      </c>
      <c r="E931" s="105">
        <f t="shared" si="37"/>
        <v>46053</v>
      </c>
      <c r="F931" s="105">
        <v>46052</v>
      </c>
      <c r="G931" s="2">
        <f t="shared" si="36"/>
        <v>46053</v>
      </c>
      <c r="H931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46038</v>
      </c>
      <c r="I931" s="95" t="s">
        <v>777</v>
      </c>
    </row>
    <row r="932" spans="1:9" x14ac:dyDescent="0.3">
      <c r="A932" s="1" t="s">
        <v>123</v>
      </c>
      <c r="B932" s="6"/>
      <c r="C932" s="1">
        <v>-1</v>
      </c>
      <c r="D932" s="105">
        <v>46068</v>
      </c>
      <c r="E932" s="105">
        <f t="shared" si="37"/>
        <v>46069</v>
      </c>
      <c r="F932" s="105">
        <v>46068</v>
      </c>
      <c r="G932" s="2">
        <f t="shared" ref="G932:G995" si="39">F932+1</f>
        <v>46069</v>
      </c>
      <c r="H932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46038</v>
      </c>
      <c r="I932" s="95" t="s">
        <v>777</v>
      </c>
    </row>
    <row r="933" spans="1:9" x14ac:dyDescent="0.3">
      <c r="A933" s="1" t="s">
        <v>95</v>
      </c>
      <c r="B933" s="6"/>
      <c r="C933" s="1">
        <v>-1</v>
      </c>
      <c r="D933" s="105">
        <v>46057</v>
      </c>
      <c r="E933" s="105">
        <f t="shared" si="37"/>
        <v>46059</v>
      </c>
      <c r="F933" s="105">
        <v>46058</v>
      </c>
      <c r="G933" s="2">
        <f t="shared" si="39"/>
        <v>46059</v>
      </c>
      <c r="H933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46038</v>
      </c>
      <c r="I933" s="95" t="s">
        <v>778</v>
      </c>
    </row>
    <row r="934" spans="1:9" x14ac:dyDescent="0.3">
      <c r="A934" s="1" t="s">
        <v>95</v>
      </c>
      <c r="B934" s="6"/>
      <c r="C934" s="1">
        <v>-1</v>
      </c>
      <c r="D934" s="105">
        <v>46077</v>
      </c>
      <c r="E934" s="105">
        <f t="shared" si="37"/>
        <v>46078</v>
      </c>
      <c r="F934" s="105">
        <v>46077</v>
      </c>
      <c r="G934" s="2">
        <f t="shared" si="39"/>
        <v>46078</v>
      </c>
      <c r="H934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46038</v>
      </c>
      <c r="I934" s="95" t="s">
        <v>778</v>
      </c>
    </row>
    <row r="935" spans="1:9" x14ac:dyDescent="0.3">
      <c r="A935" s="1" t="s">
        <v>95</v>
      </c>
      <c r="B935" s="6"/>
      <c r="C935" s="1">
        <v>-1</v>
      </c>
      <c r="D935" s="105">
        <v>46105</v>
      </c>
      <c r="E935" s="105">
        <f t="shared" si="37"/>
        <v>46110</v>
      </c>
      <c r="F935" s="105">
        <v>46109</v>
      </c>
      <c r="G935" s="2">
        <f t="shared" si="39"/>
        <v>46110</v>
      </c>
      <c r="H935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46038</v>
      </c>
      <c r="I935" s="95" t="s">
        <v>778</v>
      </c>
    </row>
    <row r="936" spans="1:9" x14ac:dyDescent="0.3">
      <c r="A936" s="1" t="s">
        <v>95</v>
      </c>
      <c r="B936" s="6"/>
      <c r="C936" s="1">
        <v>-1</v>
      </c>
      <c r="D936" s="105">
        <v>46119</v>
      </c>
      <c r="E936" s="105">
        <f t="shared" si="37"/>
        <v>46122</v>
      </c>
      <c r="F936" s="105">
        <v>46121</v>
      </c>
      <c r="G936" s="2">
        <f t="shared" si="39"/>
        <v>46122</v>
      </c>
      <c r="H936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46038</v>
      </c>
      <c r="I936" s="95" t="s">
        <v>778</v>
      </c>
    </row>
    <row r="937" spans="1:9" x14ac:dyDescent="0.3">
      <c r="A937" s="1" t="s">
        <v>71</v>
      </c>
      <c r="B937" s="6"/>
      <c r="C937" s="1">
        <v>-1</v>
      </c>
      <c r="D937" s="105">
        <v>46058</v>
      </c>
      <c r="E937" s="105">
        <f t="shared" si="37"/>
        <v>46059</v>
      </c>
      <c r="F937" s="105">
        <v>46058</v>
      </c>
      <c r="G937" s="2">
        <f t="shared" si="39"/>
        <v>46059</v>
      </c>
      <c r="H937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46039</v>
      </c>
      <c r="I937" s="95" t="s">
        <v>779</v>
      </c>
    </row>
    <row r="938" spans="1:9" x14ac:dyDescent="0.3">
      <c r="A938" s="1" t="s">
        <v>67</v>
      </c>
      <c r="B938" s="6"/>
      <c r="C938" s="1">
        <v>-1</v>
      </c>
      <c r="D938" s="105">
        <v>46046</v>
      </c>
      <c r="E938" s="105">
        <f t="shared" si="37"/>
        <v>46047</v>
      </c>
      <c r="F938" s="105">
        <v>46046</v>
      </c>
      <c r="G938" s="2">
        <f t="shared" si="39"/>
        <v>46047</v>
      </c>
      <c r="H938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46039</v>
      </c>
      <c r="I938" s="95" t="s">
        <v>780</v>
      </c>
    </row>
    <row r="939" spans="1:9" x14ac:dyDescent="0.3">
      <c r="A939" s="1" t="s">
        <v>67</v>
      </c>
      <c r="B939" s="6"/>
      <c r="C939" s="1">
        <v>-1</v>
      </c>
      <c r="D939" s="105">
        <v>46067</v>
      </c>
      <c r="E939" s="105">
        <f t="shared" si="37"/>
        <v>46068</v>
      </c>
      <c r="F939" s="105">
        <v>46067</v>
      </c>
      <c r="G939" s="2">
        <f t="shared" si="39"/>
        <v>46068</v>
      </c>
      <c r="H939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46039</v>
      </c>
      <c r="I939" s="95" t="s">
        <v>780</v>
      </c>
    </row>
    <row r="940" spans="1:9" x14ac:dyDescent="0.3">
      <c r="A940" s="1" t="s">
        <v>62</v>
      </c>
      <c r="B940" s="6"/>
      <c r="C940" s="1">
        <v>-1</v>
      </c>
      <c r="D940" s="105">
        <v>46078</v>
      </c>
      <c r="E940" s="105">
        <f t="shared" si="37"/>
        <v>46079</v>
      </c>
      <c r="F940" s="105">
        <v>46078</v>
      </c>
      <c r="G940" s="2">
        <f t="shared" si="39"/>
        <v>46079</v>
      </c>
      <c r="H940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46039</v>
      </c>
      <c r="I940" s="95" t="s">
        <v>781</v>
      </c>
    </row>
    <row r="941" spans="1:9" x14ac:dyDescent="0.3">
      <c r="A941" s="1" t="s">
        <v>80</v>
      </c>
      <c r="B941" s="6"/>
      <c r="C941" s="1">
        <v>-1</v>
      </c>
      <c r="D941" s="105">
        <v>46044</v>
      </c>
      <c r="E941" s="105">
        <f t="shared" si="37"/>
        <v>46054</v>
      </c>
      <c r="F941" s="105">
        <v>46053</v>
      </c>
      <c r="G941" s="2">
        <f t="shared" si="39"/>
        <v>46054</v>
      </c>
      <c r="H941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46040</v>
      </c>
      <c r="I941" s="95" t="s">
        <v>782</v>
      </c>
    </row>
    <row r="942" spans="1:9" x14ac:dyDescent="0.3">
      <c r="A942" s="1" t="s">
        <v>80</v>
      </c>
      <c r="B942" s="6"/>
      <c r="C942" s="1">
        <v>-1</v>
      </c>
      <c r="D942" s="105">
        <v>46067</v>
      </c>
      <c r="E942" s="105">
        <f t="shared" si="37"/>
        <v>46076</v>
      </c>
      <c r="F942" s="105">
        <v>46075</v>
      </c>
      <c r="G942" s="2">
        <f t="shared" si="39"/>
        <v>46076</v>
      </c>
      <c r="H942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46040</v>
      </c>
      <c r="I942" s="95" t="s">
        <v>782</v>
      </c>
    </row>
    <row r="943" spans="1:9" x14ac:dyDescent="0.3">
      <c r="A943" s="1" t="s">
        <v>783</v>
      </c>
      <c r="B943" s="6"/>
      <c r="C943" s="1">
        <v>-1</v>
      </c>
      <c r="D943" s="105">
        <v>46045</v>
      </c>
      <c r="E943" s="105">
        <f t="shared" si="37"/>
        <v>46067</v>
      </c>
      <c r="F943" s="105">
        <v>46066</v>
      </c>
      <c r="G943" s="2">
        <f t="shared" si="39"/>
        <v>46067</v>
      </c>
      <c r="H943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46039</v>
      </c>
      <c r="I943" s="95" t="s">
        <v>784</v>
      </c>
    </row>
    <row r="944" spans="1:9" x14ac:dyDescent="0.3">
      <c r="A944" s="1" t="s">
        <v>783</v>
      </c>
      <c r="B944" s="6"/>
      <c r="C944" s="1">
        <v>-1</v>
      </c>
      <c r="D944" s="105">
        <v>46070</v>
      </c>
      <c r="E944" s="105">
        <f t="shared" si="37"/>
        <v>46075</v>
      </c>
      <c r="F944" s="105">
        <v>46074</v>
      </c>
      <c r="G944" s="2">
        <f t="shared" si="39"/>
        <v>46075</v>
      </c>
      <c r="H944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46039</v>
      </c>
      <c r="I944" s="95" t="s">
        <v>784</v>
      </c>
    </row>
    <row r="945" spans="1:9" x14ac:dyDescent="0.3">
      <c r="A945" s="1" t="s">
        <v>80</v>
      </c>
      <c r="B945" s="6"/>
      <c r="C945" s="1">
        <v>-1</v>
      </c>
      <c r="D945" s="105">
        <v>46064</v>
      </c>
      <c r="E945" s="105">
        <f t="shared" si="37"/>
        <v>46076</v>
      </c>
      <c r="F945" s="105">
        <v>46075</v>
      </c>
      <c r="G945" s="2">
        <f t="shared" si="39"/>
        <v>46076</v>
      </c>
      <c r="H945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46040</v>
      </c>
      <c r="I945" s="95" t="s">
        <v>785</v>
      </c>
    </row>
    <row r="946" spans="1:9" x14ac:dyDescent="0.3">
      <c r="A946" s="1" t="s">
        <v>160</v>
      </c>
      <c r="B946" s="6"/>
      <c r="C946" s="1">
        <v>-1</v>
      </c>
      <c r="D946" s="105">
        <v>46116</v>
      </c>
      <c r="E946" s="105">
        <f t="shared" si="37"/>
        <v>46118</v>
      </c>
      <c r="F946" s="105">
        <v>46117</v>
      </c>
      <c r="G946" s="2">
        <f t="shared" si="39"/>
        <v>46118</v>
      </c>
      <c r="H946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46040</v>
      </c>
      <c r="I946" s="95" t="s">
        <v>786</v>
      </c>
    </row>
    <row r="947" spans="1:9" x14ac:dyDescent="0.3">
      <c r="A947" s="1" t="s">
        <v>301</v>
      </c>
      <c r="B947" s="6"/>
      <c r="C947" s="1">
        <v>-1</v>
      </c>
      <c r="D947" s="105">
        <v>46204</v>
      </c>
      <c r="E947" s="105">
        <f t="shared" si="37"/>
        <v>46296</v>
      </c>
      <c r="F947" s="105">
        <v>46295</v>
      </c>
      <c r="G947" s="2">
        <f t="shared" si="39"/>
        <v>46296</v>
      </c>
      <c r="H947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46040</v>
      </c>
      <c r="I947" s="95" t="s">
        <v>787</v>
      </c>
    </row>
    <row r="948" spans="1:9" x14ac:dyDescent="0.3">
      <c r="A948" s="1" t="s">
        <v>623</v>
      </c>
      <c r="B948" s="6"/>
      <c r="C948" s="1">
        <v>-1</v>
      </c>
      <c r="D948" s="105">
        <v>46058</v>
      </c>
      <c r="E948" s="105">
        <f t="shared" si="37"/>
        <v>46059</v>
      </c>
      <c r="F948" s="105">
        <v>46058</v>
      </c>
      <c r="G948" s="2">
        <f t="shared" si="39"/>
        <v>46059</v>
      </c>
      <c r="H948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46040</v>
      </c>
      <c r="I948" s="95" t="s">
        <v>788</v>
      </c>
    </row>
    <row r="949" spans="1:9" x14ac:dyDescent="0.3">
      <c r="A949" s="1" t="s">
        <v>623</v>
      </c>
      <c r="B949" s="6"/>
      <c r="C949" s="1">
        <v>-1</v>
      </c>
      <c r="D949" s="105">
        <v>46075</v>
      </c>
      <c r="E949" s="105">
        <f t="shared" si="37"/>
        <v>46076</v>
      </c>
      <c r="F949" s="105">
        <v>46075</v>
      </c>
      <c r="G949" s="2">
        <f t="shared" si="39"/>
        <v>46076</v>
      </c>
      <c r="H949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46040</v>
      </c>
      <c r="I949" s="95" t="s">
        <v>788</v>
      </c>
    </row>
    <row r="950" spans="1:9" x14ac:dyDescent="0.3">
      <c r="A950" s="1" t="s">
        <v>623</v>
      </c>
      <c r="B950" s="6"/>
      <c r="C950" s="1">
        <v>-1</v>
      </c>
      <c r="D950" s="105">
        <v>46095</v>
      </c>
      <c r="E950" s="105">
        <f t="shared" si="37"/>
        <v>46096</v>
      </c>
      <c r="F950" s="105">
        <v>46095</v>
      </c>
      <c r="G950" s="2">
        <f t="shared" si="39"/>
        <v>46096</v>
      </c>
      <c r="H950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46040</v>
      </c>
      <c r="I950" s="95" t="s">
        <v>788</v>
      </c>
    </row>
    <row r="951" spans="1:9" x14ac:dyDescent="0.3">
      <c r="A951" s="1" t="s">
        <v>623</v>
      </c>
      <c r="B951" s="6"/>
      <c r="C951" s="1">
        <v>-1</v>
      </c>
      <c r="D951" s="105">
        <v>46102</v>
      </c>
      <c r="E951" s="105">
        <f t="shared" si="37"/>
        <v>46106</v>
      </c>
      <c r="F951" s="105">
        <v>46105</v>
      </c>
      <c r="G951" s="2">
        <f t="shared" si="39"/>
        <v>46106</v>
      </c>
      <c r="H951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46040</v>
      </c>
      <c r="I951" s="95" t="s">
        <v>788</v>
      </c>
    </row>
    <row r="952" spans="1:9" x14ac:dyDescent="0.3">
      <c r="A952" s="1" t="s">
        <v>623</v>
      </c>
      <c r="B952" s="6"/>
      <c r="C952" s="1">
        <v>-1</v>
      </c>
      <c r="D952" s="105">
        <v>46135</v>
      </c>
      <c r="E952" s="105">
        <f t="shared" si="37"/>
        <v>46138</v>
      </c>
      <c r="F952" s="105">
        <v>46137</v>
      </c>
      <c r="G952" s="2">
        <f t="shared" si="39"/>
        <v>46138</v>
      </c>
      <c r="H952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46040</v>
      </c>
      <c r="I952" s="95" t="s">
        <v>788</v>
      </c>
    </row>
    <row r="953" spans="1:9" x14ac:dyDescent="0.3">
      <c r="A953" s="1" t="s">
        <v>160</v>
      </c>
      <c r="B953" s="6"/>
      <c r="C953" s="1">
        <v>-1</v>
      </c>
      <c r="D953" s="105">
        <v>46115</v>
      </c>
      <c r="E953" s="105">
        <f t="shared" si="37"/>
        <v>46121</v>
      </c>
      <c r="F953" s="105">
        <v>46120</v>
      </c>
      <c r="G953" s="2">
        <f t="shared" si="39"/>
        <v>46121</v>
      </c>
      <c r="H953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46042</v>
      </c>
      <c r="I953" s="95" t="s">
        <v>789</v>
      </c>
    </row>
    <row r="954" spans="1:9" x14ac:dyDescent="0.3">
      <c r="A954" s="1" t="s">
        <v>148</v>
      </c>
      <c r="B954" s="6"/>
      <c r="C954" s="1">
        <v>-1</v>
      </c>
      <c r="D954" s="105">
        <v>46043</v>
      </c>
      <c r="E954" s="105">
        <f t="shared" si="37"/>
        <v>46059</v>
      </c>
      <c r="F954" s="105">
        <v>46058</v>
      </c>
      <c r="G954" s="2">
        <f t="shared" si="39"/>
        <v>46059</v>
      </c>
      <c r="H954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46042</v>
      </c>
      <c r="I954" s="95" t="s">
        <v>790</v>
      </c>
    </row>
    <row r="955" spans="1:9" x14ac:dyDescent="0.3">
      <c r="A955" s="1" t="s">
        <v>88</v>
      </c>
      <c r="B955" s="6"/>
      <c r="C955" s="1">
        <v>-1</v>
      </c>
      <c r="D955" s="105">
        <v>46047</v>
      </c>
      <c r="E955" s="105">
        <f t="shared" ref="E955:E1018" si="40">G955</f>
        <v>46051</v>
      </c>
      <c r="F955" s="105">
        <v>46050</v>
      </c>
      <c r="G955" s="2">
        <f t="shared" si="39"/>
        <v>46051</v>
      </c>
      <c r="H955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46042</v>
      </c>
      <c r="I955" s="95" t="s">
        <v>791</v>
      </c>
    </row>
    <row r="956" spans="1:9" x14ac:dyDescent="0.3">
      <c r="A956" s="1" t="s">
        <v>123</v>
      </c>
      <c r="B956" s="6"/>
      <c r="C956" s="1">
        <v>-1</v>
      </c>
      <c r="D956" s="105">
        <v>46043</v>
      </c>
      <c r="E956" s="105">
        <f t="shared" si="40"/>
        <v>46068</v>
      </c>
      <c r="F956" s="105">
        <v>46067</v>
      </c>
      <c r="G956" s="2">
        <f t="shared" si="39"/>
        <v>46068</v>
      </c>
      <c r="H956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46043</v>
      </c>
      <c r="I956" s="95" t="s">
        <v>792</v>
      </c>
    </row>
    <row r="957" spans="1:9" x14ac:dyDescent="0.3">
      <c r="A957" s="1" t="s">
        <v>123</v>
      </c>
      <c r="B957" s="6"/>
      <c r="C957" s="1">
        <v>-1</v>
      </c>
      <c r="D957" s="105">
        <v>46089</v>
      </c>
      <c r="E957" s="105">
        <f t="shared" si="40"/>
        <v>46096</v>
      </c>
      <c r="F957" s="105">
        <v>46095</v>
      </c>
      <c r="G957" s="2">
        <f t="shared" si="39"/>
        <v>46096</v>
      </c>
      <c r="H957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46043</v>
      </c>
      <c r="I957" s="95" t="s">
        <v>792</v>
      </c>
    </row>
    <row r="958" spans="1:9" x14ac:dyDescent="0.3">
      <c r="A958" s="1" t="s">
        <v>123</v>
      </c>
      <c r="B958" s="6"/>
      <c r="C958" s="1">
        <v>-1</v>
      </c>
      <c r="D958" s="105">
        <v>46043</v>
      </c>
      <c r="E958" s="105">
        <f t="shared" si="40"/>
        <v>46054</v>
      </c>
      <c r="F958" s="105">
        <v>46053</v>
      </c>
      <c r="G958" s="2">
        <f t="shared" si="39"/>
        <v>46054</v>
      </c>
      <c r="H958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46043</v>
      </c>
      <c r="I958" s="95" t="s">
        <v>792</v>
      </c>
    </row>
    <row r="959" spans="1:9" x14ac:dyDescent="0.3">
      <c r="A959" s="1" t="s">
        <v>123</v>
      </c>
      <c r="B959" s="6"/>
      <c r="C959" s="1">
        <v>-1</v>
      </c>
      <c r="D959" s="105">
        <v>46102</v>
      </c>
      <c r="E959" s="105">
        <f t="shared" si="40"/>
        <v>46104</v>
      </c>
      <c r="F959" s="105">
        <v>46103</v>
      </c>
      <c r="G959" s="2">
        <f t="shared" si="39"/>
        <v>46104</v>
      </c>
      <c r="H959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46043</v>
      </c>
      <c r="I959" s="95" t="s">
        <v>792</v>
      </c>
    </row>
    <row r="960" spans="1:9" x14ac:dyDescent="0.3">
      <c r="A960" s="1" t="s">
        <v>160</v>
      </c>
      <c r="B960" s="6"/>
      <c r="C960" s="1">
        <v>-1</v>
      </c>
      <c r="D960" s="105">
        <v>46115</v>
      </c>
      <c r="E960" s="105">
        <f t="shared" si="40"/>
        <v>46121</v>
      </c>
      <c r="F960" s="105">
        <v>46120</v>
      </c>
      <c r="G960" s="2">
        <f t="shared" si="39"/>
        <v>46121</v>
      </c>
      <c r="H960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46043</v>
      </c>
      <c r="I960" s="95" t="s">
        <v>792</v>
      </c>
    </row>
    <row r="961" spans="1:9" x14ac:dyDescent="0.3">
      <c r="A961" s="1" t="s">
        <v>88</v>
      </c>
      <c r="B961" s="6"/>
      <c r="C961" s="1">
        <v>-1</v>
      </c>
      <c r="D961" s="105">
        <v>46167</v>
      </c>
      <c r="E961" s="105">
        <f t="shared" si="40"/>
        <v>46174</v>
      </c>
      <c r="F961" s="105">
        <v>46173</v>
      </c>
      <c r="G961" s="2">
        <f t="shared" si="39"/>
        <v>46174</v>
      </c>
      <c r="H961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46043</v>
      </c>
      <c r="I961" s="95" t="s">
        <v>793</v>
      </c>
    </row>
    <row r="962" spans="1:9" x14ac:dyDescent="0.3">
      <c r="A962" s="1" t="s">
        <v>96</v>
      </c>
      <c r="B962" s="6"/>
      <c r="C962" s="1">
        <v>-1</v>
      </c>
      <c r="D962" s="105">
        <v>46075</v>
      </c>
      <c r="E962" s="105">
        <f t="shared" si="40"/>
        <v>46078</v>
      </c>
      <c r="F962" s="105">
        <v>46077</v>
      </c>
      <c r="G962" s="2">
        <f t="shared" si="39"/>
        <v>46078</v>
      </c>
      <c r="H962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46043</v>
      </c>
      <c r="I962" s="95" t="s">
        <v>794</v>
      </c>
    </row>
    <row r="963" spans="1:9" x14ac:dyDescent="0.3">
      <c r="A963" s="1" t="s">
        <v>96</v>
      </c>
      <c r="B963" s="6"/>
      <c r="C963" s="1">
        <v>-1</v>
      </c>
      <c r="D963" s="105">
        <v>46080</v>
      </c>
      <c r="E963" s="105">
        <f t="shared" si="40"/>
        <v>46081</v>
      </c>
      <c r="F963" s="105">
        <v>46080</v>
      </c>
      <c r="G963" s="2">
        <f t="shared" si="39"/>
        <v>46081</v>
      </c>
      <c r="H963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46043</v>
      </c>
      <c r="I963" s="95" t="s">
        <v>794</v>
      </c>
    </row>
    <row r="964" spans="1:9" x14ac:dyDescent="0.3">
      <c r="A964" s="1" t="s">
        <v>121</v>
      </c>
      <c r="B964" s="6"/>
      <c r="C964" s="1">
        <v>-1</v>
      </c>
      <c r="D964" s="105">
        <v>46048</v>
      </c>
      <c r="E964" s="105">
        <f t="shared" si="40"/>
        <v>46049</v>
      </c>
      <c r="F964" s="105">
        <v>46048</v>
      </c>
      <c r="G964" s="2">
        <f t="shared" si="39"/>
        <v>46049</v>
      </c>
      <c r="H964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46043</v>
      </c>
      <c r="I964" s="95" t="s">
        <v>795</v>
      </c>
    </row>
    <row r="965" spans="1:9" x14ac:dyDescent="0.3">
      <c r="A965" s="1" t="s">
        <v>308</v>
      </c>
      <c r="B965" s="6"/>
      <c r="C965" s="1">
        <v>-1</v>
      </c>
      <c r="D965" s="105">
        <v>46045</v>
      </c>
      <c r="E965" s="105">
        <f t="shared" si="40"/>
        <v>46050</v>
      </c>
      <c r="F965" s="105">
        <v>46049</v>
      </c>
      <c r="G965" s="2">
        <f t="shared" si="39"/>
        <v>46050</v>
      </c>
      <c r="H965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46043</v>
      </c>
      <c r="I965" s="95" t="s">
        <v>796</v>
      </c>
    </row>
    <row r="966" spans="1:9" x14ac:dyDescent="0.3">
      <c r="A966" s="1" t="s">
        <v>108</v>
      </c>
      <c r="B966" s="6"/>
      <c r="C966" s="1">
        <v>-1</v>
      </c>
      <c r="D966" s="105">
        <v>46045</v>
      </c>
      <c r="E966" s="105">
        <f t="shared" si="40"/>
        <v>46050</v>
      </c>
      <c r="F966" s="105">
        <v>46049</v>
      </c>
      <c r="G966" s="2">
        <f t="shared" si="39"/>
        <v>46050</v>
      </c>
      <c r="H966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46043</v>
      </c>
      <c r="I966" s="95" t="s">
        <v>796</v>
      </c>
    </row>
    <row r="967" spans="1:9" x14ac:dyDescent="0.3">
      <c r="A967" s="1" t="s">
        <v>136</v>
      </c>
      <c r="B967" s="6"/>
      <c r="C967" s="1">
        <v>-1</v>
      </c>
      <c r="D967" s="105">
        <v>46050</v>
      </c>
      <c r="E967" s="105">
        <f t="shared" si="40"/>
        <v>46051</v>
      </c>
      <c r="F967" s="105">
        <v>46050</v>
      </c>
      <c r="G967" s="2">
        <f t="shared" si="39"/>
        <v>46051</v>
      </c>
      <c r="H967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46043</v>
      </c>
      <c r="I967" s="95" t="s">
        <v>797</v>
      </c>
    </row>
    <row r="968" spans="1:9" x14ac:dyDescent="0.3">
      <c r="A968" s="1" t="s">
        <v>123</v>
      </c>
      <c r="B968" s="6"/>
      <c r="C968" s="1">
        <v>-1</v>
      </c>
      <c r="D968" s="105">
        <v>46102</v>
      </c>
      <c r="E968" s="105">
        <f t="shared" si="40"/>
        <v>46103</v>
      </c>
      <c r="F968" s="105">
        <v>46102</v>
      </c>
      <c r="G968" s="2">
        <f t="shared" si="39"/>
        <v>46103</v>
      </c>
      <c r="H968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46043</v>
      </c>
      <c r="I968" s="95" t="s">
        <v>798</v>
      </c>
    </row>
    <row r="969" spans="1:9" x14ac:dyDescent="0.3">
      <c r="A969" s="1" t="s">
        <v>123</v>
      </c>
      <c r="B969" s="6"/>
      <c r="C969" s="1">
        <v>-1</v>
      </c>
      <c r="D969" s="105">
        <v>46054</v>
      </c>
      <c r="E969" s="105">
        <f t="shared" si="40"/>
        <v>46055</v>
      </c>
      <c r="F969" s="105">
        <v>46054</v>
      </c>
      <c r="G969" s="2">
        <f t="shared" si="39"/>
        <v>46055</v>
      </c>
      <c r="H969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46043</v>
      </c>
      <c r="I969" s="95" t="s">
        <v>798</v>
      </c>
    </row>
    <row r="970" spans="1:9" x14ac:dyDescent="0.3">
      <c r="A970" s="1" t="s">
        <v>123</v>
      </c>
      <c r="B970" s="6"/>
      <c r="C970" s="1">
        <v>-1</v>
      </c>
      <c r="D970" s="105">
        <v>46104</v>
      </c>
      <c r="E970" s="105">
        <f t="shared" si="40"/>
        <v>46107</v>
      </c>
      <c r="F970" s="105">
        <v>46106</v>
      </c>
      <c r="G970" s="2">
        <f t="shared" si="39"/>
        <v>46107</v>
      </c>
      <c r="H970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46043</v>
      </c>
      <c r="I970" s="95" t="s">
        <v>798</v>
      </c>
    </row>
    <row r="971" spans="1:9" x14ac:dyDescent="0.3">
      <c r="A971" s="1" t="s">
        <v>123</v>
      </c>
      <c r="B971" s="6"/>
      <c r="C971" s="1">
        <v>-1</v>
      </c>
      <c r="D971" s="105">
        <v>46110</v>
      </c>
      <c r="E971" s="105">
        <f t="shared" si="40"/>
        <v>46112</v>
      </c>
      <c r="F971" s="105">
        <v>46111</v>
      </c>
      <c r="G971" s="2">
        <f t="shared" si="39"/>
        <v>46112</v>
      </c>
      <c r="H971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46043</v>
      </c>
      <c r="I971" s="95" t="s">
        <v>798</v>
      </c>
    </row>
    <row r="972" spans="1:9" x14ac:dyDescent="0.3">
      <c r="A972" s="1" t="s">
        <v>123</v>
      </c>
      <c r="B972" s="6"/>
      <c r="C972" s="1">
        <v>-1</v>
      </c>
      <c r="D972" s="105">
        <v>46102</v>
      </c>
      <c r="E972" s="105">
        <f t="shared" si="40"/>
        <v>46103</v>
      </c>
      <c r="F972" s="105">
        <v>46102</v>
      </c>
      <c r="G972" s="2">
        <f t="shared" si="39"/>
        <v>46103</v>
      </c>
      <c r="H972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46043</v>
      </c>
      <c r="I972" s="95" t="s">
        <v>798</v>
      </c>
    </row>
    <row r="973" spans="1:9" x14ac:dyDescent="0.3">
      <c r="A973" s="1" t="s">
        <v>623</v>
      </c>
      <c r="B973" s="6"/>
      <c r="C973" s="1">
        <v>-1</v>
      </c>
      <c r="D973" s="105">
        <v>46068</v>
      </c>
      <c r="E973" s="105">
        <f t="shared" si="40"/>
        <v>46069</v>
      </c>
      <c r="F973" s="105">
        <v>46068</v>
      </c>
      <c r="G973" s="2">
        <f t="shared" si="39"/>
        <v>46069</v>
      </c>
      <c r="H973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46043</v>
      </c>
      <c r="I973" s="95" t="s">
        <v>799</v>
      </c>
    </row>
    <row r="974" spans="1:9" x14ac:dyDescent="0.3">
      <c r="A974" s="1" t="s">
        <v>623</v>
      </c>
      <c r="B974" s="6"/>
      <c r="C974" s="1">
        <v>-1</v>
      </c>
      <c r="D974" s="105">
        <v>46074</v>
      </c>
      <c r="E974" s="105">
        <f t="shared" si="40"/>
        <v>46075</v>
      </c>
      <c r="F974" s="105">
        <v>46074</v>
      </c>
      <c r="G974" s="2">
        <f t="shared" si="39"/>
        <v>46075</v>
      </c>
      <c r="H974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46043</v>
      </c>
      <c r="I974" s="95" t="s">
        <v>799</v>
      </c>
    </row>
    <row r="975" spans="1:9" x14ac:dyDescent="0.3">
      <c r="A975" s="1" t="s">
        <v>623</v>
      </c>
      <c r="B975" s="6"/>
      <c r="C975" s="1">
        <v>-1</v>
      </c>
      <c r="D975" s="105">
        <v>46076</v>
      </c>
      <c r="E975" s="105">
        <f t="shared" si="40"/>
        <v>46080</v>
      </c>
      <c r="F975" s="105">
        <v>46079</v>
      </c>
      <c r="G975" s="2">
        <f t="shared" si="39"/>
        <v>46080</v>
      </c>
      <c r="H975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46043</v>
      </c>
      <c r="I975" s="95" t="s">
        <v>799</v>
      </c>
    </row>
    <row r="976" spans="1:9" x14ac:dyDescent="0.3">
      <c r="A976" s="1" t="s">
        <v>623</v>
      </c>
      <c r="B976" s="6"/>
      <c r="C976" s="1">
        <v>-1</v>
      </c>
      <c r="D976" s="105">
        <v>46100</v>
      </c>
      <c r="E976" s="105">
        <f t="shared" si="40"/>
        <v>46101</v>
      </c>
      <c r="F976" s="105">
        <v>46100</v>
      </c>
      <c r="G976" s="2">
        <f t="shared" si="39"/>
        <v>46101</v>
      </c>
      <c r="H976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46043</v>
      </c>
      <c r="I976" s="95" t="s">
        <v>799</v>
      </c>
    </row>
    <row r="977" spans="1:9" x14ac:dyDescent="0.3">
      <c r="A977" s="1" t="s">
        <v>623</v>
      </c>
      <c r="B977" s="6"/>
      <c r="C977" s="1">
        <v>-1</v>
      </c>
      <c r="D977" s="105">
        <v>46106</v>
      </c>
      <c r="E977" s="105">
        <f t="shared" si="40"/>
        <v>46109</v>
      </c>
      <c r="F977" s="105">
        <v>46108</v>
      </c>
      <c r="G977" s="2">
        <f t="shared" si="39"/>
        <v>46109</v>
      </c>
      <c r="H977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46043</v>
      </c>
      <c r="I977" s="95" t="s">
        <v>799</v>
      </c>
    </row>
    <row r="978" spans="1:9" x14ac:dyDescent="0.3">
      <c r="A978" s="1" t="s">
        <v>623</v>
      </c>
      <c r="B978" s="6"/>
      <c r="C978" s="1">
        <v>-1</v>
      </c>
      <c r="D978" s="105">
        <v>46110</v>
      </c>
      <c r="E978" s="105">
        <f t="shared" si="40"/>
        <v>46111</v>
      </c>
      <c r="F978" s="105">
        <v>46110</v>
      </c>
      <c r="G978" s="2">
        <f t="shared" si="39"/>
        <v>46111</v>
      </c>
      <c r="H978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46043</v>
      </c>
      <c r="I978" s="95" t="s">
        <v>799</v>
      </c>
    </row>
    <row r="979" spans="1:9" x14ac:dyDescent="0.3">
      <c r="A979" s="1" t="s">
        <v>623</v>
      </c>
      <c r="B979" s="6"/>
      <c r="C979" s="1">
        <v>-1</v>
      </c>
      <c r="D979" s="105">
        <v>46114</v>
      </c>
      <c r="E979" s="105">
        <f t="shared" si="40"/>
        <v>46117</v>
      </c>
      <c r="F979" s="105">
        <v>46116</v>
      </c>
      <c r="G979" s="2">
        <f t="shared" si="39"/>
        <v>46117</v>
      </c>
      <c r="H979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46043</v>
      </c>
      <c r="I979" s="95" t="s">
        <v>799</v>
      </c>
    </row>
    <row r="980" spans="1:9" x14ac:dyDescent="0.3">
      <c r="A980" s="1" t="s">
        <v>623</v>
      </c>
      <c r="B980" s="6"/>
      <c r="C980" s="1">
        <v>-1</v>
      </c>
      <c r="D980" s="105">
        <v>46134</v>
      </c>
      <c r="E980" s="105">
        <f t="shared" si="40"/>
        <v>46135</v>
      </c>
      <c r="F980" s="105">
        <v>46134</v>
      </c>
      <c r="G980" s="2">
        <f t="shared" si="39"/>
        <v>46135</v>
      </c>
      <c r="H980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46043</v>
      </c>
      <c r="I980" s="95" t="s">
        <v>799</v>
      </c>
    </row>
    <row r="981" spans="1:9" x14ac:dyDescent="0.3">
      <c r="A981" s="1" t="s">
        <v>57</v>
      </c>
      <c r="B981" s="6"/>
      <c r="C981" s="1">
        <v>-1</v>
      </c>
      <c r="D981" s="105">
        <v>46152</v>
      </c>
      <c r="E981" s="105">
        <f t="shared" si="40"/>
        <v>46161</v>
      </c>
      <c r="F981" s="105">
        <v>46160</v>
      </c>
      <c r="G981" s="2">
        <f t="shared" si="39"/>
        <v>46161</v>
      </c>
      <c r="H981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46044</v>
      </c>
      <c r="I981" s="95" t="s">
        <v>800</v>
      </c>
    </row>
    <row r="982" spans="1:9" x14ac:dyDescent="0.3">
      <c r="A982" s="1" t="s">
        <v>57</v>
      </c>
      <c r="B982" s="6"/>
      <c r="C982" s="1">
        <v>-1</v>
      </c>
      <c r="D982" s="105">
        <v>46110</v>
      </c>
      <c r="E982" s="105">
        <f t="shared" si="40"/>
        <v>46116</v>
      </c>
      <c r="F982" s="105">
        <v>46115</v>
      </c>
      <c r="G982" s="2">
        <f t="shared" si="39"/>
        <v>46116</v>
      </c>
      <c r="H982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46044</v>
      </c>
      <c r="I982" s="95" t="s">
        <v>800</v>
      </c>
    </row>
    <row r="983" spans="1:9" x14ac:dyDescent="0.3">
      <c r="A983" s="1" t="s">
        <v>57</v>
      </c>
      <c r="B983" s="6"/>
      <c r="C983" s="1">
        <v>-1</v>
      </c>
      <c r="D983" s="105">
        <v>46133</v>
      </c>
      <c r="E983" s="105">
        <f t="shared" si="40"/>
        <v>46135</v>
      </c>
      <c r="F983" s="105">
        <v>46134</v>
      </c>
      <c r="G983" s="2">
        <f t="shared" si="39"/>
        <v>46135</v>
      </c>
      <c r="H983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46044</v>
      </c>
      <c r="I983" s="95" t="s">
        <v>800</v>
      </c>
    </row>
    <row r="984" spans="1:9" x14ac:dyDescent="0.3">
      <c r="A984" s="1" t="s">
        <v>57</v>
      </c>
      <c r="B984" s="6"/>
      <c r="C984" s="1">
        <v>-1</v>
      </c>
      <c r="D984" s="105">
        <v>46113</v>
      </c>
      <c r="E984" s="105">
        <f t="shared" si="40"/>
        <v>46117</v>
      </c>
      <c r="F984" s="105">
        <v>46116</v>
      </c>
      <c r="G984" s="2">
        <f t="shared" si="39"/>
        <v>46117</v>
      </c>
      <c r="H984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46044</v>
      </c>
      <c r="I984" s="95" t="s">
        <v>800</v>
      </c>
    </row>
    <row r="985" spans="1:9" x14ac:dyDescent="0.3">
      <c r="A985" s="1" t="s">
        <v>57</v>
      </c>
      <c r="B985" s="6"/>
      <c r="C985" s="1">
        <v>-1</v>
      </c>
      <c r="D985" s="105">
        <v>46102</v>
      </c>
      <c r="E985" s="105">
        <f t="shared" si="40"/>
        <v>46112</v>
      </c>
      <c r="F985" s="105">
        <v>46111</v>
      </c>
      <c r="G985" s="2">
        <f t="shared" si="39"/>
        <v>46112</v>
      </c>
      <c r="H985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46044</v>
      </c>
      <c r="I985" s="95" t="s">
        <v>800</v>
      </c>
    </row>
    <row r="986" spans="1:9" x14ac:dyDescent="0.3">
      <c r="A986" s="1" t="s">
        <v>57</v>
      </c>
      <c r="B986" s="6"/>
      <c r="C986" s="1">
        <v>-1</v>
      </c>
      <c r="D986" s="105">
        <v>46097</v>
      </c>
      <c r="E986" s="105">
        <f t="shared" si="40"/>
        <v>46103</v>
      </c>
      <c r="F986" s="105">
        <v>46102</v>
      </c>
      <c r="G986" s="2">
        <f t="shared" si="39"/>
        <v>46103</v>
      </c>
      <c r="H986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46044</v>
      </c>
      <c r="I986" s="95" t="s">
        <v>800</v>
      </c>
    </row>
    <row r="987" spans="1:9" x14ac:dyDescent="0.3">
      <c r="A987" s="1" t="s">
        <v>57</v>
      </c>
      <c r="B987" s="6"/>
      <c r="C987" s="1">
        <v>-1</v>
      </c>
      <c r="D987" s="105">
        <v>46106</v>
      </c>
      <c r="E987" s="105">
        <f t="shared" si="40"/>
        <v>46110</v>
      </c>
      <c r="F987" s="105">
        <v>46109</v>
      </c>
      <c r="G987" s="2">
        <f t="shared" si="39"/>
        <v>46110</v>
      </c>
      <c r="H987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46044</v>
      </c>
      <c r="I987" s="95" t="s">
        <v>800</v>
      </c>
    </row>
    <row r="988" spans="1:9" x14ac:dyDescent="0.3">
      <c r="A988" s="1" t="s">
        <v>57</v>
      </c>
      <c r="B988" s="6"/>
      <c r="C988" s="1">
        <v>-1</v>
      </c>
      <c r="D988" s="105">
        <v>46112</v>
      </c>
      <c r="E988" s="105">
        <f t="shared" si="40"/>
        <v>46121</v>
      </c>
      <c r="F988" s="105">
        <v>46120</v>
      </c>
      <c r="G988" s="2">
        <f t="shared" si="39"/>
        <v>46121</v>
      </c>
      <c r="H988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46044</v>
      </c>
      <c r="I988" s="95" t="s">
        <v>800</v>
      </c>
    </row>
    <row r="989" spans="1:9" x14ac:dyDescent="0.3">
      <c r="A989" s="1" t="s">
        <v>57</v>
      </c>
      <c r="B989" s="6"/>
      <c r="C989" s="1">
        <v>-1</v>
      </c>
      <c r="D989" s="105">
        <v>46131</v>
      </c>
      <c r="E989" s="105">
        <f t="shared" si="40"/>
        <v>46133</v>
      </c>
      <c r="F989" s="105">
        <v>46132</v>
      </c>
      <c r="G989" s="2">
        <f t="shared" si="39"/>
        <v>46133</v>
      </c>
      <c r="H989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46044</v>
      </c>
      <c r="I989" s="95" t="s">
        <v>800</v>
      </c>
    </row>
    <row r="990" spans="1:9" x14ac:dyDescent="0.3">
      <c r="A990" s="1" t="s">
        <v>71</v>
      </c>
      <c r="B990" s="6"/>
      <c r="C990" s="1">
        <v>-1</v>
      </c>
      <c r="D990" s="105">
        <v>46100</v>
      </c>
      <c r="E990" s="105">
        <f t="shared" si="40"/>
        <v>46102</v>
      </c>
      <c r="F990" s="105">
        <v>46101</v>
      </c>
      <c r="G990" s="2">
        <f t="shared" si="39"/>
        <v>46102</v>
      </c>
      <c r="H990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46044</v>
      </c>
      <c r="I990" s="95" t="s">
        <v>801</v>
      </c>
    </row>
    <row r="991" spans="1:9" x14ac:dyDescent="0.3">
      <c r="A991" s="1" t="s">
        <v>62</v>
      </c>
      <c r="B991" s="6"/>
      <c r="C991" s="1">
        <v>-1</v>
      </c>
      <c r="D991" s="105">
        <v>46076</v>
      </c>
      <c r="E991" s="105">
        <f t="shared" si="40"/>
        <v>46077</v>
      </c>
      <c r="F991" s="105">
        <v>46076</v>
      </c>
      <c r="G991" s="2">
        <f t="shared" si="39"/>
        <v>46077</v>
      </c>
      <c r="H991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46044</v>
      </c>
      <c r="I991" s="95" t="s">
        <v>802</v>
      </c>
    </row>
    <row r="992" spans="1:9" x14ac:dyDescent="0.3">
      <c r="A992" s="1" t="s">
        <v>92</v>
      </c>
      <c r="B992" s="6"/>
      <c r="C992" s="1">
        <v>-1</v>
      </c>
      <c r="D992" s="105">
        <v>46110</v>
      </c>
      <c r="E992" s="105">
        <f t="shared" si="40"/>
        <v>46122</v>
      </c>
      <c r="F992" s="105">
        <v>46121</v>
      </c>
      <c r="G992" s="2">
        <f t="shared" si="39"/>
        <v>46122</v>
      </c>
      <c r="H992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46044</v>
      </c>
      <c r="I992" s="95" t="s">
        <v>803</v>
      </c>
    </row>
    <row r="993" spans="1:9" x14ac:dyDescent="0.3">
      <c r="A993" s="1" t="s">
        <v>88</v>
      </c>
      <c r="B993" s="6"/>
      <c r="C993" s="1">
        <v>-1</v>
      </c>
      <c r="D993" s="105">
        <v>46051</v>
      </c>
      <c r="E993" s="105">
        <f t="shared" si="40"/>
        <v>46056</v>
      </c>
      <c r="F993" s="105">
        <v>46055</v>
      </c>
      <c r="G993" s="2">
        <f t="shared" si="39"/>
        <v>46056</v>
      </c>
      <c r="H993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46044</v>
      </c>
      <c r="I993" s="95" t="s">
        <v>804</v>
      </c>
    </row>
    <row r="994" spans="1:9" x14ac:dyDescent="0.3">
      <c r="A994" s="1" t="s">
        <v>308</v>
      </c>
      <c r="B994" s="6"/>
      <c r="C994" s="1">
        <v>-1</v>
      </c>
      <c r="D994" s="105">
        <v>46045</v>
      </c>
      <c r="E994" s="105">
        <f t="shared" si="40"/>
        <v>46055</v>
      </c>
      <c r="F994" s="105">
        <v>46054</v>
      </c>
      <c r="G994" s="2">
        <f t="shared" si="39"/>
        <v>46055</v>
      </c>
      <c r="H994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46044</v>
      </c>
      <c r="I994" s="95" t="s">
        <v>805</v>
      </c>
    </row>
    <row r="995" spans="1:9" x14ac:dyDescent="0.3">
      <c r="A995" s="1" t="s">
        <v>108</v>
      </c>
      <c r="B995" s="6"/>
      <c r="C995" s="1">
        <v>-1</v>
      </c>
      <c r="D995" s="105">
        <v>46045</v>
      </c>
      <c r="E995" s="105">
        <f t="shared" si="40"/>
        <v>46055</v>
      </c>
      <c r="F995" s="105">
        <v>46054</v>
      </c>
      <c r="G995" s="2">
        <f t="shared" si="39"/>
        <v>46055</v>
      </c>
      <c r="H995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46044</v>
      </c>
      <c r="I995" s="95" t="s">
        <v>805</v>
      </c>
    </row>
    <row r="996" spans="1:9" x14ac:dyDescent="0.3">
      <c r="A996" s="1" t="s">
        <v>81</v>
      </c>
      <c r="B996" s="6"/>
      <c r="C996" s="1">
        <v>-1</v>
      </c>
      <c r="D996" s="105">
        <v>46055</v>
      </c>
      <c r="E996" s="105">
        <f t="shared" si="40"/>
        <v>46057</v>
      </c>
      <c r="F996" s="105">
        <v>46056</v>
      </c>
      <c r="G996" s="2">
        <f t="shared" ref="G996:G1059" si="41">F996+1</f>
        <v>46057</v>
      </c>
      <c r="H996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46045</v>
      </c>
      <c r="I996" s="95" t="s">
        <v>806</v>
      </c>
    </row>
    <row r="997" spans="1:9" x14ac:dyDescent="0.3">
      <c r="A997" s="1" t="s">
        <v>136</v>
      </c>
      <c r="B997" s="6"/>
      <c r="C997" s="1">
        <v>-1</v>
      </c>
      <c r="D997" s="105">
        <v>46051</v>
      </c>
      <c r="E997" s="105">
        <f t="shared" si="40"/>
        <v>46052</v>
      </c>
      <c r="F997" s="105">
        <v>46051</v>
      </c>
      <c r="G997" s="2">
        <f t="shared" si="41"/>
        <v>46052</v>
      </c>
      <c r="H997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46045</v>
      </c>
      <c r="I997" s="95" t="s">
        <v>807</v>
      </c>
    </row>
    <row r="998" spans="1:9" x14ac:dyDescent="0.3">
      <c r="A998" s="1" t="s">
        <v>127</v>
      </c>
      <c r="B998" s="6"/>
      <c r="C998" s="1">
        <v>-1</v>
      </c>
      <c r="D998" s="105">
        <v>46102</v>
      </c>
      <c r="E998" s="105">
        <f t="shared" si="40"/>
        <v>46105</v>
      </c>
      <c r="F998" s="105">
        <v>46104</v>
      </c>
      <c r="G998" s="2">
        <f t="shared" si="41"/>
        <v>46105</v>
      </c>
      <c r="H998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46044</v>
      </c>
      <c r="I998" s="95" t="s">
        <v>808</v>
      </c>
    </row>
    <row r="999" spans="1:9" x14ac:dyDescent="0.3">
      <c r="A999" s="1" t="s">
        <v>127</v>
      </c>
      <c r="B999" s="6"/>
      <c r="C999" s="1">
        <v>-1</v>
      </c>
      <c r="D999" s="105">
        <v>46070</v>
      </c>
      <c r="E999" s="105">
        <f t="shared" si="40"/>
        <v>46073</v>
      </c>
      <c r="F999" s="105">
        <v>46072</v>
      </c>
      <c r="G999" s="2">
        <f t="shared" si="41"/>
        <v>46073</v>
      </c>
      <c r="H999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46044</v>
      </c>
      <c r="I999" s="95" t="s">
        <v>808</v>
      </c>
    </row>
    <row r="1000" spans="1:9" x14ac:dyDescent="0.3">
      <c r="A1000" s="1" t="s">
        <v>148</v>
      </c>
      <c r="B1000" s="6"/>
      <c r="C1000" s="1">
        <v>-1</v>
      </c>
      <c r="D1000" s="105">
        <v>46071</v>
      </c>
      <c r="E1000" s="105">
        <f t="shared" si="40"/>
        <v>46078</v>
      </c>
      <c r="F1000" s="105">
        <v>46077</v>
      </c>
      <c r="G1000" s="2">
        <f t="shared" si="41"/>
        <v>46078</v>
      </c>
      <c r="H1000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46045</v>
      </c>
      <c r="I1000" s="95" t="s">
        <v>809</v>
      </c>
    </row>
    <row r="1001" spans="1:9" x14ac:dyDescent="0.3">
      <c r="A1001" s="1" t="s">
        <v>308</v>
      </c>
      <c r="B1001" s="6"/>
      <c r="C1001" s="1">
        <v>-1</v>
      </c>
      <c r="D1001" s="105">
        <v>46045</v>
      </c>
      <c r="E1001" s="105">
        <f t="shared" si="40"/>
        <v>46059</v>
      </c>
      <c r="F1001" s="105">
        <v>46058</v>
      </c>
      <c r="G1001" s="2">
        <f t="shared" si="41"/>
        <v>46059</v>
      </c>
      <c r="H1001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46045</v>
      </c>
      <c r="I1001" s="95" t="s">
        <v>810</v>
      </c>
    </row>
    <row r="1002" spans="1:9" x14ac:dyDescent="0.3">
      <c r="A1002" s="1" t="s">
        <v>108</v>
      </c>
      <c r="B1002" s="6"/>
      <c r="C1002" s="1">
        <v>-1</v>
      </c>
      <c r="D1002" s="105">
        <v>46045</v>
      </c>
      <c r="E1002" s="105">
        <f t="shared" si="40"/>
        <v>46059</v>
      </c>
      <c r="F1002" s="105">
        <v>46058</v>
      </c>
      <c r="G1002" s="2">
        <f t="shared" si="41"/>
        <v>46059</v>
      </c>
      <c r="H1002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46045</v>
      </c>
      <c r="I1002" s="95" t="s">
        <v>810</v>
      </c>
    </row>
    <row r="1003" spans="1:9" x14ac:dyDescent="0.3">
      <c r="A1003" s="1" t="s">
        <v>62</v>
      </c>
      <c r="B1003" s="6"/>
      <c r="C1003" s="1">
        <v>-1</v>
      </c>
      <c r="D1003" s="105">
        <v>46059</v>
      </c>
      <c r="E1003" s="105">
        <f t="shared" si="40"/>
        <v>46060</v>
      </c>
      <c r="F1003" s="105">
        <v>46059</v>
      </c>
      <c r="G1003" s="2">
        <f t="shared" si="41"/>
        <v>46060</v>
      </c>
      <c r="H1003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46046</v>
      </c>
      <c r="I1003" s="95" t="s">
        <v>811</v>
      </c>
    </row>
    <row r="1004" spans="1:9" x14ac:dyDescent="0.3">
      <c r="A1004" s="1" t="s">
        <v>62</v>
      </c>
      <c r="B1004" s="6"/>
      <c r="C1004" s="1">
        <v>-1</v>
      </c>
      <c r="D1004" s="105">
        <v>46064</v>
      </c>
      <c r="E1004" s="105">
        <f t="shared" si="40"/>
        <v>46065</v>
      </c>
      <c r="F1004" s="105">
        <v>46064</v>
      </c>
      <c r="G1004" s="2">
        <f t="shared" si="41"/>
        <v>46065</v>
      </c>
      <c r="H1004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46046</v>
      </c>
      <c r="I1004" s="95" t="s">
        <v>811</v>
      </c>
    </row>
    <row r="1005" spans="1:9" x14ac:dyDescent="0.3">
      <c r="A1005" s="1" t="s">
        <v>62</v>
      </c>
      <c r="B1005" s="6"/>
      <c r="C1005" s="1">
        <v>-1</v>
      </c>
      <c r="D1005" s="105">
        <v>46074</v>
      </c>
      <c r="E1005" s="105">
        <f t="shared" si="40"/>
        <v>46076</v>
      </c>
      <c r="F1005" s="105">
        <v>46075</v>
      </c>
      <c r="G1005" s="2">
        <f t="shared" si="41"/>
        <v>46076</v>
      </c>
      <c r="H1005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46046</v>
      </c>
      <c r="I1005" s="95" t="s">
        <v>811</v>
      </c>
    </row>
    <row r="1006" spans="1:9" x14ac:dyDescent="0.3">
      <c r="A1006" s="1" t="s">
        <v>62</v>
      </c>
      <c r="B1006" s="6"/>
      <c r="C1006" s="1">
        <v>-1</v>
      </c>
      <c r="D1006" s="105">
        <v>46077</v>
      </c>
      <c r="E1006" s="105">
        <f t="shared" si="40"/>
        <v>46078</v>
      </c>
      <c r="F1006" s="105">
        <v>46077</v>
      </c>
      <c r="G1006" s="2">
        <f t="shared" si="41"/>
        <v>46078</v>
      </c>
      <c r="H1006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46046</v>
      </c>
      <c r="I1006" s="95" t="s">
        <v>811</v>
      </c>
    </row>
    <row r="1007" spans="1:9" x14ac:dyDescent="0.3">
      <c r="A1007" s="1" t="s">
        <v>76</v>
      </c>
      <c r="B1007" s="6"/>
      <c r="C1007" s="1">
        <v>-1</v>
      </c>
      <c r="D1007" s="105">
        <v>46050</v>
      </c>
      <c r="E1007" s="105">
        <f t="shared" si="40"/>
        <v>46055</v>
      </c>
      <c r="F1007" s="105">
        <v>46054</v>
      </c>
      <c r="G1007" s="2">
        <f t="shared" si="41"/>
        <v>46055</v>
      </c>
      <c r="H1007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46046</v>
      </c>
      <c r="I1007" s="95" t="s">
        <v>812</v>
      </c>
    </row>
    <row r="1008" spans="1:9" x14ac:dyDescent="0.3">
      <c r="A1008" s="1" t="s">
        <v>113</v>
      </c>
      <c r="B1008" s="6"/>
      <c r="C1008" s="1">
        <v>-1</v>
      </c>
      <c r="D1008" s="105">
        <v>46113</v>
      </c>
      <c r="E1008" s="105">
        <f t="shared" si="40"/>
        <v>46117</v>
      </c>
      <c r="F1008" s="105">
        <v>46116</v>
      </c>
      <c r="G1008" s="2">
        <f t="shared" si="41"/>
        <v>46117</v>
      </c>
      <c r="H1008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46046</v>
      </c>
      <c r="I1008" s="95" t="s">
        <v>813</v>
      </c>
    </row>
    <row r="1009" spans="1:9" x14ac:dyDescent="0.3">
      <c r="A1009" s="1" t="s">
        <v>113</v>
      </c>
      <c r="B1009" s="6"/>
      <c r="C1009" s="1">
        <v>-1</v>
      </c>
      <c r="D1009" s="105">
        <v>46066</v>
      </c>
      <c r="E1009" s="105">
        <f t="shared" si="40"/>
        <v>46068</v>
      </c>
      <c r="F1009" s="105">
        <v>46067</v>
      </c>
      <c r="G1009" s="2">
        <f t="shared" si="41"/>
        <v>46068</v>
      </c>
      <c r="H1009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46046</v>
      </c>
      <c r="I1009" s="95" t="s">
        <v>813</v>
      </c>
    </row>
    <row r="1010" spans="1:9" x14ac:dyDescent="0.3">
      <c r="A1010" s="1" t="s">
        <v>113</v>
      </c>
      <c r="B1010" s="6"/>
      <c r="C1010" s="1">
        <v>-1</v>
      </c>
      <c r="D1010" s="105">
        <v>46099</v>
      </c>
      <c r="E1010" s="105">
        <f t="shared" si="40"/>
        <v>46108</v>
      </c>
      <c r="F1010" s="105">
        <v>46107</v>
      </c>
      <c r="G1010" s="2">
        <f t="shared" si="41"/>
        <v>46108</v>
      </c>
      <c r="H1010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46046</v>
      </c>
      <c r="I1010" s="95" t="s">
        <v>813</v>
      </c>
    </row>
    <row r="1011" spans="1:9" x14ac:dyDescent="0.3">
      <c r="A1011" s="1" t="s">
        <v>113</v>
      </c>
      <c r="B1011" s="6"/>
      <c r="C1011" s="1">
        <v>-1</v>
      </c>
      <c r="D1011" s="105">
        <v>46067</v>
      </c>
      <c r="E1011" s="105">
        <f t="shared" si="40"/>
        <v>46068</v>
      </c>
      <c r="F1011" s="105">
        <v>46067</v>
      </c>
      <c r="G1011" s="2">
        <f t="shared" si="41"/>
        <v>46068</v>
      </c>
      <c r="H1011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46046</v>
      </c>
      <c r="I1011" s="95" t="s">
        <v>813</v>
      </c>
    </row>
    <row r="1012" spans="1:9" x14ac:dyDescent="0.3">
      <c r="A1012" s="1" t="s">
        <v>113</v>
      </c>
      <c r="B1012" s="6"/>
      <c r="C1012" s="1">
        <v>-1</v>
      </c>
      <c r="D1012" s="105">
        <v>46106</v>
      </c>
      <c r="E1012" s="105">
        <f t="shared" si="40"/>
        <v>46108</v>
      </c>
      <c r="F1012" s="105">
        <v>46107</v>
      </c>
      <c r="G1012" s="2">
        <f t="shared" si="41"/>
        <v>46108</v>
      </c>
      <c r="H1012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46046</v>
      </c>
      <c r="I1012" s="95" t="s">
        <v>813</v>
      </c>
    </row>
    <row r="1013" spans="1:9" x14ac:dyDescent="0.3">
      <c r="A1013" s="1" t="s">
        <v>113</v>
      </c>
      <c r="B1013" s="6"/>
      <c r="C1013" s="1">
        <v>-1</v>
      </c>
      <c r="D1013" s="105">
        <v>46067</v>
      </c>
      <c r="E1013" s="105">
        <f t="shared" si="40"/>
        <v>46068</v>
      </c>
      <c r="F1013" s="105">
        <v>46067</v>
      </c>
      <c r="G1013" s="2">
        <f t="shared" si="41"/>
        <v>46068</v>
      </c>
      <c r="H1013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46046</v>
      </c>
      <c r="I1013" s="95" t="s">
        <v>813</v>
      </c>
    </row>
    <row r="1014" spans="1:9" x14ac:dyDescent="0.3">
      <c r="A1014" s="1" t="s">
        <v>113</v>
      </c>
      <c r="B1014" s="6"/>
      <c r="C1014" s="1">
        <v>-1</v>
      </c>
      <c r="D1014" s="105">
        <v>46105</v>
      </c>
      <c r="E1014" s="105">
        <f t="shared" si="40"/>
        <v>46108</v>
      </c>
      <c r="F1014" s="105">
        <v>46107</v>
      </c>
      <c r="G1014" s="2">
        <f t="shared" si="41"/>
        <v>46108</v>
      </c>
      <c r="H1014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46046</v>
      </c>
      <c r="I1014" s="95" t="s">
        <v>813</v>
      </c>
    </row>
    <row r="1015" spans="1:9" x14ac:dyDescent="0.3">
      <c r="A1015" s="1" t="s">
        <v>96</v>
      </c>
      <c r="B1015" s="6"/>
      <c r="C1015" s="1">
        <v>-1</v>
      </c>
      <c r="D1015" s="105">
        <v>46097</v>
      </c>
      <c r="E1015" s="105">
        <f t="shared" si="40"/>
        <v>46098</v>
      </c>
      <c r="F1015" s="105">
        <v>46097</v>
      </c>
      <c r="G1015" s="2">
        <f t="shared" si="41"/>
        <v>46098</v>
      </c>
      <c r="H1015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46046</v>
      </c>
      <c r="I1015" s="95" t="s">
        <v>814</v>
      </c>
    </row>
    <row r="1016" spans="1:9" x14ac:dyDescent="0.3">
      <c r="A1016" s="1" t="s">
        <v>96</v>
      </c>
      <c r="B1016" s="6"/>
      <c r="C1016" s="1">
        <v>-1</v>
      </c>
      <c r="D1016" s="105">
        <v>46101</v>
      </c>
      <c r="E1016" s="105">
        <f t="shared" si="40"/>
        <v>46102</v>
      </c>
      <c r="F1016" s="105">
        <v>46101</v>
      </c>
      <c r="G1016" s="2">
        <f t="shared" si="41"/>
        <v>46102</v>
      </c>
      <c r="H1016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46046</v>
      </c>
      <c r="I1016" s="95" t="s">
        <v>814</v>
      </c>
    </row>
    <row r="1017" spans="1:9" x14ac:dyDescent="0.3">
      <c r="A1017" s="1" t="s">
        <v>96</v>
      </c>
      <c r="B1017" s="6"/>
      <c r="C1017" s="1">
        <v>-1</v>
      </c>
      <c r="D1017" s="105">
        <v>46098</v>
      </c>
      <c r="E1017" s="105">
        <f t="shared" si="40"/>
        <v>46099</v>
      </c>
      <c r="F1017" s="105">
        <v>46098</v>
      </c>
      <c r="G1017" s="2">
        <f t="shared" si="41"/>
        <v>46099</v>
      </c>
      <c r="H1017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46046</v>
      </c>
      <c r="I1017" s="95" t="s">
        <v>814</v>
      </c>
    </row>
    <row r="1018" spans="1:9" x14ac:dyDescent="0.3">
      <c r="A1018" s="1" t="s">
        <v>96</v>
      </c>
      <c r="B1018" s="6"/>
      <c r="C1018" s="1">
        <v>-1</v>
      </c>
      <c r="D1018" s="105">
        <v>46103</v>
      </c>
      <c r="E1018" s="105">
        <f t="shared" si="40"/>
        <v>46104</v>
      </c>
      <c r="F1018" s="105">
        <v>46103</v>
      </c>
      <c r="G1018" s="2">
        <f t="shared" si="41"/>
        <v>46104</v>
      </c>
      <c r="H1018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46046</v>
      </c>
      <c r="I1018" s="95" t="s">
        <v>814</v>
      </c>
    </row>
    <row r="1019" spans="1:9" x14ac:dyDescent="0.3">
      <c r="A1019" s="1" t="s">
        <v>96</v>
      </c>
      <c r="B1019" s="6"/>
      <c r="C1019" s="1">
        <v>-1</v>
      </c>
      <c r="D1019" s="105">
        <v>46159.041666666599</v>
      </c>
      <c r="E1019" s="105">
        <f t="shared" ref="E1019:E1082" si="42">G1019</f>
        <v>46160.041666666599</v>
      </c>
      <c r="F1019" s="105">
        <v>46159.041666666599</v>
      </c>
      <c r="G1019" s="2">
        <f t="shared" si="41"/>
        <v>46160.041666666599</v>
      </c>
      <c r="H1019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46046</v>
      </c>
      <c r="I1019" s="95" t="s">
        <v>814</v>
      </c>
    </row>
    <row r="1020" spans="1:9" x14ac:dyDescent="0.3">
      <c r="A1020" s="1" t="s">
        <v>96</v>
      </c>
      <c r="B1020" s="6"/>
      <c r="C1020" s="1">
        <v>-1</v>
      </c>
      <c r="D1020" s="105">
        <v>46163</v>
      </c>
      <c r="E1020" s="105">
        <f t="shared" si="42"/>
        <v>46164</v>
      </c>
      <c r="F1020" s="105">
        <v>46163</v>
      </c>
      <c r="G1020" s="2">
        <f t="shared" si="41"/>
        <v>46164</v>
      </c>
      <c r="H1020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46046</v>
      </c>
      <c r="I1020" s="95" t="s">
        <v>814</v>
      </c>
    </row>
    <row r="1021" spans="1:9" x14ac:dyDescent="0.3">
      <c r="A1021" s="1" t="s">
        <v>96</v>
      </c>
      <c r="B1021" s="6"/>
      <c r="C1021" s="1">
        <v>-1</v>
      </c>
      <c r="D1021" s="105">
        <v>46175</v>
      </c>
      <c r="E1021" s="105">
        <f t="shared" si="42"/>
        <v>46179</v>
      </c>
      <c r="F1021" s="105">
        <v>46178</v>
      </c>
      <c r="G1021" s="2">
        <f t="shared" si="41"/>
        <v>46179</v>
      </c>
      <c r="H1021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46046</v>
      </c>
      <c r="I1021" s="95" t="s">
        <v>814</v>
      </c>
    </row>
    <row r="1022" spans="1:9" x14ac:dyDescent="0.3">
      <c r="A1022" s="1" t="s">
        <v>96</v>
      </c>
      <c r="B1022" s="6"/>
      <c r="C1022" s="1">
        <v>-1</v>
      </c>
      <c r="D1022" s="105">
        <v>46279</v>
      </c>
      <c r="E1022" s="105">
        <f t="shared" si="42"/>
        <v>46286</v>
      </c>
      <c r="F1022" s="105">
        <v>46285</v>
      </c>
      <c r="G1022" s="2">
        <f t="shared" si="41"/>
        <v>46286</v>
      </c>
      <c r="H1022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46046</v>
      </c>
      <c r="I1022" s="95" t="s">
        <v>814</v>
      </c>
    </row>
    <row r="1023" spans="1:9" x14ac:dyDescent="0.3">
      <c r="A1023" s="1" t="s">
        <v>67</v>
      </c>
      <c r="B1023" s="6"/>
      <c r="C1023" s="1">
        <v>-1</v>
      </c>
      <c r="D1023" s="105">
        <v>46058</v>
      </c>
      <c r="E1023" s="105">
        <f t="shared" si="42"/>
        <v>46060</v>
      </c>
      <c r="F1023" s="105">
        <v>46059</v>
      </c>
      <c r="G1023" s="2">
        <f t="shared" si="41"/>
        <v>46060</v>
      </c>
      <c r="H1023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46050</v>
      </c>
      <c r="I1023" s="95" t="s">
        <v>815</v>
      </c>
    </row>
    <row r="1024" spans="1:9" x14ac:dyDescent="0.3">
      <c r="A1024" s="1" t="s">
        <v>71</v>
      </c>
      <c r="B1024" s="6"/>
      <c r="C1024" s="1">
        <v>-1</v>
      </c>
      <c r="D1024" s="105">
        <v>46062</v>
      </c>
      <c r="E1024" s="105">
        <f t="shared" si="42"/>
        <v>46065</v>
      </c>
      <c r="F1024" s="105">
        <v>46064</v>
      </c>
      <c r="G1024" s="2">
        <f t="shared" si="41"/>
        <v>46065</v>
      </c>
      <c r="H1024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46050</v>
      </c>
      <c r="I1024" s="95" t="s">
        <v>816</v>
      </c>
    </row>
    <row r="1025" spans="1:9" x14ac:dyDescent="0.3">
      <c r="A1025" s="1" t="s">
        <v>88</v>
      </c>
      <c r="B1025" s="6"/>
      <c r="C1025" s="1">
        <v>-1</v>
      </c>
      <c r="D1025" s="105">
        <v>46057</v>
      </c>
      <c r="E1025" s="105">
        <f t="shared" si="42"/>
        <v>46058</v>
      </c>
      <c r="F1025" s="105">
        <v>46057</v>
      </c>
      <c r="G1025" s="2">
        <f t="shared" si="41"/>
        <v>46058</v>
      </c>
      <c r="H1025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46050</v>
      </c>
      <c r="I1025" s="95" t="s">
        <v>817</v>
      </c>
    </row>
    <row r="1026" spans="1:9" x14ac:dyDescent="0.3">
      <c r="A1026" s="1" t="s">
        <v>289</v>
      </c>
      <c r="B1026" s="6"/>
      <c r="C1026" s="1">
        <v>-1</v>
      </c>
      <c r="D1026" s="105">
        <v>46188</v>
      </c>
      <c r="E1026" s="105">
        <f t="shared" si="42"/>
        <v>46266</v>
      </c>
      <c r="F1026" s="105">
        <v>46265</v>
      </c>
      <c r="G1026" s="2">
        <f t="shared" si="41"/>
        <v>46266</v>
      </c>
      <c r="H1026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46050</v>
      </c>
      <c r="I1026" s="95" t="s">
        <v>818</v>
      </c>
    </row>
    <row r="1027" spans="1:9" x14ac:dyDescent="0.3">
      <c r="A1027" s="1" t="s">
        <v>294</v>
      </c>
      <c r="B1027" s="6"/>
      <c r="C1027" s="1">
        <v>-1</v>
      </c>
      <c r="D1027" s="105">
        <v>46059</v>
      </c>
      <c r="E1027" s="105">
        <f t="shared" si="42"/>
        <v>46062</v>
      </c>
      <c r="F1027" s="105">
        <v>46061</v>
      </c>
      <c r="G1027" s="2">
        <f t="shared" si="41"/>
        <v>46062</v>
      </c>
      <c r="H1027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46051</v>
      </c>
      <c r="I1027" s="95" t="s">
        <v>819</v>
      </c>
    </row>
    <row r="1028" spans="1:9" x14ac:dyDescent="0.3">
      <c r="A1028" s="1" t="s">
        <v>294</v>
      </c>
      <c r="B1028" s="6"/>
      <c r="C1028" s="1">
        <v>-1</v>
      </c>
      <c r="D1028" s="105">
        <v>46080</v>
      </c>
      <c r="E1028" s="105">
        <f t="shared" si="42"/>
        <v>46081</v>
      </c>
      <c r="F1028" s="105">
        <v>46080</v>
      </c>
      <c r="G1028" s="2">
        <f t="shared" si="41"/>
        <v>46081</v>
      </c>
      <c r="H1028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46051</v>
      </c>
      <c r="I1028" s="95" t="s">
        <v>819</v>
      </c>
    </row>
    <row r="1029" spans="1:9" x14ac:dyDescent="0.3">
      <c r="A1029" s="1" t="s">
        <v>294</v>
      </c>
      <c r="B1029" s="6"/>
      <c r="C1029" s="1">
        <v>-1</v>
      </c>
      <c r="D1029" s="105">
        <v>46088</v>
      </c>
      <c r="E1029" s="105">
        <f t="shared" si="42"/>
        <v>46090</v>
      </c>
      <c r="F1029" s="105">
        <v>46089</v>
      </c>
      <c r="G1029" s="2">
        <f t="shared" si="41"/>
        <v>46090</v>
      </c>
      <c r="H1029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46051</v>
      </c>
      <c r="I1029" s="95" t="s">
        <v>819</v>
      </c>
    </row>
    <row r="1030" spans="1:9" x14ac:dyDescent="0.3">
      <c r="A1030" s="1" t="s">
        <v>294</v>
      </c>
      <c r="B1030" s="6"/>
      <c r="C1030" s="1">
        <v>-1</v>
      </c>
      <c r="D1030" s="105">
        <v>46095</v>
      </c>
      <c r="E1030" s="105">
        <f t="shared" si="42"/>
        <v>46096</v>
      </c>
      <c r="F1030" s="105">
        <v>46095</v>
      </c>
      <c r="G1030" s="2">
        <f t="shared" si="41"/>
        <v>46096</v>
      </c>
      <c r="H1030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46051</v>
      </c>
      <c r="I1030" s="95" t="s">
        <v>819</v>
      </c>
    </row>
    <row r="1031" spans="1:9" x14ac:dyDescent="0.3">
      <c r="A1031" s="1" t="s">
        <v>294</v>
      </c>
      <c r="B1031" s="6"/>
      <c r="C1031" s="1">
        <v>-1</v>
      </c>
      <c r="D1031" s="105">
        <v>46109</v>
      </c>
      <c r="E1031" s="105">
        <f t="shared" si="42"/>
        <v>46111</v>
      </c>
      <c r="F1031" s="105">
        <v>46110</v>
      </c>
      <c r="G1031" s="2">
        <f t="shared" si="41"/>
        <v>46111</v>
      </c>
      <c r="H1031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46051</v>
      </c>
      <c r="I1031" s="95" t="s">
        <v>819</v>
      </c>
    </row>
    <row r="1032" spans="1:9" x14ac:dyDescent="0.3">
      <c r="A1032" s="1" t="s">
        <v>820</v>
      </c>
      <c r="B1032" s="6"/>
      <c r="C1032" s="1">
        <v>-1</v>
      </c>
      <c r="D1032" s="105">
        <v>46071</v>
      </c>
      <c r="E1032" s="105">
        <f t="shared" si="42"/>
        <v>46081</v>
      </c>
      <c r="F1032" s="105">
        <v>46080</v>
      </c>
      <c r="G1032" s="2">
        <f t="shared" si="41"/>
        <v>46081</v>
      </c>
      <c r="H1032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46051</v>
      </c>
      <c r="I1032" s="95" t="s">
        <v>821</v>
      </c>
    </row>
    <row r="1033" spans="1:9" x14ac:dyDescent="0.3">
      <c r="A1033" s="1" t="s">
        <v>623</v>
      </c>
      <c r="B1033" s="6"/>
      <c r="C1033" s="1">
        <v>-1</v>
      </c>
      <c r="D1033" s="105">
        <v>46059</v>
      </c>
      <c r="E1033" s="105">
        <f t="shared" si="42"/>
        <v>46061</v>
      </c>
      <c r="F1033" s="105">
        <v>46060</v>
      </c>
      <c r="G1033" s="2">
        <f t="shared" si="41"/>
        <v>46061</v>
      </c>
      <c r="H1033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46047</v>
      </c>
      <c r="I1033" s="95" t="s">
        <v>822</v>
      </c>
    </row>
    <row r="1034" spans="1:9" x14ac:dyDescent="0.3">
      <c r="A1034" s="1" t="s">
        <v>623</v>
      </c>
      <c r="B1034" s="6"/>
      <c r="C1034" s="1">
        <v>-1</v>
      </c>
      <c r="D1034" s="105">
        <v>46067</v>
      </c>
      <c r="E1034" s="105">
        <f t="shared" si="42"/>
        <v>46068</v>
      </c>
      <c r="F1034" s="105">
        <v>46067</v>
      </c>
      <c r="G1034" s="2">
        <f t="shared" si="41"/>
        <v>46068</v>
      </c>
      <c r="H1034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46047</v>
      </c>
      <c r="I1034" s="95" t="s">
        <v>822</v>
      </c>
    </row>
    <row r="1035" spans="1:9" x14ac:dyDescent="0.3">
      <c r="A1035" s="1" t="s">
        <v>623</v>
      </c>
      <c r="B1035" s="6"/>
      <c r="C1035" s="1">
        <v>-1</v>
      </c>
      <c r="D1035" s="105">
        <v>46080</v>
      </c>
      <c r="E1035" s="105">
        <f t="shared" si="42"/>
        <v>46081</v>
      </c>
      <c r="F1035" s="105">
        <v>46080</v>
      </c>
      <c r="G1035" s="2">
        <f t="shared" si="41"/>
        <v>46081</v>
      </c>
      <c r="H1035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46047</v>
      </c>
      <c r="I1035" s="95" t="s">
        <v>822</v>
      </c>
    </row>
    <row r="1036" spans="1:9" x14ac:dyDescent="0.3">
      <c r="A1036" s="1" t="s">
        <v>623</v>
      </c>
      <c r="B1036" s="6"/>
      <c r="C1036" s="1">
        <v>-1</v>
      </c>
      <c r="D1036" s="105">
        <v>46099</v>
      </c>
      <c r="E1036" s="105">
        <f t="shared" si="42"/>
        <v>46100</v>
      </c>
      <c r="F1036" s="105">
        <v>46099</v>
      </c>
      <c r="G1036" s="2">
        <f t="shared" si="41"/>
        <v>46100</v>
      </c>
      <c r="H1036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46047</v>
      </c>
      <c r="I1036" s="95" t="s">
        <v>822</v>
      </c>
    </row>
    <row r="1037" spans="1:9" x14ac:dyDescent="0.3">
      <c r="A1037" s="1" t="s">
        <v>623</v>
      </c>
      <c r="B1037" s="6"/>
      <c r="C1037" s="1">
        <v>-1</v>
      </c>
      <c r="D1037" s="105">
        <v>46110</v>
      </c>
      <c r="E1037" s="105">
        <f t="shared" si="42"/>
        <v>46111</v>
      </c>
      <c r="F1037" s="105">
        <v>46110</v>
      </c>
      <c r="G1037" s="2">
        <f t="shared" si="41"/>
        <v>46111</v>
      </c>
      <c r="H1037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46047</v>
      </c>
      <c r="I1037" s="95" t="s">
        <v>822</v>
      </c>
    </row>
    <row r="1038" spans="1:9" x14ac:dyDescent="0.3">
      <c r="A1038" s="1" t="s">
        <v>623</v>
      </c>
      <c r="B1038" s="6"/>
      <c r="C1038" s="1">
        <v>-1</v>
      </c>
      <c r="D1038" s="105">
        <v>46111</v>
      </c>
      <c r="E1038" s="105">
        <f t="shared" si="42"/>
        <v>46123</v>
      </c>
      <c r="F1038" s="105">
        <v>46122</v>
      </c>
      <c r="G1038" s="2">
        <f t="shared" si="41"/>
        <v>46123</v>
      </c>
      <c r="H1038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46047</v>
      </c>
      <c r="I1038" s="95" t="s">
        <v>822</v>
      </c>
    </row>
    <row r="1039" spans="1:9" x14ac:dyDescent="0.3">
      <c r="A1039" s="1" t="s">
        <v>57</v>
      </c>
      <c r="B1039" s="6"/>
      <c r="C1039" s="1">
        <v>-1</v>
      </c>
      <c r="D1039" s="105">
        <v>46068</v>
      </c>
      <c r="E1039" s="105">
        <f t="shared" si="42"/>
        <v>46072</v>
      </c>
      <c r="F1039" s="105">
        <v>46071</v>
      </c>
      <c r="G1039" s="2">
        <f t="shared" si="41"/>
        <v>46072</v>
      </c>
      <c r="H1039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46047</v>
      </c>
      <c r="I1039" s="95" t="s">
        <v>823</v>
      </c>
    </row>
    <row r="1040" spans="1:9" x14ac:dyDescent="0.3">
      <c r="A1040" s="1" t="s">
        <v>57</v>
      </c>
      <c r="B1040" s="6"/>
      <c r="C1040" s="1">
        <v>-1</v>
      </c>
      <c r="D1040" s="105">
        <v>46083</v>
      </c>
      <c r="E1040" s="105">
        <f t="shared" si="42"/>
        <v>46085</v>
      </c>
      <c r="F1040" s="105">
        <v>46084</v>
      </c>
      <c r="G1040" s="2">
        <f t="shared" si="41"/>
        <v>46085</v>
      </c>
      <c r="H1040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46047</v>
      </c>
      <c r="I1040" s="95" t="s">
        <v>823</v>
      </c>
    </row>
    <row r="1041" spans="1:9" x14ac:dyDescent="0.3">
      <c r="A1041" s="1" t="s">
        <v>88</v>
      </c>
      <c r="B1041" s="6"/>
      <c r="C1041" s="1">
        <v>-1</v>
      </c>
      <c r="D1041" s="105">
        <v>46083</v>
      </c>
      <c r="E1041" s="105">
        <f t="shared" si="42"/>
        <v>46088</v>
      </c>
      <c r="F1041" s="105">
        <v>46087</v>
      </c>
      <c r="G1041" s="2">
        <f t="shared" si="41"/>
        <v>46088</v>
      </c>
      <c r="H1041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46048</v>
      </c>
      <c r="I1041" s="95" t="s">
        <v>824</v>
      </c>
    </row>
    <row r="1042" spans="1:9" x14ac:dyDescent="0.3">
      <c r="A1042" s="1" t="s">
        <v>295</v>
      </c>
      <c r="B1042" s="6"/>
      <c r="C1042" s="1">
        <v>-1</v>
      </c>
      <c r="D1042" s="105">
        <v>46143</v>
      </c>
      <c r="E1042" s="105">
        <f t="shared" si="42"/>
        <v>46388</v>
      </c>
      <c r="F1042" s="105">
        <v>46387</v>
      </c>
      <c r="G1042" s="2">
        <f t="shared" si="41"/>
        <v>46388</v>
      </c>
      <c r="H1042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46048</v>
      </c>
      <c r="I1042" s="95" t="s">
        <v>825</v>
      </c>
    </row>
    <row r="1043" spans="1:9" x14ac:dyDescent="0.3">
      <c r="A1043" s="1" t="s">
        <v>96</v>
      </c>
      <c r="B1043" s="6"/>
      <c r="C1043" s="1">
        <v>-1</v>
      </c>
      <c r="D1043" s="105">
        <v>46065</v>
      </c>
      <c r="E1043" s="105">
        <f t="shared" si="42"/>
        <v>46067</v>
      </c>
      <c r="F1043" s="105">
        <v>46066</v>
      </c>
      <c r="G1043" s="2">
        <f t="shared" si="41"/>
        <v>46067</v>
      </c>
      <c r="H1043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46048</v>
      </c>
      <c r="I1043" s="95" t="s">
        <v>826</v>
      </c>
    </row>
    <row r="1044" spans="1:9" x14ac:dyDescent="0.3">
      <c r="A1044" s="1" t="s">
        <v>57</v>
      </c>
      <c r="B1044" s="6"/>
      <c r="C1044" s="1">
        <v>-1</v>
      </c>
      <c r="D1044" s="105">
        <v>46062</v>
      </c>
      <c r="E1044" s="105">
        <f t="shared" si="42"/>
        <v>46068</v>
      </c>
      <c r="F1044" s="105">
        <v>46067</v>
      </c>
      <c r="G1044" s="2">
        <f t="shared" si="41"/>
        <v>46068</v>
      </c>
      <c r="H1044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46048</v>
      </c>
      <c r="I1044" s="95" t="s">
        <v>827</v>
      </c>
    </row>
    <row r="1045" spans="1:9" x14ac:dyDescent="0.3">
      <c r="A1045" s="1" t="s">
        <v>57</v>
      </c>
      <c r="B1045" s="6"/>
      <c r="C1045" s="1">
        <v>-1</v>
      </c>
      <c r="D1045" s="105">
        <v>46072</v>
      </c>
      <c r="E1045" s="105">
        <f t="shared" si="42"/>
        <v>46082</v>
      </c>
      <c r="F1045" s="105">
        <v>46081</v>
      </c>
      <c r="G1045" s="2">
        <f t="shared" si="41"/>
        <v>46082</v>
      </c>
      <c r="H1045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46048</v>
      </c>
      <c r="I1045" s="95" t="s">
        <v>827</v>
      </c>
    </row>
    <row r="1046" spans="1:9" x14ac:dyDescent="0.3">
      <c r="A1046" s="1" t="s">
        <v>57</v>
      </c>
      <c r="B1046" s="6"/>
      <c r="C1046" s="1">
        <v>-1</v>
      </c>
      <c r="D1046" s="105">
        <v>46098</v>
      </c>
      <c r="E1046" s="105">
        <f t="shared" si="42"/>
        <v>46106</v>
      </c>
      <c r="F1046" s="105">
        <v>46105</v>
      </c>
      <c r="G1046" s="2">
        <f t="shared" si="41"/>
        <v>46106</v>
      </c>
      <c r="H1046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46048</v>
      </c>
      <c r="I1046" s="95" t="s">
        <v>827</v>
      </c>
    </row>
    <row r="1047" spans="1:9" x14ac:dyDescent="0.3">
      <c r="A1047" s="1" t="s">
        <v>57</v>
      </c>
      <c r="B1047" s="6"/>
      <c r="C1047" s="1">
        <v>-1</v>
      </c>
      <c r="D1047" s="105">
        <v>46077</v>
      </c>
      <c r="E1047" s="105">
        <f t="shared" si="42"/>
        <v>46049</v>
      </c>
      <c r="F1047" s="105">
        <v>46048</v>
      </c>
      <c r="G1047" s="2">
        <f t="shared" si="41"/>
        <v>46049</v>
      </c>
      <c r="H1047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46048</v>
      </c>
      <c r="I1047" s="95" t="s">
        <v>827</v>
      </c>
    </row>
    <row r="1048" spans="1:9" x14ac:dyDescent="0.3">
      <c r="A1048" s="1" t="s">
        <v>57</v>
      </c>
      <c r="B1048" s="6"/>
      <c r="C1048" s="1">
        <v>-1</v>
      </c>
      <c r="D1048" s="105">
        <v>46077</v>
      </c>
      <c r="E1048" s="105">
        <f t="shared" si="42"/>
        <v>46082</v>
      </c>
      <c r="F1048" s="105">
        <v>46081</v>
      </c>
      <c r="G1048" s="2">
        <f t="shared" si="41"/>
        <v>46082</v>
      </c>
      <c r="H1048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46048</v>
      </c>
      <c r="I1048" s="95" t="s">
        <v>827</v>
      </c>
    </row>
    <row r="1049" spans="1:9" x14ac:dyDescent="0.3">
      <c r="A1049" s="1" t="s">
        <v>57</v>
      </c>
      <c r="B1049" s="6"/>
      <c r="C1049" s="1">
        <v>-1</v>
      </c>
      <c r="D1049" s="105">
        <v>46104</v>
      </c>
      <c r="E1049" s="105">
        <f t="shared" si="42"/>
        <v>46110</v>
      </c>
      <c r="F1049" s="105">
        <v>46109</v>
      </c>
      <c r="G1049" s="2">
        <f t="shared" si="41"/>
        <v>46110</v>
      </c>
      <c r="H1049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46048</v>
      </c>
      <c r="I1049" s="95" t="s">
        <v>827</v>
      </c>
    </row>
    <row r="1050" spans="1:9" x14ac:dyDescent="0.3">
      <c r="A1050" s="1" t="s">
        <v>57</v>
      </c>
      <c r="B1050" s="6"/>
      <c r="C1050" s="1">
        <v>-1</v>
      </c>
      <c r="D1050" s="105">
        <v>46116</v>
      </c>
      <c r="E1050" s="105">
        <f t="shared" si="42"/>
        <v>46120</v>
      </c>
      <c r="F1050" s="105">
        <v>46119</v>
      </c>
      <c r="G1050" s="2">
        <f t="shared" si="41"/>
        <v>46120</v>
      </c>
      <c r="H1050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46048</v>
      </c>
      <c r="I1050" s="95" t="s">
        <v>827</v>
      </c>
    </row>
    <row r="1051" spans="1:9" x14ac:dyDescent="0.3">
      <c r="A1051" s="1" t="s">
        <v>623</v>
      </c>
      <c r="B1051" s="6"/>
      <c r="C1051" s="1">
        <v>-1</v>
      </c>
      <c r="D1051" s="105">
        <v>46058</v>
      </c>
      <c r="E1051" s="105">
        <f t="shared" si="42"/>
        <v>46060</v>
      </c>
      <c r="F1051" s="105">
        <v>46059</v>
      </c>
      <c r="G1051" s="2">
        <f t="shared" si="41"/>
        <v>46060</v>
      </c>
      <c r="H1051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46048</v>
      </c>
      <c r="I1051" s="95" t="s">
        <v>828</v>
      </c>
    </row>
    <row r="1052" spans="1:9" x14ac:dyDescent="0.3">
      <c r="A1052" s="1" t="s">
        <v>623</v>
      </c>
      <c r="B1052" s="6"/>
      <c r="C1052" s="1">
        <v>-1</v>
      </c>
      <c r="D1052" s="105">
        <v>46115</v>
      </c>
      <c r="E1052" s="105">
        <f t="shared" si="42"/>
        <v>46119</v>
      </c>
      <c r="F1052" s="105">
        <v>46118</v>
      </c>
      <c r="G1052" s="2">
        <f t="shared" si="41"/>
        <v>46119</v>
      </c>
      <c r="H1052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46048</v>
      </c>
      <c r="I1052" s="95" t="s">
        <v>828</v>
      </c>
    </row>
    <row r="1053" spans="1:9" x14ac:dyDescent="0.3">
      <c r="A1053" s="1" t="s">
        <v>148</v>
      </c>
      <c r="B1053" s="6"/>
      <c r="C1053" s="1">
        <v>-1</v>
      </c>
      <c r="D1053" s="105">
        <v>46084</v>
      </c>
      <c r="E1053" s="105">
        <f t="shared" si="42"/>
        <v>46096</v>
      </c>
      <c r="F1053" s="105">
        <v>46095</v>
      </c>
      <c r="G1053" s="2">
        <f t="shared" si="41"/>
        <v>46096</v>
      </c>
      <c r="H1053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46049</v>
      </c>
      <c r="I1053" s="95" t="s">
        <v>829</v>
      </c>
    </row>
    <row r="1054" spans="1:9" x14ac:dyDescent="0.3">
      <c r="A1054" s="1" t="s">
        <v>303</v>
      </c>
      <c r="B1054" s="6"/>
      <c r="C1054" s="1">
        <v>-1</v>
      </c>
      <c r="D1054" s="105">
        <v>46087</v>
      </c>
      <c r="E1054" s="105">
        <f t="shared" si="42"/>
        <v>46089</v>
      </c>
      <c r="F1054" s="105">
        <v>46088</v>
      </c>
      <c r="G1054" s="2">
        <f t="shared" si="41"/>
        <v>46089</v>
      </c>
      <c r="H1054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46051</v>
      </c>
      <c r="I1054" s="95" t="s">
        <v>830</v>
      </c>
    </row>
    <row r="1055" spans="1:9" x14ac:dyDescent="0.3">
      <c r="A1055" s="1" t="s">
        <v>303</v>
      </c>
      <c r="B1055" s="6"/>
      <c r="C1055" s="1">
        <v>-1</v>
      </c>
      <c r="D1055" s="105">
        <v>46093</v>
      </c>
      <c r="E1055" s="105">
        <f t="shared" si="42"/>
        <v>46102</v>
      </c>
      <c r="F1055" s="105">
        <v>46101</v>
      </c>
      <c r="G1055" s="2">
        <f t="shared" si="41"/>
        <v>46102</v>
      </c>
      <c r="H1055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46051</v>
      </c>
      <c r="I1055" s="95" t="s">
        <v>830</v>
      </c>
    </row>
    <row r="1056" spans="1:9" x14ac:dyDescent="0.3">
      <c r="A1056" s="1" t="s">
        <v>121</v>
      </c>
      <c r="B1056" s="6"/>
      <c r="C1056" s="1">
        <v>-1</v>
      </c>
      <c r="D1056" s="105">
        <v>46060</v>
      </c>
      <c r="E1056" s="105">
        <f t="shared" si="42"/>
        <v>46062</v>
      </c>
      <c r="F1056" s="105">
        <v>46061</v>
      </c>
      <c r="G1056" s="2">
        <f t="shared" si="41"/>
        <v>46062</v>
      </c>
      <c r="H1056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46051</v>
      </c>
      <c r="I1056" s="95" t="s">
        <v>831</v>
      </c>
    </row>
    <row r="1057" spans="1:9" x14ac:dyDescent="0.3">
      <c r="A1057" s="1" t="s">
        <v>95</v>
      </c>
      <c r="B1057" s="6"/>
      <c r="C1057" s="1">
        <v>-1</v>
      </c>
      <c r="D1057" s="105">
        <v>46072</v>
      </c>
      <c r="E1057" s="105">
        <f t="shared" si="42"/>
        <v>46075</v>
      </c>
      <c r="F1057" s="105">
        <v>46074</v>
      </c>
      <c r="G1057" s="2">
        <f t="shared" si="41"/>
        <v>46075</v>
      </c>
      <c r="H1057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46051</v>
      </c>
      <c r="I1057" s="95" t="s">
        <v>832</v>
      </c>
    </row>
    <row r="1058" spans="1:9" x14ac:dyDescent="0.3">
      <c r="A1058" s="1" t="s">
        <v>95</v>
      </c>
      <c r="B1058" s="6"/>
      <c r="C1058" s="1">
        <v>-1</v>
      </c>
      <c r="D1058" s="105">
        <v>46171.041666666599</v>
      </c>
      <c r="E1058" s="105">
        <f t="shared" si="42"/>
        <v>46173</v>
      </c>
      <c r="F1058" s="105">
        <v>46172</v>
      </c>
      <c r="G1058" s="2">
        <f t="shared" si="41"/>
        <v>46173</v>
      </c>
      <c r="H1058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46051</v>
      </c>
      <c r="I1058" s="95" t="s">
        <v>832</v>
      </c>
    </row>
    <row r="1059" spans="1:9" x14ac:dyDescent="0.3">
      <c r="A1059" s="1" t="s">
        <v>95</v>
      </c>
      <c r="B1059" s="6"/>
      <c r="C1059" s="1">
        <v>-1</v>
      </c>
      <c r="D1059" s="105">
        <v>46265</v>
      </c>
      <c r="E1059" s="105">
        <f t="shared" si="42"/>
        <v>46272</v>
      </c>
      <c r="F1059" s="105">
        <v>46271</v>
      </c>
      <c r="G1059" s="2">
        <f t="shared" si="41"/>
        <v>46272</v>
      </c>
      <c r="H1059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46051</v>
      </c>
      <c r="I1059" s="95" t="s">
        <v>832</v>
      </c>
    </row>
    <row r="1060" spans="1:9" x14ac:dyDescent="0.3">
      <c r="A1060" s="1" t="s">
        <v>95</v>
      </c>
      <c r="B1060" s="6"/>
      <c r="C1060" s="1">
        <v>-1</v>
      </c>
      <c r="D1060" s="105">
        <v>46309</v>
      </c>
      <c r="E1060" s="105">
        <f t="shared" si="42"/>
        <v>46313</v>
      </c>
      <c r="F1060" s="105">
        <v>46312</v>
      </c>
      <c r="G1060" s="2">
        <f t="shared" ref="G1060:G1123" si="43">F1060+1</f>
        <v>46313</v>
      </c>
      <c r="H1060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46051</v>
      </c>
      <c r="I1060" s="95" t="s">
        <v>832</v>
      </c>
    </row>
    <row r="1061" spans="1:9" x14ac:dyDescent="0.3">
      <c r="A1061" s="1" t="s">
        <v>95</v>
      </c>
      <c r="B1061" s="6"/>
      <c r="C1061" s="1">
        <v>-1</v>
      </c>
      <c r="D1061" s="105">
        <v>46133</v>
      </c>
      <c r="E1061" s="105">
        <f t="shared" si="42"/>
        <v>46138</v>
      </c>
      <c r="F1061" s="105">
        <v>46137</v>
      </c>
      <c r="G1061" s="2">
        <f t="shared" si="43"/>
        <v>46138</v>
      </c>
      <c r="H1061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46051</v>
      </c>
      <c r="I1061" s="95" t="s">
        <v>832</v>
      </c>
    </row>
    <row r="1062" spans="1:9" x14ac:dyDescent="0.3">
      <c r="A1062" s="1" t="s">
        <v>88</v>
      </c>
      <c r="B1062" s="6"/>
      <c r="C1062" s="1">
        <v>-1</v>
      </c>
      <c r="D1062" s="105">
        <v>46058</v>
      </c>
      <c r="E1062" s="105">
        <f t="shared" si="42"/>
        <v>46064</v>
      </c>
      <c r="F1062" s="105">
        <v>46063</v>
      </c>
      <c r="G1062" s="2">
        <f t="shared" si="43"/>
        <v>46064</v>
      </c>
      <c r="H1062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46051</v>
      </c>
      <c r="I1062" s="95" t="s">
        <v>833</v>
      </c>
    </row>
    <row r="1063" spans="1:9" x14ac:dyDescent="0.3">
      <c r="A1063" s="1" t="s">
        <v>88</v>
      </c>
      <c r="B1063" s="6"/>
      <c r="C1063" s="1">
        <v>-1</v>
      </c>
      <c r="D1063" s="105">
        <v>46083</v>
      </c>
      <c r="E1063" s="105">
        <f t="shared" si="42"/>
        <v>46092</v>
      </c>
      <c r="F1063" s="105">
        <v>46091</v>
      </c>
      <c r="G1063" s="2">
        <f t="shared" si="43"/>
        <v>46092</v>
      </c>
      <c r="H1063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46051</v>
      </c>
      <c r="I1063" s="95" t="s">
        <v>833</v>
      </c>
    </row>
    <row r="1064" spans="1:9" x14ac:dyDescent="0.3">
      <c r="A1064" s="1" t="s">
        <v>88</v>
      </c>
      <c r="B1064" s="6"/>
      <c r="C1064" s="1">
        <v>-1</v>
      </c>
      <c r="D1064" s="105">
        <v>46088</v>
      </c>
      <c r="E1064" s="105">
        <f t="shared" si="42"/>
        <v>46092</v>
      </c>
      <c r="F1064" s="105">
        <v>46091</v>
      </c>
      <c r="G1064" s="2">
        <f t="shared" si="43"/>
        <v>46092</v>
      </c>
      <c r="H1064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46052</v>
      </c>
      <c r="I1064" s="95" t="s">
        <v>834</v>
      </c>
    </row>
    <row r="1065" spans="1:9" x14ac:dyDescent="0.3">
      <c r="A1065" s="1" t="s">
        <v>294</v>
      </c>
      <c r="B1065" s="6"/>
      <c r="C1065" s="1">
        <v>-1</v>
      </c>
      <c r="D1065" s="105">
        <v>46063</v>
      </c>
      <c r="E1065" s="105">
        <f t="shared" si="42"/>
        <v>46066</v>
      </c>
      <c r="F1065" s="105">
        <v>46065</v>
      </c>
      <c r="G1065" s="2">
        <f t="shared" si="43"/>
        <v>46066</v>
      </c>
      <c r="H1065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46052</v>
      </c>
      <c r="I1065" s="95" t="s">
        <v>835</v>
      </c>
    </row>
    <row r="1066" spans="1:9" x14ac:dyDescent="0.3">
      <c r="A1066" s="1" t="s">
        <v>294</v>
      </c>
      <c r="B1066" s="6"/>
      <c r="C1066" s="1">
        <v>-1</v>
      </c>
      <c r="D1066" s="105">
        <v>46084</v>
      </c>
      <c r="E1066" s="105">
        <f t="shared" si="42"/>
        <v>46085</v>
      </c>
      <c r="F1066" s="105">
        <v>46084</v>
      </c>
      <c r="G1066" s="2">
        <f t="shared" si="43"/>
        <v>46085</v>
      </c>
      <c r="H1066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46052</v>
      </c>
      <c r="I1066" s="95" t="s">
        <v>835</v>
      </c>
    </row>
    <row r="1067" spans="1:9" x14ac:dyDescent="0.3">
      <c r="A1067" s="1" t="s">
        <v>820</v>
      </c>
      <c r="B1067" s="6"/>
      <c r="C1067" s="1">
        <v>-1</v>
      </c>
      <c r="D1067" s="105">
        <v>46085</v>
      </c>
      <c r="E1067" s="105">
        <f t="shared" si="42"/>
        <v>46089</v>
      </c>
      <c r="F1067" s="105">
        <v>46088</v>
      </c>
      <c r="G1067" s="2">
        <f t="shared" si="43"/>
        <v>46089</v>
      </c>
      <c r="H1067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46047</v>
      </c>
      <c r="I1067" s="95" t="s">
        <v>836</v>
      </c>
    </row>
    <row r="1068" spans="1:9" x14ac:dyDescent="0.3">
      <c r="A1068" s="1" t="s">
        <v>820</v>
      </c>
      <c r="B1068" s="6"/>
      <c r="C1068" s="1">
        <v>-1</v>
      </c>
      <c r="D1068" s="105">
        <v>46112</v>
      </c>
      <c r="E1068" s="105">
        <f t="shared" si="42"/>
        <v>46116</v>
      </c>
      <c r="F1068" s="105">
        <v>46115</v>
      </c>
      <c r="G1068" s="2">
        <f t="shared" si="43"/>
        <v>46116</v>
      </c>
      <c r="H1068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46047</v>
      </c>
      <c r="I1068" s="95" t="s">
        <v>836</v>
      </c>
    </row>
    <row r="1069" spans="1:9" x14ac:dyDescent="0.3">
      <c r="A1069" s="1" t="s">
        <v>837</v>
      </c>
      <c r="B1069" s="6"/>
      <c r="C1069" s="1">
        <v>-1</v>
      </c>
      <c r="D1069" s="105">
        <v>46100</v>
      </c>
      <c r="E1069" s="105">
        <f t="shared" si="42"/>
        <v>46105</v>
      </c>
      <c r="F1069" s="105">
        <v>46104</v>
      </c>
      <c r="G1069" s="2">
        <f t="shared" si="43"/>
        <v>46105</v>
      </c>
      <c r="H1069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46048</v>
      </c>
      <c r="I1069" s="95" t="s">
        <v>838</v>
      </c>
    </row>
    <row r="1070" spans="1:9" x14ac:dyDescent="0.3">
      <c r="A1070" s="1" t="s">
        <v>837</v>
      </c>
      <c r="B1070" s="6"/>
      <c r="C1070" s="1">
        <v>-1</v>
      </c>
      <c r="D1070" s="105">
        <v>46102</v>
      </c>
      <c r="E1070" s="105">
        <f t="shared" si="42"/>
        <v>46106</v>
      </c>
      <c r="F1070" s="105">
        <v>46105</v>
      </c>
      <c r="G1070" s="2">
        <f t="shared" si="43"/>
        <v>46106</v>
      </c>
      <c r="H1070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46048</v>
      </c>
      <c r="I1070" s="95" t="s">
        <v>838</v>
      </c>
    </row>
    <row r="1071" spans="1:9" x14ac:dyDescent="0.3">
      <c r="A1071" s="1" t="s">
        <v>295</v>
      </c>
      <c r="B1071" s="6"/>
      <c r="C1071" s="1">
        <v>-1</v>
      </c>
      <c r="D1071" s="105">
        <v>46143</v>
      </c>
      <c r="E1071" s="105">
        <f t="shared" si="42"/>
        <v>46266</v>
      </c>
      <c r="F1071" s="105">
        <v>46265</v>
      </c>
      <c r="G1071" s="2">
        <f t="shared" si="43"/>
        <v>46266</v>
      </c>
      <c r="H1071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46048</v>
      </c>
      <c r="I1071" s="95" t="s">
        <v>825</v>
      </c>
    </row>
    <row r="1072" spans="1:9" x14ac:dyDescent="0.3">
      <c r="A1072" s="1" t="s">
        <v>148</v>
      </c>
      <c r="B1072" s="6"/>
      <c r="C1072" s="1">
        <v>-1</v>
      </c>
      <c r="D1072" s="105">
        <v>46084</v>
      </c>
      <c r="E1072" s="105">
        <f t="shared" si="42"/>
        <v>46096</v>
      </c>
      <c r="F1072" s="105">
        <v>46095</v>
      </c>
      <c r="G1072" s="2">
        <f t="shared" si="43"/>
        <v>46096</v>
      </c>
      <c r="H1072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46049</v>
      </c>
      <c r="I1072" s="95" t="s">
        <v>829</v>
      </c>
    </row>
    <row r="1073" spans="1:9" x14ac:dyDescent="0.3">
      <c r="A1073" s="1" t="s">
        <v>127</v>
      </c>
      <c r="B1073" s="6"/>
      <c r="C1073" s="1">
        <v>-1</v>
      </c>
      <c r="D1073" s="105">
        <v>46082</v>
      </c>
      <c r="E1073" s="105">
        <f t="shared" si="42"/>
        <v>46113</v>
      </c>
      <c r="F1073" s="105">
        <v>46112</v>
      </c>
      <c r="G1073" s="2">
        <f t="shared" si="43"/>
        <v>46113</v>
      </c>
      <c r="H1073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46049</v>
      </c>
      <c r="I1073" s="95" t="s">
        <v>839</v>
      </c>
    </row>
    <row r="1074" spans="1:9" x14ac:dyDescent="0.3">
      <c r="A1074" s="1" t="s">
        <v>127</v>
      </c>
      <c r="B1074" s="6"/>
      <c r="C1074" s="1">
        <v>-1</v>
      </c>
      <c r="D1074" s="105">
        <v>46113</v>
      </c>
      <c r="E1074" s="105">
        <f t="shared" si="42"/>
        <v>46127</v>
      </c>
      <c r="F1074" s="105">
        <v>46126</v>
      </c>
      <c r="G1074" s="2">
        <f t="shared" si="43"/>
        <v>46127</v>
      </c>
      <c r="H1074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46049</v>
      </c>
      <c r="I1074" s="95" t="s">
        <v>839</v>
      </c>
    </row>
    <row r="1075" spans="1:9" x14ac:dyDescent="0.3">
      <c r="A1075" s="1" t="s">
        <v>127</v>
      </c>
      <c r="B1075" s="6"/>
      <c r="C1075" s="1">
        <v>-1</v>
      </c>
      <c r="D1075" s="105">
        <v>46143</v>
      </c>
      <c r="E1075" s="105">
        <f t="shared" si="42"/>
        <v>46144</v>
      </c>
      <c r="F1075" s="105">
        <v>46143</v>
      </c>
      <c r="G1075" s="2">
        <f t="shared" si="43"/>
        <v>46144</v>
      </c>
      <c r="H1075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46049</v>
      </c>
      <c r="I1075" s="95" t="s">
        <v>839</v>
      </c>
    </row>
    <row r="1076" spans="1:9" x14ac:dyDescent="0.3">
      <c r="A1076" s="1" t="s">
        <v>127</v>
      </c>
      <c r="B1076" s="6"/>
      <c r="C1076" s="1">
        <v>-1</v>
      </c>
      <c r="D1076" s="105">
        <v>46158</v>
      </c>
      <c r="E1076" s="105">
        <f t="shared" si="42"/>
        <v>46159</v>
      </c>
      <c r="F1076" s="105">
        <v>46158</v>
      </c>
      <c r="G1076" s="2">
        <f t="shared" si="43"/>
        <v>46159</v>
      </c>
      <c r="H1076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46049</v>
      </c>
      <c r="I1076" s="95" t="s">
        <v>839</v>
      </c>
    </row>
    <row r="1077" spans="1:9" x14ac:dyDescent="0.3">
      <c r="A1077" s="1" t="s">
        <v>127</v>
      </c>
      <c r="B1077" s="6"/>
      <c r="C1077" s="1">
        <v>-1</v>
      </c>
      <c r="D1077" s="105">
        <v>46240</v>
      </c>
      <c r="E1077" s="105">
        <f t="shared" si="42"/>
        <v>46243</v>
      </c>
      <c r="F1077" s="105">
        <v>46242</v>
      </c>
      <c r="G1077" s="2">
        <f t="shared" si="43"/>
        <v>46243</v>
      </c>
      <c r="H1077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46049</v>
      </c>
      <c r="I1077" s="95" t="s">
        <v>839</v>
      </c>
    </row>
    <row r="1078" spans="1:9" x14ac:dyDescent="0.3">
      <c r="A1078" s="1" t="s">
        <v>127</v>
      </c>
      <c r="B1078" s="6"/>
      <c r="C1078" s="1">
        <v>-1</v>
      </c>
      <c r="D1078" s="105">
        <v>46245</v>
      </c>
      <c r="E1078" s="105">
        <f t="shared" si="42"/>
        <v>46246</v>
      </c>
      <c r="F1078" s="105">
        <v>46245</v>
      </c>
      <c r="G1078" s="2">
        <f t="shared" si="43"/>
        <v>46246</v>
      </c>
      <c r="H1078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46049</v>
      </c>
      <c r="I1078" s="95" t="s">
        <v>839</v>
      </c>
    </row>
    <row r="1079" spans="1:9" x14ac:dyDescent="0.3">
      <c r="A1079" s="1" t="s">
        <v>127</v>
      </c>
      <c r="B1079" s="6"/>
      <c r="C1079" s="1">
        <v>-1</v>
      </c>
      <c r="D1079" s="105">
        <v>46200</v>
      </c>
      <c r="E1079" s="105">
        <f t="shared" si="42"/>
        <v>46201</v>
      </c>
      <c r="F1079" s="105">
        <v>46200</v>
      </c>
      <c r="G1079" s="2">
        <f t="shared" si="43"/>
        <v>46201</v>
      </c>
      <c r="H1079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46049</v>
      </c>
      <c r="I1079" s="95" t="s">
        <v>839</v>
      </c>
    </row>
    <row r="1080" spans="1:9" x14ac:dyDescent="0.3">
      <c r="A1080" s="1" t="s">
        <v>57</v>
      </c>
      <c r="B1080" s="6"/>
      <c r="C1080" s="1">
        <v>-1</v>
      </c>
      <c r="D1080" s="105">
        <v>46105</v>
      </c>
      <c r="E1080" s="105">
        <f t="shared" si="42"/>
        <v>46113</v>
      </c>
      <c r="F1080" s="105">
        <v>46112</v>
      </c>
      <c r="G1080" s="2">
        <f t="shared" si="43"/>
        <v>46113</v>
      </c>
      <c r="H1080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46049</v>
      </c>
      <c r="I1080" s="95" t="s">
        <v>840</v>
      </c>
    </row>
    <row r="1081" spans="1:9" x14ac:dyDescent="0.3">
      <c r="A1081" s="1" t="s">
        <v>148</v>
      </c>
      <c r="B1081" s="6"/>
      <c r="C1081" s="1">
        <v>-1</v>
      </c>
      <c r="D1081" s="105">
        <v>46104</v>
      </c>
      <c r="E1081" s="105">
        <f t="shared" si="42"/>
        <v>46105</v>
      </c>
      <c r="F1081" s="105">
        <v>46104</v>
      </c>
      <c r="G1081" s="2">
        <f t="shared" si="43"/>
        <v>46105</v>
      </c>
      <c r="H1081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46053</v>
      </c>
      <c r="I1081" s="95" t="s">
        <v>841</v>
      </c>
    </row>
    <row r="1082" spans="1:9" x14ac:dyDescent="0.3">
      <c r="A1082" s="1" t="s">
        <v>88</v>
      </c>
      <c r="B1082" s="6"/>
      <c r="C1082" s="1">
        <v>-1</v>
      </c>
      <c r="D1082" s="105">
        <v>46071</v>
      </c>
      <c r="E1082" s="105">
        <f t="shared" si="42"/>
        <v>46075</v>
      </c>
      <c r="F1082" s="105">
        <v>46074</v>
      </c>
      <c r="G1082" s="2">
        <f t="shared" si="43"/>
        <v>46075</v>
      </c>
      <c r="H1082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46046</v>
      </c>
      <c r="I1082" s="95" t="s">
        <v>842</v>
      </c>
    </row>
    <row r="1083" spans="1:9" x14ac:dyDescent="0.3">
      <c r="A1083" s="1" t="s">
        <v>113</v>
      </c>
      <c r="B1083" s="6"/>
      <c r="C1083" s="1">
        <v>-1</v>
      </c>
      <c r="D1083" s="105">
        <v>46125</v>
      </c>
      <c r="E1083" s="105">
        <f t="shared" ref="E1083:E1146" si="44">G1083</f>
        <v>46132</v>
      </c>
      <c r="F1083" s="105">
        <v>46131</v>
      </c>
      <c r="G1083" s="2">
        <f t="shared" si="43"/>
        <v>46132</v>
      </c>
      <c r="H1083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46049</v>
      </c>
      <c r="I1083" s="95" t="s">
        <v>843</v>
      </c>
    </row>
    <row r="1084" spans="1:9" x14ac:dyDescent="0.3">
      <c r="A1084" s="1" t="s">
        <v>113</v>
      </c>
      <c r="B1084" s="6"/>
      <c r="C1084" s="1">
        <v>-1</v>
      </c>
      <c r="D1084" s="105">
        <v>46106</v>
      </c>
      <c r="E1084" s="105">
        <f t="shared" si="44"/>
        <v>46108</v>
      </c>
      <c r="F1084" s="105">
        <v>46107</v>
      </c>
      <c r="G1084" s="2">
        <f t="shared" si="43"/>
        <v>46108</v>
      </c>
      <c r="H1084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46049</v>
      </c>
      <c r="I1084" s="95" t="s">
        <v>843</v>
      </c>
    </row>
    <row r="1085" spans="1:9" x14ac:dyDescent="0.3">
      <c r="A1085" s="1" t="s">
        <v>113</v>
      </c>
      <c r="B1085" s="6"/>
      <c r="C1085" s="1">
        <v>-1</v>
      </c>
      <c r="D1085" s="105">
        <v>46115</v>
      </c>
      <c r="E1085" s="105">
        <f t="shared" si="44"/>
        <v>46116</v>
      </c>
      <c r="F1085" s="105">
        <v>46115</v>
      </c>
      <c r="G1085" s="2">
        <f t="shared" si="43"/>
        <v>46116</v>
      </c>
      <c r="H1085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46049</v>
      </c>
      <c r="I1085" s="95" t="s">
        <v>843</v>
      </c>
    </row>
    <row r="1086" spans="1:9" x14ac:dyDescent="0.3">
      <c r="A1086" s="1" t="s">
        <v>295</v>
      </c>
      <c r="B1086" s="6"/>
      <c r="C1086" s="1">
        <v>-1</v>
      </c>
      <c r="D1086" s="105">
        <v>46143</v>
      </c>
      <c r="E1086" s="105">
        <f t="shared" si="44"/>
        <v>46266</v>
      </c>
      <c r="F1086" s="105">
        <v>46265</v>
      </c>
      <c r="G1086" s="2">
        <f t="shared" si="43"/>
        <v>46266</v>
      </c>
      <c r="H1086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46050</v>
      </c>
      <c r="I1086" s="95" t="s">
        <v>844</v>
      </c>
    </row>
    <row r="1087" spans="1:9" x14ac:dyDescent="0.3">
      <c r="A1087" s="1" t="s">
        <v>62</v>
      </c>
      <c r="B1087" s="6"/>
      <c r="C1087" s="1">
        <v>-1</v>
      </c>
      <c r="D1087" s="105">
        <v>46062</v>
      </c>
      <c r="E1087" s="105">
        <f t="shared" si="44"/>
        <v>46065</v>
      </c>
      <c r="F1087" s="105">
        <v>46064</v>
      </c>
      <c r="G1087" s="2">
        <f t="shared" si="43"/>
        <v>46065</v>
      </c>
      <c r="H1087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46050</v>
      </c>
      <c r="I1087" s="95" t="s">
        <v>816</v>
      </c>
    </row>
    <row r="1088" spans="1:9" x14ac:dyDescent="0.3">
      <c r="A1088" s="1" t="s">
        <v>88</v>
      </c>
      <c r="B1088" s="6"/>
      <c r="C1088" s="1">
        <v>-1</v>
      </c>
      <c r="D1088" s="105">
        <v>46057</v>
      </c>
      <c r="E1088" s="105">
        <f t="shared" si="44"/>
        <v>46058</v>
      </c>
      <c r="F1088" s="105">
        <v>46057</v>
      </c>
      <c r="G1088" s="2">
        <f t="shared" si="43"/>
        <v>46058</v>
      </c>
      <c r="H1088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46050</v>
      </c>
      <c r="I1088" s="95" t="s">
        <v>817</v>
      </c>
    </row>
    <row r="1089" spans="1:9" x14ac:dyDescent="0.3">
      <c r="A1089" s="1" t="s">
        <v>301</v>
      </c>
      <c r="B1089" s="6"/>
      <c r="C1089" s="1">
        <v>-1</v>
      </c>
      <c r="D1089" s="105">
        <v>46143</v>
      </c>
      <c r="E1089" s="105">
        <f t="shared" si="44"/>
        <v>46204</v>
      </c>
      <c r="F1089" s="105">
        <v>46203</v>
      </c>
      <c r="G1089" s="2">
        <f t="shared" si="43"/>
        <v>46204</v>
      </c>
      <c r="H1089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46051</v>
      </c>
      <c r="I1089" s="95" t="s">
        <v>845</v>
      </c>
    </row>
    <row r="1090" spans="1:9" x14ac:dyDescent="0.3">
      <c r="A1090" s="1" t="s">
        <v>294</v>
      </c>
      <c r="B1090" s="6"/>
      <c r="C1090" s="1">
        <v>-1</v>
      </c>
      <c r="D1090" s="105">
        <v>46059</v>
      </c>
      <c r="E1090" s="105">
        <f t="shared" si="44"/>
        <v>46062</v>
      </c>
      <c r="F1090" s="105">
        <v>46061</v>
      </c>
      <c r="G1090" s="2">
        <f t="shared" si="43"/>
        <v>46062</v>
      </c>
      <c r="H1090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46051</v>
      </c>
      <c r="I1090" s="95" t="s">
        <v>819</v>
      </c>
    </row>
    <row r="1091" spans="1:9" x14ac:dyDescent="0.3">
      <c r="A1091" s="1" t="s">
        <v>294</v>
      </c>
      <c r="B1091" s="6"/>
      <c r="C1091" s="1">
        <v>-1</v>
      </c>
      <c r="D1091" s="105">
        <v>46080</v>
      </c>
      <c r="E1091" s="105">
        <f t="shared" si="44"/>
        <v>46081</v>
      </c>
      <c r="F1091" s="105">
        <v>46080</v>
      </c>
      <c r="G1091" s="2">
        <f t="shared" si="43"/>
        <v>46081</v>
      </c>
      <c r="H1091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46051</v>
      </c>
      <c r="I1091" s="95" t="s">
        <v>819</v>
      </c>
    </row>
    <row r="1092" spans="1:9" x14ac:dyDescent="0.3">
      <c r="A1092" s="1" t="s">
        <v>294</v>
      </c>
      <c r="B1092" s="6"/>
      <c r="C1092" s="1">
        <v>-1</v>
      </c>
      <c r="D1092" s="105">
        <v>46088</v>
      </c>
      <c r="E1092" s="105">
        <f t="shared" si="44"/>
        <v>46090</v>
      </c>
      <c r="F1092" s="105">
        <v>46089</v>
      </c>
      <c r="G1092" s="2">
        <f t="shared" si="43"/>
        <v>46090</v>
      </c>
      <c r="H1092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46051</v>
      </c>
      <c r="I1092" s="95" t="s">
        <v>819</v>
      </c>
    </row>
    <row r="1093" spans="1:9" x14ac:dyDescent="0.3">
      <c r="A1093" s="1" t="s">
        <v>294</v>
      </c>
      <c r="B1093" s="6"/>
      <c r="C1093" s="1">
        <v>-1</v>
      </c>
      <c r="D1093" s="105">
        <v>46095</v>
      </c>
      <c r="E1093" s="105">
        <f t="shared" si="44"/>
        <v>46096</v>
      </c>
      <c r="F1093" s="105">
        <v>46095</v>
      </c>
      <c r="G1093" s="2">
        <f t="shared" si="43"/>
        <v>46096</v>
      </c>
      <c r="H1093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46051</v>
      </c>
      <c r="I1093" s="95" t="s">
        <v>819</v>
      </c>
    </row>
    <row r="1094" spans="1:9" x14ac:dyDescent="0.3">
      <c r="A1094" s="1" t="s">
        <v>294</v>
      </c>
      <c r="B1094" s="6"/>
      <c r="C1094" s="1">
        <v>-1</v>
      </c>
      <c r="D1094" s="105">
        <v>46109</v>
      </c>
      <c r="E1094" s="105">
        <f t="shared" si="44"/>
        <v>46111</v>
      </c>
      <c r="F1094" s="105">
        <v>46110</v>
      </c>
      <c r="G1094" s="2">
        <f t="shared" si="43"/>
        <v>46111</v>
      </c>
      <c r="H1094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46051</v>
      </c>
      <c r="I1094" s="95" t="s">
        <v>819</v>
      </c>
    </row>
    <row r="1095" spans="1:9" x14ac:dyDescent="0.3">
      <c r="A1095" s="1" t="s">
        <v>846</v>
      </c>
      <c r="B1095" s="6"/>
      <c r="C1095" s="1">
        <v>-1</v>
      </c>
      <c r="D1095" s="105">
        <v>46071</v>
      </c>
      <c r="E1095" s="105">
        <f t="shared" si="44"/>
        <v>46081</v>
      </c>
      <c r="F1095" s="105">
        <v>46080</v>
      </c>
      <c r="G1095" s="2">
        <f t="shared" si="43"/>
        <v>46081</v>
      </c>
      <c r="H1095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46051</v>
      </c>
      <c r="I1095" s="95" t="s">
        <v>821</v>
      </c>
    </row>
    <row r="1096" spans="1:9" x14ac:dyDescent="0.3">
      <c r="A1096" s="1" t="s">
        <v>57</v>
      </c>
      <c r="B1096" s="6"/>
      <c r="C1096" s="1">
        <v>-1</v>
      </c>
      <c r="D1096" s="105">
        <v>46076</v>
      </c>
      <c r="E1096" s="105">
        <f t="shared" si="44"/>
        <v>46077</v>
      </c>
      <c r="F1096" s="105">
        <v>46076</v>
      </c>
      <c r="G1096" s="2">
        <f t="shared" si="43"/>
        <v>46077</v>
      </c>
      <c r="H1096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46052</v>
      </c>
      <c r="I1096" s="95" t="s">
        <v>847</v>
      </c>
    </row>
    <row r="1097" spans="1:9" x14ac:dyDescent="0.3">
      <c r="A1097" s="1" t="s">
        <v>57</v>
      </c>
      <c r="B1097" s="6"/>
      <c r="C1097" s="1">
        <v>-1</v>
      </c>
      <c r="D1097" s="105">
        <v>46122</v>
      </c>
      <c r="E1097" s="105">
        <f t="shared" si="44"/>
        <v>46127</v>
      </c>
      <c r="F1097" s="105">
        <v>46126</v>
      </c>
      <c r="G1097" s="2">
        <f t="shared" si="43"/>
        <v>46127</v>
      </c>
      <c r="H1097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46052</v>
      </c>
      <c r="I1097" s="95" t="s">
        <v>847</v>
      </c>
    </row>
    <row r="1098" spans="1:9" x14ac:dyDescent="0.3">
      <c r="A1098" s="1" t="s">
        <v>57</v>
      </c>
      <c r="B1098" s="6"/>
      <c r="C1098" s="1">
        <v>-1</v>
      </c>
      <c r="D1098" s="105">
        <v>46152</v>
      </c>
      <c r="E1098" s="105">
        <f t="shared" si="44"/>
        <v>46161</v>
      </c>
      <c r="F1098" s="105">
        <v>46160</v>
      </c>
      <c r="G1098" s="2">
        <f t="shared" si="43"/>
        <v>46161</v>
      </c>
      <c r="H1098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46052</v>
      </c>
      <c r="I1098" s="95" t="s">
        <v>847</v>
      </c>
    </row>
    <row r="1099" spans="1:9" x14ac:dyDescent="0.3">
      <c r="A1099" s="1" t="s">
        <v>57</v>
      </c>
      <c r="B1099" s="6"/>
      <c r="C1099" s="1">
        <v>-1</v>
      </c>
      <c r="D1099" s="105">
        <v>46082</v>
      </c>
      <c r="E1099" s="105">
        <f t="shared" si="44"/>
        <v>46085</v>
      </c>
      <c r="F1099" s="105">
        <v>46084</v>
      </c>
      <c r="G1099" s="2">
        <f t="shared" si="43"/>
        <v>46085</v>
      </c>
      <c r="H1099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46052</v>
      </c>
      <c r="I1099" s="95" t="s">
        <v>847</v>
      </c>
    </row>
    <row r="1100" spans="1:9" x14ac:dyDescent="0.3">
      <c r="A1100" s="1" t="s">
        <v>57</v>
      </c>
      <c r="B1100" s="6"/>
      <c r="C1100" s="1">
        <v>-1</v>
      </c>
      <c r="D1100" s="105">
        <v>46121</v>
      </c>
      <c r="E1100" s="105">
        <f t="shared" si="44"/>
        <v>46128</v>
      </c>
      <c r="F1100" s="105">
        <v>46127</v>
      </c>
      <c r="G1100" s="2">
        <f t="shared" si="43"/>
        <v>46128</v>
      </c>
      <c r="H1100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46052</v>
      </c>
      <c r="I1100" s="95" t="s">
        <v>847</v>
      </c>
    </row>
    <row r="1101" spans="1:9" x14ac:dyDescent="0.3">
      <c r="A1101" s="1" t="s">
        <v>57</v>
      </c>
      <c r="B1101" s="6"/>
      <c r="C1101" s="1">
        <v>-1</v>
      </c>
      <c r="D1101" s="105">
        <v>46133</v>
      </c>
      <c r="E1101" s="105">
        <f t="shared" si="44"/>
        <v>46136</v>
      </c>
      <c r="F1101" s="105">
        <v>46135</v>
      </c>
      <c r="G1101" s="2">
        <f t="shared" si="43"/>
        <v>46136</v>
      </c>
      <c r="H1101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46052</v>
      </c>
      <c r="I1101" s="95" t="s">
        <v>847</v>
      </c>
    </row>
    <row r="1102" spans="1:9" x14ac:dyDescent="0.3">
      <c r="A1102" s="1" t="s">
        <v>623</v>
      </c>
      <c r="B1102" s="6"/>
      <c r="C1102" s="1">
        <v>-1</v>
      </c>
      <c r="D1102" s="105">
        <v>46094</v>
      </c>
      <c r="E1102" s="105">
        <f t="shared" si="44"/>
        <v>46095</v>
      </c>
      <c r="F1102" s="105">
        <v>46094</v>
      </c>
      <c r="G1102" s="2">
        <f t="shared" si="43"/>
        <v>46095</v>
      </c>
      <c r="H1102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46052</v>
      </c>
      <c r="I1102" s="95" t="s">
        <v>848</v>
      </c>
    </row>
    <row r="1103" spans="1:9" x14ac:dyDescent="0.3">
      <c r="A1103" s="1" t="s">
        <v>623</v>
      </c>
      <c r="B1103" s="6"/>
      <c r="C1103" s="1">
        <v>-1</v>
      </c>
      <c r="D1103" s="105">
        <v>46098</v>
      </c>
      <c r="E1103" s="105">
        <f t="shared" si="44"/>
        <v>46099</v>
      </c>
      <c r="F1103" s="105">
        <v>46098</v>
      </c>
      <c r="G1103" s="2">
        <f t="shared" si="43"/>
        <v>46099</v>
      </c>
      <c r="H1103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46052</v>
      </c>
      <c r="I1103" s="95" t="s">
        <v>848</v>
      </c>
    </row>
    <row r="1104" spans="1:9" x14ac:dyDescent="0.3">
      <c r="A1104" s="1" t="s">
        <v>160</v>
      </c>
      <c r="B1104" s="6"/>
      <c r="C1104" s="1">
        <v>-1</v>
      </c>
      <c r="D1104" s="105">
        <v>46066</v>
      </c>
      <c r="E1104" s="105">
        <f t="shared" si="44"/>
        <v>46069</v>
      </c>
      <c r="F1104" s="105">
        <v>46068</v>
      </c>
      <c r="G1104" s="2">
        <f t="shared" si="43"/>
        <v>46069</v>
      </c>
      <c r="H1104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46053</v>
      </c>
      <c r="I1104" s="95" t="s">
        <v>849</v>
      </c>
    </row>
    <row r="1105" spans="1:9" x14ac:dyDescent="0.3">
      <c r="A1105" s="1" t="s">
        <v>126</v>
      </c>
      <c r="B1105" s="6"/>
      <c r="C1105" s="1">
        <v>-1</v>
      </c>
      <c r="D1105" s="105">
        <v>46054</v>
      </c>
      <c r="E1105" s="105">
        <f t="shared" si="44"/>
        <v>46057</v>
      </c>
      <c r="F1105" s="105">
        <v>46056</v>
      </c>
      <c r="G1105" s="2">
        <f t="shared" si="43"/>
        <v>46057</v>
      </c>
      <c r="H1105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46053</v>
      </c>
      <c r="I1105" s="95" t="s">
        <v>850</v>
      </c>
    </row>
    <row r="1106" spans="1:9" x14ac:dyDescent="0.3">
      <c r="A1106" s="1" t="s">
        <v>126</v>
      </c>
      <c r="B1106" s="6"/>
      <c r="C1106" s="1">
        <v>-1</v>
      </c>
      <c r="D1106" s="105">
        <v>46057</v>
      </c>
      <c r="E1106" s="105">
        <f t="shared" si="44"/>
        <v>46061</v>
      </c>
      <c r="F1106" s="105">
        <v>46060</v>
      </c>
      <c r="G1106" s="2">
        <f t="shared" si="43"/>
        <v>46061</v>
      </c>
      <c r="H1106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46053</v>
      </c>
      <c r="I1106" s="95" t="s">
        <v>850</v>
      </c>
    </row>
    <row r="1107" spans="1:9" x14ac:dyDescent="0.3">
      <c r="A1107" s="1" t="s">
        <v>126</v>
      </c>
      <c r="B1107" s="6"/>
      <c r="C1107" s="1">
        <v>-1</v>
      </c>
      <c r="D1107" s="105">
        <v>46076</v>
      </c>
      <c r="E1107" s="105">
        <f t="shared" si="44"/>
        <v>46077</v>
      </c>
      <c r="F1107" s="105">
        <v>46076</v>
      </c>
      <c r="G1107" s="2">
        <f t="shared" si="43"/>
        <v>46077</v>
      </c>
      <c r="H1107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46053</v>
      </c>
      <c r="I1107" s="95" t="s">
        <v>850</v>
      </c>
    </row>
    <row r="1108" spans="1:9" x14ac:dyDescent="0.3">
      <c r="A1108" s="1" t="s">
        <v>126</v>
      </c>
      <c r="B1108" s="6"/>
      <c r="C1108" s="1">
        <v>-1</v>
      </c>
      <c r="D1108" s="105">
        <v>46077</v>
      </c>
      <c r="E1108" s="105">
        <f t="shared" si="44"/>
        <v>46078</v>
      </c>
      <c r="F1108" s="105">
        <v>46077</v>
      </c>
      <c r="G1108" s="2">
        <f t="shared" si="43"/>
        <v>46078</v>
      </c>
      <c r="H1108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46053</v>
      </c>
      <c r="I1108" s="95" t="s">
        <v>850</v>
      </c>
    </row>
    <row r="1109" spans="1:9" x14ac:dyDescent="0.3">
      <c r="A1109" s="1" t="s">
        <v>126</v>
      </c>
      <c r="B1109" s="6"/>
      <c r="C1109" s="1">
        <v>-1</v>
      </c>
      <c r="D1109" s="105">
        <v>46102</v>
      </c>
      <c r="E1109" s="105">
        <f t="shared" si="44"/>
        <v>46104</v>
      </c>
      <c r="F1109" s="105">
        <v>46103</v>
      </c>
      <c r="G1109" s="2">
        <f t="shared" si="43"/>
        <v>46104</v>
      </c>
      <c r="H1109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46053</v>
      </c>
      <c r="I1109" s="95" t="s">
        <v>850</v>
      </c>
    </row>
    <row r="1110" spans="1:9" x14ac:dyDescent="0.3">
      <c r="A1110" s="1" t="s">
        <v>126</v>
      </c>
      <c r="B1110" s="6"/>
      <c r="C1110" s="1">
        <v>-1</v>
      </c>
      <c r="D1110" s="105">
        <v>46066</v>
      </c>
      <c r="E1110" s="105">
        <f t="shared" si="44"/>
        <v>46067</v>
      </c>
      <c r="F1110" s="105">
        <v>46066</v>
      </c>
      <c r="G1110" s="2">
        <f t="shared" si="43"/>
        <v>46067</v>
      </c>
      <c r="H1110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46053</v>
      </c>
      <c r="I1110" s="95" t="s">
        <v>850</v>
      </c>
    </row>
    <row r="1111" spans="1:9" x14ac:dyDescent="0.3">
      <c r="A1111" s="1" t="s">
        <v>126</v>
      </c>
      <c r="B1111" s="6"/>
      <c r="C1111" s="1">
        <v>-1</v>
      </c>
      <c r="D1111" s="105">
        <v>46071</v>
      </c>
      <c r="E1111" s="105">
        <f t="shared" si="44"/>
        <v>46072</v>
      </c>
      <c r="F1111" s="105">
        <v>46071</v>
      </c>
      <c r="G1111" s="2">
        <f t="shared" si="43"/>
        <v>46072</v>
      </c>
      <c r="H1111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46053</v>
      </c>
      <c r="I1111" s="95" t="s">
        <v>850</v>
      </c>
    </row>
    <row r="1112" spans="1:9" x14ac:dyDescent="0.3">
      <c r="A1112" s="1" t="s">
        <v>103</v>
      </c>
      <c r="B1112" s="6"/>
      <c r="C1112" s="1">
        <v>-1</v>
      </c>
      <c r="D1112" s="105">
        <v>46110</v>
      </c>
      <c r="E1112" s="105">
        <f t="shared" si="44"/>
        <v>46113</v>
      </c>
      <c r="F1112" s="105">
        <v>46112</v>
      </c>
      <c r="G1112" s="2">
        <f t="shared" si="43"/>
        <v>46113</v>
      </c>
      <c r="H1112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46053</v>
      </c>
      <c r="I1112" s="95" t="s">
        <v>851</v>
      </c>
    </row>
    <row r="1113" spans="1:9" x14ac:dyDescent="0.3">
      <c r="A1113" s="1" t="s">
        <v>103</v>
      </c>
      <c r="B1113" s="6"/>
      <c r="C1113" s="1">
        <v>-1</v>
      </c>
      <c r="D1113" s="105">
        <v>46117</v>
      </c>
      <c r="E1113" s="105">
        <f t="shared" si="44"/>
        <v>46120</v>
      </c>
      <c r="F1113" s="105">
        <v>46119</v>
      </c>
      <c r="G1113" s="2">
        <f t="shared" si="43"/>
        <v>46120</v>
      </c>
      <c r="H1113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46053</v>
      </c>
      <c r="I1113" s="95" t="s">
        <v>851</v>
      </c>
    </row>
    <row r="1114" spans="1:9" x14ac:dyDescent="0.3">
      <c r="A1114" s="1" t="s">
        <v>103</v>
      </c>
      <c r="B1114" s="6"/>
      <c r="C1114" s="1">
        <v>-1</v>
      </c>
      <c r="D1114" s="105">
        <v>46124</v>
      </c>
      <c r="E1114" s="105">
        <f t="shared" si="44"/>
        <v>46126</v>
      </c>
      <c r="F1114" s="105">
        <v>46125</v>
      </c>
      <c r="G1114" s="2">
        <f t="shared" si="43"/>
        <v>46126</v>
      </c>
      <c r="H1114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46053</v>
      </c>
      <c r="I1114" s="95" t="s">
        <v>851</v>
      </c>
    </row>
    <row r="1115" spans="1:9" x14ac:dyDescent="0.3">
      <c r="A1115" s="1" t="s">
        <v>103</v>
      </c>
      <c r="B1115" s="6"/>
      <c r="C1115" s="1">
        <v>-1</v>
      </c>
      <c r="D1115" s="105">
        <v>46098</v>
      </c>
      <c r="E1115" s="105">
        <f t="shared" si="44"/>
        <v>46099</v>
      </c>
      <c r="F1115" s="105">
        <v>46098</v>
      </c>
      <c r="G1115" s="2">
        <f t="shared" si="43"/>
        <v>46099</v>
      </c>
      <c r="H1115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46053</v>
      </c>
      <c r="I1115" s="95" t="s">
        <v>851</v>
      </c>
    </row>
    <row r="1116" spans="1:9" x14ac:dyDescent="0.3">
      <c r="A1116" s="1" t="s">
        <v>103</v>
      </c>
      <c r="B1116" s="6"/>
      <c r="C1116" s="1">
        <v>-1</v>
      </c>
      <c r="D1116" s="105">
        <v>46074</v>
      </c>
      <c r="E1116" s="105">
        <f t="shared" si="44"/>
        <v>46075</v>
      </c>
      <c r="F1116" s="105">
        <v>46074</v>
      </c>
      <c r="G1116" s="2">
        <f t="shared" si="43"/>
        <v>46075</v>
      </c>
      <c r="H1116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46053</v>
      </c>
      <c r="I1116" s="95" t="s">
        <v>851</v>
      </c>
    </row>
    <row r="1117" spans="1:9" x14ac:dyDescent="0.3">
      <c r="A1117" s="1" t="s">
        <v>103</v>
      </c>
      <c r="B1117" s="6"/>
      <c r="C1117" s="1">
        <v>-1</v>
      </c>
      <c r="D1117" s="105">
        <v>46100</v>
      </c>
      <c r="E1117" s="105">
        <f t="shared" si="44"/>
        <v>46102</v>
      </c>
      <c r="F1117" s="105">
        <v>46101</v>
      </c>
      <c r="G1117" s="2">
        <f t="shared" si="43"/>
        <v>46102</v>
      </c>
      <c r="H1117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46053</v>
      </c>
      <c r="I1117" s="95" t="s">
        <v>851</v>
      </c>
    </row>
    <row r="1118" spans="1:9" x14ac:dyDescent="0.3">
      <c r="A1118" s="1" t="s">
        <v>103</v>
      </c>
      <c r="B1118" s="6"/>
      <c r="C1118" s="1">
        <v>-1</v>
      </c>
      <c r="D1118" s="105">
        <v>46080</v>
      </c>
      <c r="E1118" s="105">
        <f t="shared" si="44"/>
        <v>46081</v>
      </c>
      <c r="F1118" s="105">
        <v>46080</v>
      </c>
      <c r="G1118" s="2">
        <f t="shared" si="43"/>
        <v>46081</v>
      </c>
      <c r="H1118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46053</v>
      </c>
      <c r="I1118" s="95" t="s">
        <v>851</v>
      </c>
    </row>
    <row r="1119" spans="1:9" x14ac:dyDescent="0.3">
      <c r="A1119" s="1" t="s">
        <v>103</v>
      </c>
      <c r="B1119" s="6"/>
      <c r="C1119" s="1">
        <v>-1</v>
      </c>
      <c r="D1119" s="105">
        <v>46083</v>
      </c>
      <c r="E1119" s="105">
        <f t="shared" si="44"/>
        <v>46084</v>
      </c>
      <c r="F1119" s="105">
        <v>46083</v>
      </c>
      <c r="G1119" s="2">
        <f t="shared" si="43"/>
        <v>46084</v>
      </c>
      <c r="H1119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46053</v>
      </c>
      <c r="I1119" s="95" t="s">
        <v>851</v>
      </c>
    </row>
    <row r="1120" spans="1:9" x14ac:dyDescent="0.3">
      <c r="A1120" s="1" t="s">
        <v>103</v>
      </c>
      <c r="B1120" s="6"/>
      <c r="C1120" s="1">
        <v>-1</v>
      </c>
      <c r="D1120" s="105">
        <v>46090</v>
      </c>
      <c r="E1120" s="105">
        <f t="shared" si="44"/>
        <v>46091</v>
      </c>
      <c r="F1120" s="105">
        <v>46090</v>
      </c>
      <c r="G1120" s="2">
        <f t="shared" si="43"/>
        <v>46091</v>
      </c>
      <c r="H1120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46053</v>
      </c>
      <c r="I1120" s="95" t="s">
        <v>851</v>
      </c>
    </row>
    <row r="1121" spans="1:9" x14ac:dyDescent="0.3">
      <c r="A1121" s="1" t="s">
        <v>103</v>
      </c>
      <c r="B1121" s="6"/>
      <c r="C1121" s="1">
        <v>-1</v>
      </c>
      <c r="D1121" s="105">
        <v>46097</v>
      </c>
      <c r="E1121" s="105">
        <f t="shared" si="44"/>
        <v>46099</v>
      </c>
      <c r="F1121" s="105">
        <v>46098</v>
      </c>
      <c r="G1121" s="2">
        <f t="shared" si="43"/>
        <v>46099</v>
      </c>
      <c r="H1121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46053</v>
      </c>
      <c r="I1121" s="95" t="s">
        <v>851</v>
      </c>
    </row>
    <row r="1122" spans="1:9" x14ac:dyDescent="0.3">
      <c r="A1122" s="1" t="s">
        <v>103</v>
      </c>
      <c r="B1122" s="6"/>
      <c r="C1122" s="1">
        <v>-1</v>
      </c>
      <c r="D1122" s="105">
        <v>46105</v>
      </c>
      <c r="E1122" s="105">
        <f t="shared" si="44"/>
        <v>46106</v>
      </c>
      <c r="F1122" s="105">
        <v>46105</v>
      </c>
      <c r="G1122" s="2">
        <f t="shared" si="43"/>
        <v>46106</v>
      </c>
      <c r="H1122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46053</v>
      </c>
      <c r="I1122" s="95" t="s">
        <v>851</v>
      </c>
    </row>
    <row r="1123" spans="1:9" x14ac:dyDescent="0.3">
      <c r="A1123" s="1" t="s">
        <v>103</v>
      </c>
      <c r="B1123" s="6"/>
      <c r="C1123" s="1">
        <v>-1</v>
      </c>
      <c r="D1123" s="2">
        <v>46254</v>
      </c>
      <c r="E1123" s="105">
        <f t="shared" si="44"/>
        <v>46256</v>
      </c>
      <c r="F1123" s="105">
        <v>46255</v>
      </c>
      <c r="G1123" s="2">
        <f t="shared" si="43"/>
        <v>46256</v>
      </c>
      <c r="H1123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46053</v>
      </c>
      <c r="I1123" s="95" t="s">
        <v>851</v>
      </c>
    </row>
    <row r="1124" spans="1:9" x14ac:dyDescent="0.3">
      <c r="A1124" s="1" t="s">
        <v>103</v>
      </c>
      <c r="B1124" s="6"/>
      <c r="C1124" s="1">
        <v>-1</v>
      </c>
      <c r="D1124" s="105">
        <v>46325</v>
      </c>
      <c r="E1124" s="105">
        <f t="shared" si="44"/>
        <v>46326</v>
      </c>
      <c r="F1124" s="105">
        <v>46325</v>
      </c>
      <c r="G1124" s="2">
        <f t="shared" ref="G1124:G1187" si="45">F1124+1</f>
        <v>46326</v>
      </c>
      <c r="H1124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46053</v>
      </c>
      <c r="I1124" s="95" t="s">
        <v>851</v>
      </c>
    </row>
    <row r="1125" spans="1:9" x14ac:dyDescent="0.3">
      <c r="A1125" s="1" t="s">
        <v>103</v>
      </c>
      <c r="B1125" s="6"/>
      <c r="C1125" s="1">
        <v>-1</v>
      </c>
      <c r="D1125" s="105">
        <v>46068</v>
      </c>
      <c r="E1125" s="105">
        <f t="shared" si="44"/>
        <v>46074</v>
      </c>
      <c r="F1125" s="105">
        <v>46073</v>
      </c>
      <c r="G1125" s="2">
        <f t="shared" si="45"/>
        <v>46074</v>
      </c>
      <c r="H1125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46053</v>
      </c>
      <c r="I1125" s="95" t="s">
        <v>851</v>
      </c>
    </row>
    <row r="1126" spans="1:9" x14ac:dyDescent="0.3">
      <c r="A1126" s="1" t="s">
        <v>103</v>
      </c>
      <c r="B1126" s="6"/>
      <c r="C1126" s="1">
        <v>-1</v>
      </c>
      <c r="D1126" s="105">
        <v>46116</v>
      </c>
      <c r="E1126" s="105">
        <f t="shared" si="44"/>
        <v>46118</v>
      </c>
      <c r="F1126" s="105">
        <v>46117</v>
      </c>
      <c r="G1126" s="2">
        <f t="shared" si="45"/>
        <v>46118</v>
      </c>
      <c r="H1126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46053</v>
      </c>
      <c r="I1126" s="95" t="s">
        <v>851</v>
      </c>
    </row>
    <row r="1127" spans="1:9" x14ac:dyDescent="0.3">
      <c r="A1127" s="1" t="s">
        <v>92</v>
      </c>
      <c r="B1127" s="6"/>
      <c r="C1127" s="1">
        <v>-1</v>
      </c>
      <c r="D1127" s="105">
        <v>46101</v>
      </c>
      <c r="E1127" s="105">
        <f t="shared" si="44"/>
        <v>46109</v>
      </c>
      <c r="F1127" s="105">
        <v>46108</v>
      </c>
      <c r="G1127" s="2">
        <f t="shared" si="45"/>
        <v>46109</v>
      </c>
      <c r="H1127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46053</v>
      </c>
      <c r="I1127" s="95" t="s">
        <v>852</v>
      </c>
    </row>
    <row r="1128" spans="1:9" x14ac:dyDescent="0.3">
      <c r="A1128" s="1" t="s">
        <v>104</v>
      </c>
      <c r="B1128" s="6"/>
      <c r="C1128" s="1">
        <v>-1</v>
      </c>
      <c r="D1128" s="105">
        <v>46066</v>
      </c>
      <c r="E1128" s="105">
        <f t="shared" si="44"/>
        <v>46074</v>
      </c>
      <c r="F1128" s="105">
        <v>46073</v>
      </c>
      <c r="G1128" s="2">
        <f t="shared" si="45"/>
        <v>46074</v>
      </c>
      <c r="H1128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46053</v>
      </c>
      <c r="I1128" s="95" t="s">
        <v>853</v>
      </c>
    </row>
    <row r="1129" spans="1:9" x14ac:dyDescent="0.3">
      <c r="A1129" s="1" t="s">
        <v>104</v>
      </c>
      <c r="B1129" s="6"/>
      <c r="C1129" s="1">
        <v>-1</v>
      </c>
      <c r="D1129" s="105">
        <v>46068</v>
      </c>
      <c r="E1129" s="105">
        <f t="shared" si="44"/>
        <v>46070</v>
      </c>
      <c r="F1129" s="105">
        <v>46069</v>
      </c>
      <c r="G1129" s="2">
        <f t="shared" si="45"/>
        <v>46070</v>
      </c>
      <c r="H1129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46053</v>
      </c>
      <c r="I1129" s="95" t="s">
        <v>853</v>
      </c>
    </row>
    <row r="1130" spans="1:9" x14ac:dyDescent="0.3">
      <c r="A1130" s="1" t="s">
        <v>104</v>
      </c>
      <c r="B1130" s="6"/>
      <c r="C1130" s="1">
        <v>-1</v>
      </c>
      <c r="D1130" s="105">
        <v>46074</v>
      </c>
      <c r="E1130" s="105">
        <f t="shared" si="44"/>
        <v>46079</v>
      </c>
      <c r="F1130" s="105">
        <v>46078</v>
      </c>
      <c r="G1130" s="2">
        <f t="shared" si="45"/>
        <v>46079</v>
      </c>
      <c r="H1130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46053</v>
      </c>
      <c r="I1130" s="95" t="s">
        <v>853</v>
      </c>
    </row>
    <row r="1131" spans="1:9" x14ac:dyDescent="0.3">
      <c r="A1131" s="1" t="s">
        <v>854</v>
      </c>
      <c r="B1131" s="6"/>
      <c r="C1131" s="1">
        <v>-1</v>
      </c>
      <c r="D1131" s="105">
        <v>46054</v>
      </c>
      <c r="E1131" s="105">
        <f t="shared" si="44"/>
        <v>46082</v>
      </c>
      <c r="F1131" s="105">
        <v>46081</v>
      </c>
      <c r="G1131" s="2">
        <f t="shared" si="45"/>
        <v>46082</v>
      </c>
      <c r="H1131" s="2" t="e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#VALUE!</v>
      </c>
      <c r="I1131" s="95"/>
    </row>
    <row r="1132" spans="1:9" x14ac:dyDescent="0.3">
      <c r="A1132" s="1" t="s">
        <v>820</v>
      </c>
      <c r="B1132" s="6"/>
      <c r="C1132" s="1">
        <v>-1</v>
      </c>
      <c r="D1132" s="105">
        <v>46085</v>
      </c>
      <c r="E1132" s="105">
        <f t="shared" si="44"/>
        <v>46089</v>
      </c>
      <c r="F1132" s="105">
        <v>46088</v>
      </c>
      <c r="G1132" s="2">
        <f t="shared" si="45"/>
        <v>46089</v>
      </c>
      <c r="H1132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46047</v>
      </c>
      <c r="I1132" s="95" t="s">
        <v>836</v>
      </c>
    </row>
    <row r="1133" spans="1:9" x14ac:dyDescent="0.3">
      <c r="A1133" s="1" t="s">
        <v>820</v>
      </c>
      <c r="B1133" s="6"/>
      <c r="C1133" s="1">
        <v>-1</v>
      </c>
      <c r="D1133" s="105">
        <v>46112</v>
      </c>
      <c r="E1133" s="105">
        <f t="shared" si="44"/>
        <v>46116</v>
      </c>
      <c r="F1133" s="105">
        <v>46115</v>
      </c>
      <c r="G1133" s="2">
        <f t="shared" si="45"/>
        <v>46116</v>
      </c>
      <c r="H1133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46047</v>
      </c>
      <c r="I1133" s="95" t="s">
        <v>836</v>
      </c>
    </row>
    <row r="1134" spans="1:9" x14ac:dyDescent="0.3">
      <c r="A1134" s="1" t="s">
        <v>57</v>
      </c>
      <c r="B1134" s="6"/>
      <c r="C1134" s="1">
        <v>-1</v>
      </c>
      <c r="D1134" s="105">
        <v>46122</v>
      </c>
      <c r="E1134" s="105">
        <f t="shared" si="44"/>
        <v>46126</v>
      </c>
      <c r="F1134" s="105">
        <v>46125</v>
      </c>
      <c r="G1134" s="2">
        <f t="shared" si="45"/>
        <v>46126</v>
      </c>
      <c r="H1134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46052</v>
      </c>
      <c r="I1134" s="95" t="s">
        <v>847</v>
      </c>
    </row>
    <row r="1135" spans="1:9" x14ac:dyDescent="0.3">
      <c r="A1135" s="1" t="s">
        <v>57</v>
      </c>
      <c r="B1135" s="6"/>
      <c r="C1135" s="1">
        <v>-1</v>
      </c>
      <c r="D1135" s="105">
        <v>46152</v>
      </c>
      <c r="E1135" s="105">
        <f t="shared" si="44"/>
        <v>46161</v>
      </c>
      <c r="F1135" s="105">
        <v>46160</v>
      </c>
      <c r="G1135" s="2">
        <f t="shared" si="45"/>
        <v>46161</v>
      </c>
      <c r="H1135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46052</v>
      </c>
      <c r="I1135" s="95" t="s">
        <v>847</v>
      </c>
    </row>
    <row r="1136" spans="1:9" x14ac:dyDescent="0.3">
      <c r="A1136" s="1" t="s">
        <v>57</v>
      </c>
      <c r="B1136" s="6"/>
      <c r="C1136" s="1">
        <v>-1</v>
      </c>
      <c r="D1136" s="105">
        <v>46065</v>
      </c>
      <c r="E1136" s="105">
        <f t="shared" si="44"/>
        <v>46068</v>
      </c>
      <c r="F1136" s="105">
        <v>46067</v>
      </c>
      <c r="G1136" s="2">
        <f t="shared" si="45"/>
        <v>46068</v>
      </c>
      <c r="H1136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46052</v>
      </c>
      <c r="I1136" s="95" t="s">
        <v>847</v>
      </c>
    </row>
    <row r="1137" spans="1:9" x14ac:dyDescent="0.3">
      <c r="A1137" s="1" t="s">
        <v>57</v>
      </c>
      <c r="B1137" s="6"/>
      <c r="C1137" s="1">
        <v>-1</v>
      </c>
      <c r="D1137" s="105">
        <v>46082</v>
      </c>
      <c r="E1137" s="105">
        <f t="shared" si="44"/>
        <v>46085</v>
      </c>
      <c r="F1137" s="105">
        <v>46084</v>
      </c>
      <c r="G1137" s="2">
        <f t="shared" si="45"/>
        <v>46085</v>
      </c>
      <c r="H1137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46052</v>
      </c>
      <c r="I1137" s="95" t="s">
        <v>847</v>
      </c>
    </row>
    <row r="1138" spans="1:9" x14ac:dyDescent="0.3">
      <c r="A1138" s="1" t="s">
        <v>57</v>
      </c>
      <c r="B1138" s="6"/>
      <c r="C1138" s="1">
        <v>-1</v>
      </c>
      <c r="D1138" s="105">
        <v>46121</v>
      </c>
      <c r="E1138" s="105">
        <f t="shared" si="44"/>
        <v>46128</v>
      </c>
      <c r="F1138" s="105">
        <v>46127</v>
      </c>
      <c r="G1138" s="2">
        <f t="shared" si="45"/>
        <v>46128</v>
      </c>
      <c r="H1138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46052</v>
      </c>
      <c r="I1138" s="95" t="s">
        <v>847</v>
      </c>
    </row>
    <row r="1139" spans="1:9" x14ac:dyDescent="0.3">
      <c r="A1139" s="1" t="s">
        <v>57</v>
      </c>
      <c r="B1139" s="6"/>
      <c r="C1139" s="1">
        <v>-1</v>
      </c>
      <c r="D1139" s="105">
        <v>46133</v>
      </c>
      <c r="E1139" s="105">
        <f t="shared" si="44"/>
        <v>46136</v>
      </c>
      <c r="F1139" s="105">
        <v>46135</v>
      </c>
      <c r="G1139" s="2">
        <f t="shared" si="45"/>
        <v>46136</v>
      </c>
      <c r="H1139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46052</v>
      </c>
      <c r="I1139" s="95" t="s">
        <v>847</v>
      </c>
    </row>
    <row r="1140" spans="1:9" x14ac:dyDescent="0.3">
      <c r="A1140" s="1" t="s">
        <v>294</v>
      </c>
      <c r="B1140" s="6"/>
      <c r="C1140" s="1">
        <v>-1</v>
      </c>
      <c r="D1140" s="105">
        <v>46063</v>
      </c>
      <c r="E1140" s="105">
        <f t="shared" si="44"/>
        <v>46066</v>
      </c>
      <c r="F1140" s="105">
        <v>46065</v>
      </c>
      <c r="G1140" s="2">
        <f t="shared" si="45"/>
        <v>46066</v>
      </c>
      <c r="H1140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46052</v>
      </c>
      <c r="I1140" s="95" t="s">
        <v>835</v>
      </c>
    </row>
    <row r="1141" spans="1:9" x14ac:dyDescent="0.3">
      <c r="A1141" s="1" t="s">
        <v>294</v>
      </c>
      <c r="B1141" s="6"/>
      <c r="C1141" s="1">
        <v>-1</v>
      </c>
      <c r="D1141" s="105">
        <v>46084</v>
      </c>
      <c r="E1141" s="105">
        <f t="shared" si="44"/>
        <v>46085</v>
      </c>
      <c r="F1141" s="105">
        <v>46084</v>
      </c>
      <c r="G1141" s="2">
        <f t="shared" si="45"/>
        <v>46085</v>
      </c>
      <c r="H1141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46052</v>
      </c>
      <c r="I1141" s="95" t="s">
        <v>835</v>
      </c>
    </row>
    <row r="1142" spans="1:9" x14ac:dyDescent="0.3">
      <c r="A1142" s="1" t="s">
        <v>623</v>
      </c>
      <c r="B1142" s="6"/>
      <c r="C1142" s="1">
        <v>-1</v>
      </c>
      <c r="D1142" s="105">
        <v>46094</v>
      </c>
      <c r="E1142" s="105">
        <f t="shared" si="44"/>
        <v>46095</v>
      </c>
      <c r="F1142" s="105">
        <v>46094</v>
      </c>
      <c r="G1142" s="2">
        <f t="shared" si="45"/>
        <v>46095</v>
      </c>
      <c r="H1142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46052</v>
      </c>
      <c r="I1142" s="95" t="s">
        <v>848</v>
      </c>
    </row>
    <row r="1143" spans="1:9" x14ac:dyDescent="0.3">
      <c r="A1143" s="1" t="s">
        <v>623</v>
      </c>
      <c r="B1143" s="6"/>
      <c r="C1143" s="1">
        <v>-1</v>
      </c>
      <c r="D1143" s="105">
        <v>46098</v>
      </c>
      <c r="E1143" s="105">
        <f t="shared" si="44"/>
        <v>46099</v>
      </c>
      <c r="F1143" s="105">
        <v>46098</v>
      </c>
      <c r="G1143" s="2">
        <f t="shared" si="45"/>
        <v>46099</v>
      </c>
      <c r="H1143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46052</v>
      </c>
      <c r="I1143" s="95" t="s">
        <v>848</v>
      </c>
    </row>
    <row r="1144" spans="1:9" x14ac:dyDescent="0.3">
      <c r="A1144" s="1" t="s">
        <v>308</v>
      </c>
      <c r="B1144" s="6"/>
      <c r="C1144" s="1">
        <v>-1</v>
      </c>
      <c r="D1144" s="105">
        <v>46059</v>
      </c>
      <c r="E1144" s="105">
        <f t="shared" si="44"/>
        <v>46064</v>
      </c>
      <c r="F1144" s="105">
        <v>46063</v>
      </c>
      <c r="G1144" s="2">
        <f t="shared" si="45"/>
        <v>46064</v>
      </c>
      <c r="H1144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46053</v>
      </c>
      <c r="I1144" s="95" t="s">
        <v>855</v>
      </c>
    </row>
    <row r="1145" spans="1:9" x14ac:dyDescent="0.3">
      <c r="A1145" s="1" t="s">
        <v>108</v>
      </c>
      <c r="B1145" s="6"/>
      <c r="C1145" s="1">
        <v>-1</v>
      </c>
      <c r="D1145" s="105">
        <v>46059</v>
      </c>
      <c r="E1145" s="105">
        <f t="shared" si="44"/>
        <v>46064</v>
      </c>
      <c r="F1145" s="105">
        <v>46063</v>
      </c>
      <c r="G1145" s="2">
        <f t="shared" si="45"/>
        <v>46064</v>
      </c>
      <c r="H1145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46053</v>
      </c>
      <c r="I1145" s="95" t="s">
        <v>855</v>
      </c>
    </row>
    <row r="1146" spans="1:9" x14ac:dyDescent="0.3">
      <c r="A1146" s="1" t="s">
        <v>160</v>
      </c>
      <c r="B1146" s="6"/>
      <c r="C1146" s="1">
        <v>-1</v>
      </c>
      <c r="D1146" s="105">
        <v>46066</v>
      </c>
      <c r="E1146" s="105">
        <f t="shared" si="44"/>
        <v>46069</v>
      </c>
      <c r="F1146" s="105">
        <v>46068</v>
      </c>
      <c r="G1146" s="2">
        <f t="shared" si="45"/>
        <v>46069</v>
      </c>
      <c r="H1146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46053</v>
      </c>
      <c r="I1146" s="95" t="s">
        <v>849</v>
      </c>
    </row>
    <row r="1147" spans="1:9" x14ac:dyDescent="0.3">
      <c r="A1147" s="1" t="s">
        <v>67</v>
      </c>
      <c r="B1147" s="6"/>
      <c r="C1147" s="1">
        <v>-1</v>
      </c>
      <c r="D1147" s="105">
        <v>46064</v>
      </c>
      <c r="E1147" s="105">
        <f t="shared" ref="E1147:E1210" si="46">G1147</f>
        <v>46067</v>
      </c>
      <c r="F1147" s="105">
        <v>46066</v>
      </c>
      <c r="G1147" s="2">
        <f t="shared" si="45"/>
        <v>46067</v>
      </c>
      <c r="H1147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46053</v>
      </c>
      <c r="I1147" s="95" t="s">
        <v>856</v>
      </c>
    </row>
    <row r="1148" spans="1:9" x14ac:dyDescent="0.3">
      <c r="A1148" s="1" t="s">
        <v>67</v>
      </c>
      <c r="B1148" s="6"/>
      <c r="C1148" s="1">
        <v>-1</v>
      </c>
      <c r="D1148" s="105">
        <v>46122</v>
      </c>
      <c r="E1148" s="105">
        <f t="shared" si="46"/>
        <v>46125</v>
      </c>
      <c r="F1148" s="105">
        <v>46124</v>
      </c>
      <c r="G1148" s="2">
        <f t="shared" si="45"/>
        <v>46125</v>
      </c>
      <c r="H1148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46053</v>
      </c>
      <c r="I1148" s="95" t="s">
        <v>856</v>
      </c>
    </row>
    <row r="1149" spans="1:9" x14ac:dyDescent="0.3">
      <c r="A1149" s="1" t="s">
        <v>92</v>
      </c>
      <c r="B1149" s="6"/>
      <c r="C1149" s="1">
        <v>-1</v>
      </c>
      <c r="D1149" s="105">
        <v>46101</v>
      </c>
      <c r="E1149" s="105">
        <f t="shared" si="46"/>
        <v>46109</v>
      </c>
      <c r="F1149" s="105">
        <v>46108</v>
      </c>
      <c r="G1149" s="2">
        <f t="shared" si="45"/>
        <v>46109</v>
      </c>
      <c r="H1149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46053</v>
      </c>
      <c r="I1149" s="95" t="s">
        <v>852</v>
      </c>
    </row>
    <row r="1150" spans="1:9" x14ac:dyDescent="0.3">
      <c r="A1150" s="1" t="s">
        <v>104</v>
      </c>
      <c r="B1150" s="6"/>
      <c r="C1150" s="1">
        <v>-1</v>
      </c>
      <c r="D1150" s="105">
        <v>46066</v>
      </c>
      <c r="E1150" s="105">
        <f t="shared" si="46"/>
        <v>46074</v>
      </c>
      <c r="F1150" s="105">
        <v>46073</v>
      </c>
      <c r="G1150" s="2">
        <f t="shared" si="45"/>
        <v>46074</v>
      </c>
      <c r="H1150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46053</v>
      </c>
      <c r="I1150" s="95" t="s">
        <v>853</v>
      </c>
    </row>
    <row r="1151" spans="1:9" x14ac:dyDescent="0.3">
      <c r="A1151" s="1" t="s">
        <v>104</v>
      </c>
      <c r="B1151" s="6"/>
      <c r="C1151" s="1">
        <v>-1</v>
      </c>
      <c r="D1151" s="105">
        <v>46068</v>
      </c>
      <c r="E1151" s="105">
        <f t="shared" si="46"/>
        <v>46070</v>
      </c>
      <c r="F1151" s="105">
        <v>46069</v>
      </c>
      <c r="G1151" s="2">
        <f t="shared" si="45"/>
        <v>46070</v>
      </c>
      <c r="H1151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46053</v>
      </c>
      <c r="I1151" s="95" t="s">
        <v>853</v>
      </c>
    </row>
    <row r="1152" spans="1:9" x14ac:dyDescent="0.3">
      <c r="A1152" s="1" t="s">
        <v>104</v>
      </c>
      <c r="B1152" s="6"/>
      <c r="C1152" s="1">
        <v>-1</v>
      </c>
      <c r="D1152" s="105">
        <v>46074</v>
      </c>
      <c r="E1152" s="105">
        <f t="shared" si="46"/>
        <v>46079</v>
      </c>
      <c r="F1152" s="105">
        <v>46078</v>
      </c>
      <c r="G1152" s="2">
        <f t="shared" si="45"/>
        <v>46079</v>
      </c>
      <c r="H1152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46053</v>
      </c>
      <c r="I1152" s="95" t="s">
        <v>853</v>
      </c>
    </row>
    <row r="1153" spans="1:9" x14ac:dyDescent="0.3">
      <c r="A1153" s="1" t="s">
        <v>127</v>
      </c>
      <c r="B1153" s="6"/>
      <c r="C1153" s="1">
        <v>-1</v>
      </c>
      <c r="D1153" s="105">
        <v>46099</v>
      </c>
      <c r="E1153" s="105">
        <f t="shared" si="46"/>
        <v>46101</v>
      </c>
      <c r="F1153" s="105">
        <v>46100</v>
      </c>
      <c r="G1153" s="2">
        <f t="shared" si="45"/>
        <v>46101</v>
      </c>
      <c r="H1153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46054</v>
      </c>
      <c r="I1153" s="95" t="s">
        <v>857</v>
      </c>
    </row>
    <row r="1154" spans="1:9" x14ac:dyDescent="0.3">
      <c r="A1154" s="1" t="s">
        <v>95</v>
      </c>
      <c r="B1154" s="6"/>
      <c r="C1154" s="1">
        <v>-1</v>
      </c>
      <c r="D1154" s="105">
        <v>46069</v>
      </c>
      <c r="E1154" s="105">
        <f t="shared" si="46"/>
        <v>46072</v>
      </c>
      <c r="F1154" s="105">
        <v>46071</v>
      </c>
      <c r="G1154" s="2">
        <f t="shared" si="45"/>
        <v>46072</v>
      </c>
      <c r="H1154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46054</v>
      </c>
      <c r="I1154" s="95" t="s">
        <v>858</v>
      </c>
    </row>
    <row r="1155" spans="1:9" x14ac:dyDescent="0.3">
      <c r="A1155" s="1" t="s">
        <v>160</v>
      </c>
      <c r="B1155" s="6"/>
      <c r="C1155" s="1">
        <v>-1</v>
      </c>
      <c r="D1155" s="105">
        <v>46111</v>
      </c>
      <c r="E1155" s="105">
        <f t="shared" si="46"/>
        <v>46115</v>
      </c>
      <c r="F1155" s="105">
        <v>46114</v>
      </c>
      <c r="G1155" s="2">
        <f t="shared" si="45"/>
        <v>46115</v>
      </c>
      <c r="H1155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46054</v>
      </c>
      <c r="I1155" s="95" t="s">
        <v>859</v>
      </c>
    </row>
    <row r="1156" spans="1:9" x14ac:dyDescent="0.3">
      <c r="A1156" s="1" t="s">
        <v>160</v>
      </c>
      <c r="B1156" s="6"/>
      <c r="C1156" s="1">
        <v>-1</v>
      </c>
      <c r="D1156" s="105">
        <v>46121</v>
      </c>
      <c r="E1156" s="105">
        <f t="shared" si="46"/>
        <v>46122</v>
      </c>
      <c r="F1156" s="105">
        <v>46121</v>
      </c>
      <c r="G1156" s="2">
        <f t="shared" si="45"/>
        <v>46122</v>
      </c>
      <c r="H1156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46054</v>
      </c>
      <c r="I1156" s="95" t="s">
        <v>859</v>
      </c>
    </row>
    <row r="1157" spans="1:9" x14ac:dyDescent="0.3">
      <c r="A1157" s="1" t="s">
        <v>118</v>
      </c>
      <c r="B1157" s="6"/>
      <c r="C1157" s="1">
        <v>-1</v>
      </c>
      <c r="D1157" s="105">
        <v>46091</v>
      </c>
      <c r="E1157" s="105">
        <f t="shared" si="46"/>
        <v>46074</v>
      </c>
      <c r="F1157" s="105">
        <v>46073</v>
      </c>
      <c r="G1157" s="2">
        <f t="shared" si="45"/>
        <v>46074</v>
      </c>
      <c r="H1157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46054</v>
      </c>
      <c r="I1157" s="95" t="s">
        <v>860</v>
      </c>
    </row>
    <row r="1158" spans="1:9" x14ac:dyDescent="0.3">
      <c r="A1158" s="1" t="s">
        <v>118</v>
      </c>
      <c r="B1158" s="6"/>
      <c r="C1158" s="1">
        <v>-1</v>
      </c>
      <c r="D1158" s="105">
        <v>46153</v>
      </c>
      <c r="E1158" s="105">
        <f t="shared" si="46"/>
        <v>46167</v>
      </c>
      <c r="F1158" s="105">
        <v>46166</v>
      </c>
      <c r="G1158" s="2">
        <f t="shared" si="45"/>
        <v>46167</v>
      </c>
      <c r="H1158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46054</v>
      </c>
      <c r="I1158" s="95" t="s">
        <v>860</v>
      </c>
    </row>
    <row r="1159" spans="1:9" x14ac:dyDescent="0.3">
      <c r="A1159" s="1" t="s">
        <v>118</v>
      </c>
      <c r="B1159" s="6"/>
      <c r="C1159" s="1">
        <v>-1</v>
      </c>
      <c r="D1159" s="105">
        <v>46089</v>
      </c>
      <c r="E1159" s="105">
        <f t="shared" si="46"/>
        <v>46091</v>
      </c>
      <c r="F1159" s="105">
        <v>46090</v>
      </c>
      <c r="G1159" s="2">
        <f t="shared" si="45"/>
        <v>46091</v>
      </c>
      <c r="H1159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46054</v>
      </c>
      <c r="I1159" s="95" t="s">
        <v>860</v>
      </c>
    </row>
    <row r="1160" spans="1:9" x14ac:dyDescent="0.3">
      <c r="A1160" s="1" t="s">
        <v>78</v>
      </c>
      <c r="B1160" s="6"/>
      <c r="C1160" s="1">
        <v>-1</v>
      </c>
      <c r="D1160" s="105">
        <v>46058</v>
      </c>
      <c r="E1160" s="105">
        <f t="shared" si="46"/>
        <v>46059</v>
      </c>
      <c r="F1160" s="105">
        <v>46058</v>
      </c>
      <c r="G1160" s="2">
        <f t="shared" si="45"/>
        <v>46059</v>
      </c>
      <c r="H1160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46054</v>
      </c>
      <c r="I1160" s="95" t="s">
        <v>861</v>
      </c>
    </row>
    <row r="1161" spans="1:9" x14ac:dyDescent="0.3">
      <c r="A1161" s="1" t="s">
        <v>123</v>
      </c>
      <c r="B1161" s="6"/>
      <c r="C1161" s="1">
        <v>-1</v>
      </c>
      <c r="D1161" s="105">
        <v>46128</v>
      </c>
      <c r="E1161" s="105">
        <f t="shared" si="46"/>
        <v>46132</v>
      </c>
      <c r="F1161" s="105">
        <v>46131</v>
      </c>
      <c r="G1161" s="2">
        <f t="shared" si="45"/>
        <v>46132</v>
      </c>
      <c r="H1161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46054</v>
      </c>
      <c r="I1161" s="95" t="s">
        <v>862</v>
      </c>
    </row>
    <row r="1162" spans="1:9" x14ac:dyDescent="0.3">
      <c r="A1162" s="1" t="s">
        <v>57</v>
      </c>
      <c r="B1162" s="6"/>
      <c r="C1162" s="1">
        <v>-1</v>
      </c>
      <c r="D1162" s="105">
        <v>46136.041666666599</v>
      </c>
      <c r="E1162" s="105">
        <f t="shared" si="46"/>
        <v>46139</v>
      </c>
      <c r="F1162" s="105">
        <v>46138</v>
      </c>
      <c r="G1162" s="2">
        <f t="shared" si="45"/>
        <v>46139</v>
      </c>
      <c r="H1162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46055</v>
      </c>
      <c r="I1162" s="95" t="s">
        <v>863</v>
      </c>
    </row>
    <row r="1163" spans="1:9" x14ac:dyDescent="0.3">
      <c r="A1163" s="1" t="s">
        <v>57</v>
      </c>
      <c r="B1163" s="6"/>
      <c r="C1163" s="1">
        <v>-1</v>
      </c>
      <c r="D1163" s="105">
        <v>46197</v>
      </c>
      <c r="E1163" s="105">
        <f t="shared" si="46"/>
        <v>46200</v>
      </c>
      <c r="F1163" s="105">
        <v>46199</v>
      </c>
      <c r="G1163" s="2">
        <f t="shared" si="45"/>
        <v>46200</v>
      </c>
      <c r="H1163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46055</v>
      </c>
      <c r="I1163" s="95" t="s">
        <v>863</v>
      </c>
    </row>
    <row r="1164" spans="1:9" x14ac:dyDescent="0.3">
      <c r="A1164" s="1" t="s">
        <v>57</v>
      </c>
      <c r="B1164" s="6"/>
      <c r="C1164" s="1">
        <v>-1</v>
      </c>
      <c r="D1164" s="105">
        <v>46099</v>
      </c>
      <c r="E1164" s="105">
        <f t="shared" si="46"/>
        <v>46102</v>
      </c>
      <c r="F1164" s="105">
        <v>46101</v>
      </c>
      <c r="G1164" s="2">
        <f t="shared" si="45"/>
        <v>46102</v>
      </c>
      <c r="H1164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46055</v>
      </c>
      <c r="I1164" s="95" t="s">
        <v>863</v>
      </c>
    </row>
    <row r="1165" spans="1:9" x14ac:dyDescent="0.3">
      <c r="A1165" s="1" t="s">
        <v>57</v>
      </c>
      <c r="B1165" s="6"/>
      <c r="C1165" s="1">
        <v>-1</v>
      </c>
      <c r="D1165" s="105">
        <v>46104</v>
      </c>
      <c r="E1165" s="105">
        <f t="shared" si="46"/>
        <v>46105</v>
      </c>
      <c r="F1165" s="105">
        <v>46104</v>
      </c>
      <c r="G1165" s="2">
        <f t="shared" si="45"/>
        <v>46105</v>
      </c>
      <c r="H1165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46055</v>
      </c>
      <c r="I1165" s="95" t="s">
        <v>863</v>
      </c>
    </row>
    <row r="1166" spans="1:9" x14ac:dyDescent="0.3">
      <c r="A1166" s="1" t="s">
        <v>78</v>
      </c>
      <c r="B1166" s="6"/>
      <c r="C1166" s="1">
        <v>-1</v>
      </c>
      <c r="D1166" s="105">
        <v>46059</v>
      </c>
      <c r="E1166" s="105">
        <f t="shared" si="46"/>
        <v>46060</v>
      </c>
      <c r="F1166" s="105">
        <v>46059</v>
      </c>
      <c r="G1166" s="2">
        <f t="shared" si="45"/>
        <v>46060</v>
      </c>
      <c r="H1166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46055</v>
      </c>
      <c r="I1166" s="95" t="s">
        <v>864</v>
      </c>
    </row>
    <row r="1167" spans="1:9" x14ac:dyDescent="0.3">
      <c r="A1167" s="1" t="s">
        <v>96</v>
      </c>
      <c r="B1167" s="6"/>
      <c r="C1167" s="1">
        <v>-1</v>
      </c>
      <c r="D1167" s="105">
        <v>46095</v>
      </c>
      <c r="E1167" s="105">
        <f t="shared" si="46"/>
        <v>46097</v>
      </c>
      <c r="F1167" s="105">
        <v>46096</v>
      </c>
      <c r="G1167" s="2">
        <f t="shared" si="45"/>
        <v>46097</v>
      </c>
      <c r="H1167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46055</v>
      </c>
      <c r="I1167" s="95" t="s">
        <v>865</v>
      </c>
    </row>
    <row r="1168" spans="1:9" x14ac:dyDescent="0.3">
      <c r="A1168" s="1" t="s">
        <v>96</v>
      </c>
      <c r="B1168" s="6"/>
      <c r="C1168" s="1">
        <v>-1</v>
      </c>
      <c r="D1168" s="105">
        <v>46078</v>
      </c>
      <c r="E1168" s="105">
        <f t="shared" si="46"/>
        <v>46081</v>
      </c>
      <c r="F1168" s="105">
        <v>46080</v>
      </c>
      <c r="G1168" s="2">
        <f t="shared" si="45"/>
        <v>46081</v>
      </c>
      <c r="H1168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46055</v>
      </c>
      <c r="I1168" s="95" t="s">
        <v>865</v>
      </c>
    </row>
    <row r="1169" spans="1:9" x14ac:dyDescent="0.3">
      <c r="A1169" s="1" t="s">
        <v>95</v>
      </c>
      <c r="B1169" s="6"/>
      <c r="C1169" s="1">
        <v>-1</v>
      </c>
      <c r="D1169" s="105">
        <v>46100</v>
      </c>
      <c r="E1169" s="105">
        <f t="shared" si="46"/>
        <v>46107</v>
      </c>
      <c r="F1169" s="105">
        <v>46106</v>
      </c>
      <c r="G1169" s="2">
        <f t="shared" si="45"/>
        <v>46107</v>
      </c>
      <c r="H1169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46055</v>
      </c>
      <c r="I1169" s="95" t="s">
        <v>866</v>
      </c>
    </row>
    <row r="1170" spans="1:9" x14ac:dyDescent="0.3">
      <c r="A1170" s="1" t="s">
        <v>95</v>
      </c>
      <c r="B1170" s="6"/>
      <c r="C1170" s="1">
        <v>-1</v>
      </c>
      <c r="D1170" s="105">
        <v>46130</v>
      </c>
      <c r="E1170" s="105">
        <f t="shared" si="46"/>
        <v>46133</v>
      </c>
      <c r="F1170" s="105">
        <v>46132</v>
      </c>
      <c r="G1170" s="2">
        <f t="shared" si="45"/>
        <v>46133</v>
      </c>
      <c r="H1170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46055</v>
      </c>
      <c r="I1170" s="95" t="s">
        <v>866</v>
      </c>
    </row>
    <row r="1171" spans="1:9" x14ac:dyDescent="0.3">
      <c r="A1171" s="1" t="s">
        <v>95</v>
      </c>
      <c r="B1171" s="6"/>
      <c r="C1171" s="1">
        <v>-1</v>
      </c>
      <c r="D1171" s="105">
        <v>46163</v>
      </c>
      <c r="E1171" s="105">
        <f t="shared" si="46"/>
        <v>46169</v>
      </c>
      <c r="F1171" s="105">
        <v>46168</v>
      </c>
      <c r="G1171" s="2">
        <f t="shared" si="45"/>
        <v>46169</v>
      </c>
      <c r="H1171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46055</v>
      </c>
      <c r="I1171" s="95" t="s">
        <v>866</v>
      </c>
    </row>
    <row r="1172" spans="1:9" x14ac:dyDescent="0.3">
      <c r="A1172" s="1" t="s">
        <v>95</v>
      </c>
      <c r="B1172" s="6"/>
      <c r="C1172" s="1">
        <v>-1</v>
      </c>
      <c r="D1172" s="105">
        <v>46183</v>
      </c>
      <c r="E1172" s="105">
        <f t="shared" si="46"/>
        <v>46188</v>
      </c>
      <c r="F1172" s="105">
        <v>46187</v>
      </c>
      <c r="G1172" s="2">
        <f t="shared" si="45"/>
        <v>46188</v>
      </c>
      <c r="H1172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46055</v>
      </c>
      <c r="I1172" s="95" t="s">
        <v>866</v>
      </c>
    </row>
    <row r="1173" spans="1:9" x14ac:dyDescent="0.3">
      <c r="A1173" s="1" t="s">
        <v>95</v>
      </c>
      <c r="B1173" s="6"/>
      <c r="C1173" s="1">
        <v>-1</v>
      </c>
      <c r="D1173" s="105">
        <v>46194</v>
      </c>
      <c r="E1173" s="105">
        <f t="shared" si="46"/>
        <v>46203</v>
      </c>
      <c r="F1173" s="105">
        <v>46202</v>
      </c>
      <c r="G1173" s="2">
        <f t="shared" si="45"/>
        <v>46203</v>
      </c>
      <c r="H1173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46055</v>
      </c>
      <c r="I1173" s="95" t="s">
        <v>866</v>
      </c>
    </row>
    <row r="1174" spans="1:9" x14ac:dyDescent="0.3">
      <c r="A1174" s="1" t="s">
        <v>95</v>
      </c>
      <c r="B1174" s="6"/>
      <c r="C1174" s="1">
        <v>-1</v>
      </c>
      <c r="D1174" s="105">
        <v>46222</v>
      </c>
      <c r="E1174" s="105">
        <f t="shared" si="46"/>
        <v>46232</v>
      </c>
      <c r="F1174" s="105">
        <v>46231</v>
      </c>
      <c r="G1174" s="2">
        <f t="shared" si="45"/>
        <v>46232</v>
      </c>
      <c r="H1174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46055</v>
      </c>
      <c r="I1174" s="95" t="s">
        <v>866</v>
      </c>
    </row>
    <row r="1175" spans="1:9" x14ac:dyDescent="0.3">
      <c r="A1175" s="1" t="s">
        <v>95</v>
      </c>
      <c r="B1175" s="6"/>
      <c r="C1175" s="1">
        <v>-1</v>
      </c>
      <c r="D1175" s="105">
        <v>46235</v>
      </c>
      <c r="E1175" s="105">
        <f t="shared" si="46"/>
        <v>46246</v>
      </c>
      <c r="F1175" s="105">
        <v>46245</v>
      </c>
      <c r="G1175" s="2">
        <f t="shared" si="45"/>
        <v>46246</v>
      </c>
      <c r="H1175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46055</v>
      </c>
      <c r="I1175" s="95" t="s">
        <v>866</v>
      </c>
    </row>
    <row r="1176" spans="1:9" x14ac:dyDescent="0.3">
      <c r="A1176" s="1" t="s">
        <v>95</v>
      </c>
      <c r="B1176" s="6"/>
      <c r="C1176" s="1">
        <v>-1</v>
      </c>
      <c r="D1176" s="105">
        <v>46266</v>
      </c>
      <c r="E1176" s="105">
        <f t="shared" si="46"/>
        <v>46290</v>
      </c>
      <c r="F1176" s="105">
        <v>46289</v>
      </c>
      <c r="G1176" s="2">
        <f t="shared" si="45"/>
        <v>46290</v>
      </c>
      <c r="H1176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46055</v>
      </c>
      <c r="I1176" s="95" t="s">
        <v>866</v>
      </c>
    </row>
    <row r="1177" spans="1:9" x14ac:dyDescent="0.3">
      <c r="A1177" s="1" t="s">
        <v>126</v>
      </c>
      <c r="B1177" s="6"/>
      <c r="C1177" s="1">
        <v>-1</v>
      </c>
      <c r="D1177" s="105">
        <v>46067</v>
      </c>
      <c r="E1177" s="105">
        <f t="shared" si="46"/>
        <v>46068</v>
      </c>
      <c r="F1177" s="105">
        <v>46067</v>
      </c>
      <c r="G1177" s="2">
        <f t="shared" si="45"/>
        <v>46068</v>
      </c>
      <c r="H1177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46055</v>
      </c>
      <c r="I1177" s="95" t="s">
        <v>867</v>
      </c>
    </row>
    <row r="1178" spans="1:9" x14ac:dyDescent="0.3">
      <c r="A1178" s="1" t="s">
        <v>110</v>
      </c>
      <c r="B1178" s="6"/>
      <c r="C1178" s="1">
        <v>-1</v>
      </c>
      <c r="D1178" s="105">
        <v>46058</v>
      </c>
      <c r="E1178" s="105">
        <f t="shared" si="46"/>
        <v>46063</v>
      </c>
      <c r="F1178" s="105">
        <v>46062</v>
      </c>
      <c r="G1178" s="2">
        <f t="shared" si="45"/>
        <v>46063</v>
      </c>
      <c r="H1178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46055</v>
      </c>
      <c r="I1178" s="95" t="s">
        <v>868</v>
      </c>
    </row>
    <row r="1179" spans="1:9" x14ac:dyDescent="0.3">
      <c r="A1179" s="1" t="s">
        <v>110</v>
      </c>
      <c r="B1179" s="6"/>
      <c r="C1179" s="1">
        <v>-1</v>
      </c>
      <c r="D1179" s="105">
        <v>46069</v>
      </c>
      <c r="E1179" s="105">
        <f t="shared" si="46"/>
        <v>46070</v>
      </c>
      <c r="F1179" s="105">
        <v>46069</v>
      </c>
      <c r="G1179" s="2">
        <f t="shared" si="45"/>
        <v>46070</v>
      </c>
      <c r="H1179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46055</v>
      </c>
      <c r="I1179" s="95" t="s">
        <v>868</v>
      </c>
    </row>
    <row r="1180" spans="1:9" x14ac:dyDescent="0.3">
      <c r="A1180" s="1" t="s">
        <v>110</v>
      </c>
      <c r="B1180" s="6"/>
      <c r="C1180" s="1">
        <v>-1</v>
      </c>
      <c r="D1180" s="105">
        <v>46108</v>
      </c>
      <c r="E1180" s="105">
        <f t="shared" si="46"/>
        <v>46115</v>
      </c>
      <c r="F1180" s="105">
        <v>46114</v>
      </c>
      <c r="G1180" s="2">
        <f t="shared" si="45"/>
        <v>46115</v>
      </c>
      <c r="H1180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46055</v>
      </c>
      <c r="I1180" s="95" t="s">
        <v>868</v>
      </c>
    </row>
    <row r="1181" spans="1:9" x14ac:dyDescent="0.3">
      <c r="A1181" s="1" t="s">
        <v>110</v>
      </c>
      <c r="B1181" s="6"/>
      <c r="C1181" s="1">
        <v>-1</v>
      </c>
      <c r="D1181" s="105">
        <v>46100</v>
      </c>
      <c r="E1181" s="105">
        <f t="shared" si="46"/>
        <v>46101</v>
      </c>
      <c r="F1181" s="105">
        <v>46100</v>
      </c>
      <c r="G1181" s="2">
        <f t="shared" si="45"/>
        <v>46101</v>
      </c>
      <c r="H1181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46055</v>
      </c>
      <c r="I1181" s="95" t="s">
        <v>868</v>
      </c>
    </row>
    <row r="1182" spans="1:9" x14ac:dyDescent="0.3">
      <c r="A1182" s="1" t="s">
        <v>110</v>
      </c>
      <c r="B1182" s="6"/>
      <c r="C1182" s="1">
        <v>-1</v>
      </c>
      <c r="D1182" s="105">
        <v>46063</v>
      </c>
      <c r="E1182" s="105">
        <f t="shared" si="46"/>
        <v>46064</v>
      </c>
      <c r="F1182" s="105">
        <v>46063</v>
      </c>
      <c r="G1182" s="2">
        <f t="shared" si="45"/>
        <v>46064</v>
      </c>
      <c r="H1182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46055</v>
      </c>
      <c r="I1182" s="95" t="s">
        <v>869</v>
      </c>
    </row>
    <row r="1183" spans="1:9" x14ac:dyDescent="0.3">
      <c r="A1183" s="1" t="s">
        <v>301</v>
      </c>
      <c r="B1183" s="6"/>
      <c r="C1183" s="1">
        <v>-1</v>
      </c>
      <c r="D1183" s="105">
        <v>46143</v>
      </c>
      <c r="E1183" s="105">
        <f t="shared" si="46"/>
        <v>46327</v>
      </c>
      <c r="F1183" s="105">
        <v>46326</v>
      </c>
      <c r="G1183" s="2">
        <f t="shared" si="45"/>
        <v>46327</v>
      </c>
      <c r="H1183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46055</v>
      </c>
      <c r="I1183" s="95" t="s">
        <v>870</v>
      </c>
    </row>
    <row r="1184" spans="1:9" x14ac:dyDescent="0.3">
      <c r="A1184" s="1" t="s">
        <v>85</v>
      </c>
      <c r="B1184" s="6"/>
      <c r="C1184" s="1">
        <v>-1</v>
      </c>
      <c r="D1184" s="105">
        <v>46116</v>
      </c>
      <c r="E1184" s="105">
        <f t="shared" si="46"/>
        <v>46124</v>
      </c>
      <c r="F1184" s="105">
        <v>46123</v>
      </c>
      <c r="G1184" s="2">
        <f t="shared" si="45"/>
        <v>46124</v>
      </c>
      <c r="H1184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46055</v>
      </c>
      <c r="I1184" s="95" t="s">
        <v>871</v>
      </c>
    </row>
    <row r="1185" spans="1:9" x14ac:dyDescent="0.3">
      <c r="A1185" s="1" t="s">
        <v>64</v>
      </c>
      <c r="B1185" s="6"/>
      <c r="C1185" s="1">
        <v>-1</v>
      </c>
      <c r="D1185" s="105">
        <v>46065</v>
      </c>
      <c r="E1185" s="105">
        <f t="shared" si="46"/>
        <v>46066</v>
      </c>
      <c r="F1185" s="105">
        <v>46065</v>
      </c>
      <c r="G1185" s="2">
        <f t="shared" si="45"/>
        <v>46066</v>
      </c>
      <c r="H1185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46056</v>
      </c>
      <c r="I1185" s="95" t="s">
        <v>872</v>
      </c>
    </row>
    <row r="1186" spans="1:9" x14ac:dyDescent="0.3">
      <c r="A1186" s="1" t="s">
        <v>78</v>
      </c>
      <c r="B1186" s="6"/>
      <c r="C1186" s="1">
        <v>-1</v>
      </c>
      <c r="D1186" s="105">
        <v>46063</v>
      </c>
      <c r="E1186" s="105">
        <f t="shared" si="46"/>
        <v>46064</v>
      </c>
      <c r="F1186" s="105">
        <v>46063</v>
      </c>
      <c r="G1186" s="2">
        <f t="shared" si="45"/>
        <v>46064</v>
      </c>
      <c r="H1186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46056</v>
      </c>
      <c r="I1186" s="95" t="s">
        <v>873</v>
      </c>
    </row>
    <row r="1187" spans="1:9" x14ac:dyDescent="0.3">
      <c r="A1187" s="1" t="s">
        <v>623</v>
      </c>
      <c r="B1187" s="6"/>
      <c r="C1187" s="1">
        <v>-1</v>
      </c>
      <c r="D1187" s="105">
        <v>46102</v>
      </c>
      <c r="E1187" s="105">
        <f t="shared" si="46"/>
        <v>46105</v>
      </c>
      <c r="F1187" s="105">
        <v>46104</v>
      </c>
      <c r="G1187" s="2">
        <f t="shared" si="45"/>
        <v>46105</v>
      </c>
      <c r="H1187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46056</v>
      </c>
      <c r="I1187" s="95" t="s">
        <v>874</v>
      </c>
    </row>
    <row r="1188" spans="1:9" x14ac:dyDescent="0.3">
      <c r="A1188" s="1" t="s">
        <v>104</v>
      </c>
      <c r="B1188" s="6"/>
      <c r="C1188" s="1">
        <v>-1</v>
      </c>
      <c r="D1188" s="105">
        <v>46081</v>
      </c>
      <c r="E1188" s="105">
        <f t="shared" si="46"/>
        <v>46082</v>
      </c>
      <c r="F1188" s="105">
        <v>46081</v>
      </c>
      <c r="G1188" s="2">
        <f t="shared" ref="G1188:G1251" si="47">F1188+1</f>
        <v>46082</v>
      </c>
      <c r="H1188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46056</v>
      </c>
      <c r="I1188" s="95" t="s">
        <v>875</v>
      </c>
    </row>
    <row r="1189" spans="1:9" x14ac:dyDescent="0.3">
      <c r="A1189" s="1" t="s">
        <v>104</v>
      </c>
      <c r="B1189" s="6"/>
      <c r="C1189" s="1">
        <v>-1</v>
      </c>
      <c r="D1189" s="105">
        <v>46106</v>
      </c>
      <c r="E1189" s="105">
        <f t="shared" si="46"/>
        <v>46109</v>
      </c>
      <c r="F1189" s="105">
        <v>46108</v>
      </c>
      <c r="G1189" s="2">
        <f t="shared" si="47"/>
        <v>46109</v>
      </c>
      <c r="H1189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46056</v>
      </c>
      <c r="I1189" s="95" t="s">
        <v>875</v>
      </c>
    </row>
    <row r="1190" spans="1:9" x14ac:dyDescent="0.3">
      <c r="A1190" s="1" t="s">
        <v>104</v>
      </c>
      <c r="B1190" s="6"/>
      <c r="C1190" s="1">
        <v>-1</v>
      </c>
      <c r="D1190" s="105">
        <v>46113</v>
      </c>
      <c r="E1190" s="105">
        <f t="shared" si="46"/>
        <v>46118</v>
      </c>
      <c r="F1190" s="105">
        <v>46117</v>
      </c>
      <c r="G1190" s="2">
        <f t="shared" si="47"/>
        <v>46118</v>
      </c>
      <c r="H1190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46056</v>
      </c>
      <c r="I1190" s="95" t="s">
        <v>875</v>
      </c>
    </row>
    <row r="1191" spans="1:9" x14ac:dyDescent="0.3">
      <c r="A1191" s="1" t="s">
        <v>295</v>
      </c>
      <c r="B1191" s="6"/>
      <c r="C1191" s="1">
        <v>-1</v>
      </c>
      <c r="D1191" s="105">
        <v>46113</v>
      </c>
      <c r="E1191" s="105">
        <f t="shared" si="46"/>
        <v>46123</v>
      </c>
      <c r="F1191" s="105">
        <v>46122</v>
      </c>
      <c r="G1191" s="2">
        <f t="shared" si="47"/>
        <v>46123</v>
      </c>
      <c r="H1191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46056</v>
      </c>
      <c r="I1191" s="95" t="s">
        <v>876</v>
      </c>
    </row>
    <row r="1192" spans="1:9" x14ac:dyDescent="0.3">
      <c r="A1192" s="1" t="s">
        <v>127</v>
      </c>
      <c r="B1192" s="6"/>
      <c r="C1192" s="1">
        <v>-1</v>
      </c>
      <c r="D1192" s="105">
        <v>46219</v>
      </c>
      <c r="E1192" s="105">
        <f t="shared" si="46"/>
        <v>46230</v>
      </c>
      <c r="F1192" s="105">
        <v>46229</v>
      </c>
      <c r="G1192" s="2">
        <f t="shared" si="47"/>
        <v>46230</v>
      </c>
      <c r="H1192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46056</v>
      </c>
      <c r="I1192" s="95" t="s">
        <v>877</v>
      </c>
    </row>
    <row r="1193" spans="1:9" x14ac:dyDescent="0.3">
      <c r="A1193" s="1" t="s">
        <v>127</v>
      </c>
      <c r="B1193" s="6"/>
      <c r="C1193" s="1">
        <v>-1</v>
      </c>
      <c r="D1193" s="105">
        <v>46235</v>
      </c>
      <c r="E1193" s="105">
        <f t="shared" si="46"/>
        <v>46252</v>
      </c>
      <c r="F1193" s="105">
        <v>46251</v>
      </c>
      <c r="G1193" s="2">
        <f t="shared" si="47"/>
        <v>46252</v>
      </c>
      <c r="H1193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46056</v>
      </c>
      <c r="I1193" s="95" t="s">
        <v>877</v>
      </c>
    </row>
    <row r="1194" spans="1:9" x14ac:dyDescent="0.3">
      <c r="A1194" s="1" t="s">
        <v>113</v>
      </c>
      <c r="B1194" s="6"/>
      <c r="C1194" s="1">
        <v>-1</v>
      </c>
      <c r="D1194" s="105">
        <v>46120</v>
      </c>
      <c r="E1194" s="105">
        <f t="shared" si="46"/>
        <v>46123</v>
      </c>
      <c r="F1194" s="105">
        <v>46122</v>
      </c>
      <c r="G1194" s="2">
        <f t="shared" si="47"/>
        <v>46123</v>
      </c>
      <c r="H1194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46056</v>
      </c>
      <c r="I1194" s="95" t="s">
        <v>878</v>
      </c>
    </row>
    <row r="1195" spans="1:9" x14ac:dyDescent="0.3">
      <c r="A1195" s="1" t="s">
        <v>113</v>
      </c>
      <c r="B1195" s="6"/>
      <c r="C1195" s="1">
        <v>-1</v>
      </c>
      <c r="D1195" s="105">
        <v>46129</v>
      </c>
      <c r="E1195" s="105">
        <f t="shared" si="46"/>
        <v>46137</v>
      </c>
      <c r="F1195" s="105">
        <v>46136</v>
      </c>
      <c r="G1195" s="2">
        <f t="shared" si="47"/>
        <v>46137</v>
      </c>
      <c r="H1195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46056</v>
      </c>
      <c r="I1195" s="95" t="s">
        <v>878</v>
      </c>
    </row>
    <row r="1196" spans="1:9" x14ac:dyDescent="0.3">
      <c r="A1196" s="1" t="s">
        <v>113</v>
      </c>
      <c r="B1196" s="6"/>
      <c r="C1196" s="1">
        <v>-1</v>
      </c>
      <c r="D1196" s="105">
        <v>46102</v>
      </c>
      <c r="E1196" s="105">
        <f t="shared" si="46"/>
        <v>46108</v>
      </c>
      <c r="F1196" s="105">
        <v>46107</v>
      </c>
      <c r="G1196" s="2">
        <f t="shared" si="47"/>
        <v>46108</v>
      </c>
      <c r="H1196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46056</v>
      </c>
      <c r="I1196" s="95" t="s">
        <v>878</v>
      </c>
    </row>
    <row r="1197" spans="1:9" x14ac:dyDescent="0.3">
      <c r="A1197" s="1" t="s">
        <v>528</v>
      </c>
      <c r="B1197" s="6"/>
      <c r="C1197" s="1">
        <v>-1</v>
      </c>
      <c r="D1197" s="105">
        <v>46107</v>
      </c>
      <c r="E1197" s="105">
        <f t="shared" si="46"/>
        <v>46110</v>
      </c>
      <c r="F1197" s="105">
        <v>46109</v>
      </c>
      <c r="G1197" s="2">
        <f t="shared" si="47"/>
        <v>46110</v>
      </c>
      <c r="H1197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46057</v>
      </c>
      <c r="I1197" s="95" t="s">
        <v>879</v>
      </c>
    </row>
    <row r="1198" spans="1:9" x14ac:dyDescent="0.3">
      <c r="A1198" s="1" t="s">
        <v>86</v>
      </c>
      <c r="B1198" s="6"/>
      <c r="C1198" s="1">
        <v>-1</v>
      </c>
      <c r="D1198" s="105">
        <v>46069</v>
      </c>
      <c r="E1198" s="105" t="e">
        <f t="shared" si="46"/>
        <v>#REF!</v>
      </c>
      <c r="F1198" s="105">
        <v>46076</v>
      </c>
      <c r="G1198" s="2" t="e">
        <f>#REF!+1</f>
        <v>#REF!</v>
      </c>
      <c r="H1198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46056</v>
      </c>
      <c r="I1198" s="95" t="s">
        <v>880</v>
      </c>
    </row>
    <row r="1199" spans="1:9" x14ac:dyDescent="0.3">
      <c r="A1199" s="1" t="s">
        <v>294</v>
      </c>
      <c r="B1199" s="6"/>
      <c r="C1199" s="1">
        <v>-1</v>
      </c>
      <c r="D1199" s="105">
        <v>46088</v>
      </c>
      <c r="E1199" s="105">
        <f t="shared" si="46"/>
        <v>46077</v>
      </c>
      <c r="F1199" s="2">
        <v>46093</v>
      </c>
      <c r="G1199" s="2">
        <f>F1198+1</f>
        <v>46077</v>
      </c>
      <c r="H1199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46057</v>
      </c>
      <c r="I1199" s="95" t="s">
        <v>881</v>
      </c>
    </row>
    <row r="1200" spans="1:9" x14ac:dyDescent="0.3">
      <c r="A1200" s="1" t="s">
        <v>294</v>
      </c>
      <c r="B1200" s="6"/>
      <c r="C1200" s="1">
        <v>-1</v>
      </c>
      <c r="D1200" s="105">
        <v>46096</v>
      </c>
      <c r="E1200" s="105">
        <f t="shared" si="46"/>
        <v>46100</v>
      </c>
      <c r="F1200" s="105">
        <v>46099</v>
      </c>
      <c r="G1200" s="2">
        <f t="shared" si="47"/>
        <v>46100</v>
      </c>
      <c r="H1200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46057</v>
      </c>
      <c r="I1200" s="95" t="s">
        <v>881</v>
      </c>
    </row>
    <row r="1201" spans="1:9" x14ac:dyDescent="0.3">
      <c r="A1201" s="1" t="s">
        <v>294</v>
      </c>
      <c r="B1201" s="6"/>
      <c r="C1201" s="1">
        <v>-1</v>
      </c>
      <c r="D1201" s="105">
        <v>46131</v>
      </c>
      <c r="E1201" s="105">
        <f t="shared" si="46"/>
        <v>46135</v>
      </c>
      <c r="F1201" s="105">
        <v>46134</v>
      </c>
      <c r="G1201" s="2">
        <f t="shared" si="47"/>
        <v>46135</v>
      </c>
      <c r="H1201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46057</v>
      </c>
      <c r="I1201" s="95" t="s">
        <v>881</v>
      </c>
    </row>
    <row r="1202" spans="1:9" x14ac:dyDescent="0.3">
      <c r="A1202" s="1" t="s">
        <v>148</v>
      </c>
      <c r="B1202" s="6"/>
      <c r="C1202" s="1">
        <v>-1</v>
      </c>
      <c r="D1202" s="105">
        <v>46065</v>
      </c>
      <c r="E1202" s="105">
        <f t="shared" si="46"/>
        <v>46067</v>
      </c>
      <c r="F1202" s="105">
        <v>46066</v>
      </c>
      <c r="G1202" s="2">
        <f t="shared" si="47"/>
        <v>46067</v>
      </c>
      <c r="H1202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46057</v>
      </c>
      <c r="I1202" s="95" t="s">
        <v>882</v>
      </c>
    </row>
    <row r="1203" spans="1:9" x14ac:dyDescent="0.3">
      <c r="A1203" s="1" t="s">
        <v>148</v>
      </c>
      <c r="B1203" s="6"/>
      <c r="C1203" s="1">
        <v>-1</v>
      </c>
      <c r="D1203" s="105">
        <v>46065</v>
      </c>
      <c r="E1203" s="105">
        <f t="shared" si="46"/>
        <v>46066</v>
      </c>
      <c r="F1203" s="105">
        <v>46065</v>
      </c>
      <c r="G1203" s="2">
        <f t="shared" si="47"/>
        <v>46066</v>
      </c>
      <c r="H1203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46057</v>
      </c>
      <c r="I1203" s="95" t="s">
        <v>883</v>
      </c>
    </row>
    <row r="1204" spans="1:9" x14ac:dyDescent="0.3">
      <c r="A1204" s="1" t="s">
        <v>148</v>
      </c>
      <c r="B1204" s="6"/>
      <c r="C1204" s="1">
        <v>-1</v>
      </c>
      <c r="D1204" s="105">
        <v>46068</v>
      </c>
      <c r="E1204" s="105">
        <f t="shared" si="46"/>
        <v>46071</v>
      </c>
      <c r="F1204" s="105">
        <v>46070</v>
      </c>
      <c r="G1204" s="2">
        <f t="shared" si="47"/>
        <v>46071</v>
      </c>
      <c r="H1204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46057</v>
      </c>
      <c r="I1204" s="95" t="s">
        <v>883</v>
      </c>
    </row>
    <row r="1205" spans="1:9" x14ac:dyDescent="0.3">
      <c r="A1205" s="1" t="s">
        <v>148</v>
      </c>
      <c r="B1205" s="6"/>
      <c r="C1205" s="1">
        <v>-1</v>
      </c>
      <c r="D1205" s="105">
        <v>46105</v>
      </c>
      <c r="E1205" s="105">
        <f t="shared" si="46"/>
        <v>46106</v>
      </c>
      <c r="F1205" s="105">
        <v>46105</v>
      </c>
      <c r="G1205" s="2">
        <f t="shared" si="47"/>
        <v>46106</v>
      </c>
      <c r="H1205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46057</v>
      </c>
      <c r="I1205" s="95" t="s">
        <v>883</v>
      </c>
    </row>
    <row r="1206" spans="1:9" x14ac:dyDescent="0.3">
      <c r="A1206" s="1" t="s">
        <v>148</v>
      </c>
      <c r="B1206" s="6"/>
      <c r="C1206" s="1">
        <v>-1</v>
      </c>
      <c r="D1206" s="105">
        <v>46116</v>
      </c>
      <c r="E1206" s="105">
        <f t="shared" si="46"/>
        <v>46119</v>
      </c>
      <c r="F1206" s="105">
        <v>46118</v>
      </c>
      <c r="G1206" s="2">
        <f t="shared" si="47"/>
        <v>46119</v>
      </c>
      <c r="H1206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46057</v>
      </c>
      <c r="I1206" s="95" t="s">
        <v>883</v>
      </c>
    </row>
    <row r="1207" spans="1:9" x14ac:dyDescent="0.3">
      <c r="A1207" s="1" t="s">
        <v>51</v>
      </c>
      <c r="B1207" s="6"/>
      <c r="C1207" s="1">
        <v>-1</v>
      </c>
      <c r="D1207" s="105">
        <v>46100</v>
      </c>
      <c r="E1207" s="105">
        <f t="shared" si="46"/>
        <v>46107</v>
      </c>
      <c r="F1207" s="105">
        <v>46106</v>
      </c>
      <c r="G1207" s="2">
        <f t="shared" si="47"/>
        <v>46107</v>
      </c>
      <c r="H1207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46057</v>
      </c>
      <c r="I1207" s="95" t="s">
        <v>884</v>
      </c>
    </row>
    <row r="1208" spans="1:9" x14ac:dyDescent="0.3">
      <c r="A1208" s="1" t="s">
        <v>160</v>
      </c>
      <c r="B1208" s="6"/>
      <c r="C1208" s="1">
        <v>-1</v>
      </c>
      <c r="D1208" s="105">
        <v>46110</v>
      </c>
      <c r="E1208" s="105">
        <f t="shared" si="46"/>
        <v>46111</v>
      </c>
      <c r="F1208" s="105">
        <v>46110</v>
      </c>
      <c r="G1208" s="2">
        <f t="shared" si="47"/>
        <v>46111</v>
      </c>
      <c r="H1208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46057</v>
      </c>
      <c r="I1208" s="95" t="s">
        <v>885</v>
      </c>
    </row>
    <row r="1209" spans="1:9" x14ac:dyDescent="0.3">
      <c r="A1209" s="1" t="s">
        <v>67</v>
      </c>
      <c r="B1209" s="6"/>
      <c r="C1209" s="1">
        <v>-1</v>
      </c>
      <c r="D1209" s="105">
        <v>46070</v>
      </c>
      <c r="E1209" s="105">
        <f t="shared" si="46"/>
        <v>46071</v>
      </c>
      <c r="F1209" s="105">
        <v>46070</v>
      </c>
      <c r="G1209" s="2">
        <f t="shared" si="47"/>
        <v>46071</v>
      </c>
      <c r="H1209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46057</v>
      </c>
      <c r="I1209" s="95" t="s">
        <v>886</v>
      </c>
    </row>
    <row r="1210" spans="1:9" x14ac:dyDescent="0.3">
      <c r="A1210" s="1" t="s">
        <v>118</v>
      </c>
      <c r="B1210" s="6"/>
      <c r="C1210" s="1">
        <v>-1</v>
      </c>
      <c r="D1210" s="105">
        <v>46155.041666666599</v>
      </c>
      <c r="E1210" s="105">
        <f t="shared" si="46"/>
        <v>46158</v>
      </c>
      <c r="F1210" s="105">
        <v>46157</v>
      </c>
      <c r="G1210" s="2">
        <f t="shared" si="47"/>
        <v>46158</v>
      </c>
      <c r="H1210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46057</v>
      </c>
      <c r="I1210" s="95" t="s">
        <v>887</v>
      </c>
    </row>
    <row r="1211" spans="1:9" x14ac:dyDescent="0.3">
      <c r="A1211" s="1" t="s">
        <v>303</v>
      </c>
      <c r="B1211" s="6"/>
      <c r="C1211" s="1">
        <v>-1</v>
      </c>
      <c r="D1211" s="105">
        <v>46088</v>
      </c>
      <c r="E1211" s="105">
        <f t="shared" ref="E1211:E1274" si="48">G1211</f>
        <v>46074</v>
      </c>
      <c r="F1211" s="105">
        <v>46073</v>
      </c>
      <c r="G1211" s="2">
        <f t="shared" si="47"/>
        <v>46074</v>
      </c>
      <c r="H1211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46057</v>
      </c>
      <c r="I1211" s="95" t="s">
        <v>888</v>
      </c>
    </row>
    <row r="1212" spans="1:9" x14ac:dyDescent="0.3">
      <c r="A1212" s="1" t="s">
        <v>290</v>
      </c>
      <c r="B1212" s="6"/>
      <c r="C1212" s="1">
        <v>-1</v>
      </c>
      <c r="D1212" s="105">
        <v>46058</v>
      </c>
      <c r="E1212" s="105">
        <f t="shared" si="48"/>
        <v>46082</v>
      </c>
      <c r="F1212" s="105">
        <v>46081</v>
      </c>
      <c r="G1212" s="2">
        <f t="shared" si="47"/>
        <v>46082</v>
      </c>
      <c r="H1212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46057</v>
      </c>
      <c r="I1212" s="95" t="s">
        <v>889</v>
      </c>
    </row>
    <row r="1213" spans="1:9" x14ac:dyDescent="0.3">
      <c r="A1213" s="1" t="s">
        <v>292</v>
      </c>
      <c r="B1213" s="6"/>
      <c r="C1213" s="1">
        <v>-1</v>
      </c>
      <c r="D1213" s="105">
        <v>46058</v>
      </c>
      <c r="E1213" s="105">
        <f t="shared" si="48"/>
        <v>46082</v>
      </c>
      <c r="F1213" s="105">
        <v>46081</v>
      </c>
      <c r="G1213" s="2">
        <f t="shared" si="47"/>
        <v>46082</v>
      </c>
      <c r="H1213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46057</v>
      </c>
      <c r="I1213" s="95" t="s">
        <v>889</v>
      </c>
    </row>
    <row r="1214" spans="1:9" x14ac:dyDescent="0.3">
      <c r="A1214" s="1" t="s">
        <v>126</v>
      </c>
      <c r="B1214" s="6"/>
      <c r="C1214" s="1">
        <v>-1</v>
      </c>
      <c r="D1214" s="105">
        <v>46079</v>
      </c>
      <c r="E1214" s="105">
        <f t="shared" si="48"/>
        <v>46081</v>
      </c>
      <c r="F1214" s="105">
        <v>46080</v>
      </c>
      <c r="G1214" s="2">
        <f t="shared" si="47"/>
        <v>46081</v>
      </c>
      <c r="H1214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46057</v>
      </c>
      <c r="I1214" s="95" t="s">
        <v>890</v>
      </c>
    </row>
    <row r="1215" spans="1:9" x14ac:dyDescent="0.3">
      <c r="A1215" s="1" t="s">
        <v>57</v>
      </c>
      <c r="B1215" s="6"/>
      <c r="C1215" s="1">
        <v>-1</v>
      </c>
      <c r="D1215" s="105">
        <v>46062</v>
      </c>
      <c r="E1215" s="105">
        <f t="shared" si="48"/>
        <v>46065</v>
      </c>
      <c r="F1215" s="105">
        <v>46064</v>
      </c>
      <c r="G1215" s="2">
        <f t="shared" si="47"/>
        <v>46065</v>
      </c>
      <c r="H1215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46057</v>
      </c>
      <c r="I1215" s="95" t="s">
        <v>891</v>
      </c>
    </row>
    <row r="1216" spans="1:9" x14ac:dyDescent="0.3">
      <c r="A1216" s="1" t="s">
        <v>57</v>
      </c>
      <c r="B1216" s="6"/>
      <c r="C1216" s="1">
        <v>-1</v>
      </c>
      <c r="D1216" s="105">
        <v>46072</v>
      </c>
      <c r="E1216" s="105">
        <f t="shared" si="48"/>
        <v>46076</v>
      </c>
      <c r="F1216" s="105">
        <v>46075</v>
      </c>
      <c r="G1216" s="2">
        <f t="shared" si="47"/>
        <v>46076</v>
      </c>
      <c r="H1216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46057</v>
      </c>
      <c r="I1216" s="95" t="s">
        <v>891</v>
      </c>
    </row>
    <row r="1217" spans="1:9" x14ac:dyDescent="0.3">
      <c r="A1217" s="1" t="s">
        <v>57</v>
      </c>
      <c r="B1217" s="6"/>
      <c r="C1217" s="1">
        <v>-1</v>
      </c>
      <c r="D1217" s="105">
        <v>46080</v>
      </c>
      <c r="E1217" s="105">
        <f t="shared" si="48"/>
        <v>46082</v>
      </c>
      <c r="F1217" s="105">
        <v>46081</v>
      </c>
      <c r="G1217" s="2">
        <f t="shared" si="47"/>
        <v>46082</v>
      </c>
      <c r="H1217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46057</v>
      </c>
      <c r="I1217" s="95" t="s">
        <v>891</v>
      </c>
    </row>
    <row r="1218" spans="1:9" x14ac:dyDescent="0.3">
      <c r="A1218" s="1" t="s">
        <v>57</v>
      </c>
      <c r="B1218" s="6"/>
      <c r="C1218" s="1">
        <v>-1</v>
      </c>
      <c r="D1218" s="105">
        <v>46085</v>
      </c>
      <c r="E1218" s="105">
        <f t="shared" si="48"/>
        <v>46087</v>
      </c>
      <c r="F1218" s="105">
        <v>46086</v>
      </c>
      <c r="G1218" s="2">
        <f t="shared" si="47"/>
        <v>46087</v>
      </c>
      <c r="H1218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46057</v>
      </c>
      <c r="I1218" s="95" t="s">
        <v>891</v>
      </c>
    </row>
    <row r="1219" spans="1:9" x14ac:dyDescent="0.3">
      <c r="A1219" s="1" t="s">
        <v>308</v>
      </c>
      <c r="B1219" s="6"/>
      <c r="C1219" s="1">
        <v>-1</v>
      </c>
      <c r="D1219" s="105">
        <v>46057</v>
      </c>
      <c r="E1219" s="105">
        <f t="shared" si="48"/>
        <v>46066</v>
      </c>
      <c r="F1219" s="105">
        <v>46065</v>
      </c>
      <c r="G1219" s="2">
        <f t="shared" si="47"/>
        <v>46066</v>
      </c>
      <c r="H1219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46057</v>
      </c>
      <c r="I1219" s="95" t="s">
        <v>892</v>
      </c>
    </row>
    <row r="1220" spans="1:9" x14ac:dyDescent="0.3">
      <c r="A1220" s="1" t="s">
        <v>108</v>
      </c>
      <c r="B1220" s="6"/>
      <c r="C1220" s="1">
        <v>-1</v>
      </c>
      <c r="D1220" s="105">
        <v>46057</v>
      </c>
      <c r="E1220" s="105">
        <f t="shared" si="48"/>
        <v>46066</v>
      </c>
      <c r="F1220" s="105">
        <v>46065</v>
      </c>
      <c r="G1220" s="2">
        <f t="shared" si="47"/>
        <v>46066</v>
      </c>
      <c r="H1220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46057</v>
      </c>
      <c r="I1220" s="95" t="s">
        <v>892</v>
      </c>
    </row>
    <row r="1221" spans="1:9" x14ac:dyDescent="0.3">
      <c r="A1221" s="1" t="s">
        <v>893</v>
      </c>
      <c r="B1221" s="6"/>
      <c r="C1221" s="1">
        <v>-1</v>
      </c>
      <c r="D1221" s="105">
        <v>46089</v>
      </c>
      <c r="E1221" s="105">
        <f t="shared" si="48"/>
        <v>46098</v>
      </c>
      <c r="F1221" s="105">
        <v>46097</v>
      </c>
      <c r="G1221" s="2">
        <f t="shared" si="47"/>
        <v>46098</v>
      </c>
      <c r="H1221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46058</v>
      </c>
      <c r="I1221" s="95" t="s">
        <v>894</v>
      </c>
    </row>
    <row r="1222" spans="1:9" x14ac:dyDescent="0.3">
      <c r="A1222" s="1" t="s">
        <v>123</v>
      </c>
      <c r="B1222" s="6"/>
      <c r="C1222" s="1">
        <v>-1</v>
      </c>
      <c r="D1222" s="105">
        <v>46095</v>
      </c>
      <c r="E1222" s="105">
        <f t="shared" si="48"/>
        <v>46097</v>
      </c>
      <c r="F1222" s="105">
        <v>46096</v>
      </c>
      <c r="G1222" s="2">
        <f t="shared" si="47"/>
        <v>46097</v>
      </c>
      <c r="H1222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46058</v>
      </c>
      <c r="I1222" s="95" t="s">
        <v>894</v>
      </c>
    </row>
    <row r="1223" spans="1:9" x14ac:dyDescent="0.3">
      <c r="A1223" s="1" t="s">
        <v>123</v>
      </c>
      <c r="B1223" s="6"/>
      <c r="C1223" s="1">
        <v>-1</v>
      </c>
      <c r="D1223" s="105">
        <v>46072</v>
      </c>
      <c r="E1223" s="105">
        <f t="shared" si="48"/>
        <v>46079</v>
      </c>
      <c r="F1223" s="105">
        <v>46078</v>
      </c>
      <c r="G1223" s="2">
        <f t="shared" si="47"/>
        <v>46079</v>
      </c>
      <c r="H1223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46058</v>
      </c>
      <c r="I1223" s="95" t="s">
        <v>894</v>
      </c>
    </row>
    <row r="1224" spans="1:9" x14ac:dyDescent="0.3">
      <c r="A1224" s="1" t="s">
        <v>123</v>
      </c>
      <c r="B1224" s="6"/>
      <c r="C1224" s="1">
        <v>-1</v>
      </c>
      <c r="D1224" s="105">
        <v>46085</v>
      </c>
      <c r="E1224" s="105">
        <f t="shared" si="48"/>
        <v>46092</v>
      </c>
      <c r="F1224" s="105">
        <v>46091</v>
      </c>
      <c r="G1224" s="2">
        <f t="shared" si="47"/>
        <v>46092</v>
      </c>
      <c r="H1224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46058</v>
      </c>
      <c r="I1224" s="95" t="s">
        <v>894</v>
      </c>
    </row>
    <row r="1225" spans="1:9" x14ac:dyDescent="0.3">
      <c r="A1225" s="1" t="s">
        <v>67</v>
      </c>
      <c r="B1225" s="6"/>
      <c r="C1225" s="1">
        <v>-1</v>
      </c>
      <c r="D1225" s="105">
        <v>46125</v>
      </c>
      <c r="E1225" s="105">
        <f t="shared" si="48"/>
        <v>46126</v>
      </c>
      <c r="F1225" s="105">
        <v>46125</v>
      </c>
      <c r="G1225" s="2">
        <f t="shared" si="47"/>
        <v>46126</v>
      </c>
      <c r="H1225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46058</v>
      </c>
      <c r="I1225" s="95" t="s">
        <v>894</v>
      </c>
    </row>
    <row r="1226" spans="1:9" x14ac:dyDescent="0.3">
      <c r="A1226" s="1" t="s">
        <v>64</v>
      </c>
      <c r="B1226" s="6"/>
      <c r="C1226" s="1">
        <v>-1</v>
      </c>
      <c r="D1226" s="105">
        <v>46069</v>
      </c>
      <c r="E1226" s="105">
        <f t="shared" si="48"/>
        <v>46070</v>
      </c>
      <c r="F1226" s="105">
        <v>46069</v>
      </c>
      <c r="G1226" s="2">
        <f t="shared" si="47"/>
        <v>46070</v>
      </c>
      <c r="H1226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46058</v>
      </c>
      <c r="I1226" s="95" t="s">
        <v>895</v>
      </c>
    </row>
    <row r="1227" spans="1:9" x14ac:dyDescent="0.3">
      <c r="A1227" s="1" t="s">
        <v>71</v>
      </c>
      <c r="B1227" s="6"/>
      <c r="C1227" s="1">
        <v>-1</v>
      </c>
      <c r="D1227" s="105">
        <v>46065</v>
      </c>
      <c r="E1227" s="105">
        <f t="shared" si="48"/>
        <v>46066</v>
      </c>
      <c r="F1227" s="105">
        <v>46065</v>
      </c>
      <c r="G1227" s="2">
        <f t="shared" si="47"/>
        <v>46066</v>
      </c>
      <c r="H1227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46058</v>
      </c>
      <c r="I1227" s="95" t="s">
        <v>896</v>
      </c>
    </row>
    <row r="1228" spans="1:9" x14ac:dyDescent="0.3">
      <c r="A1228" s="1" t="s">
        <v>85</v>
      </c>
      <c r="B1228" s="6"/>
      <c r="C1228" s="1">
        <v>-1</v>
      </c>
      <c r="D1228" s="105">
        <v>46119</v>
      </c>
      <c r="E1228" s="105">
        <f t="shared" si="48"/>
        <v>46122</v>
      </c>
      <c r="F1228" s="105">
        <v>46121</v>
      </c>
      <c r="G1228" s="2">
        <f t="shared" si="47"/>
        <v>46122</v>
      </c>
      <c r="H1228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46058</v>
      </c>
      <c r="I1228" s="95" t="s">
        <v>897</v>
      </c>
    </row>
    <row r="1229" spans="1:9" x14ac:dyDescent="0.3">
      <c r="A1229" s="1" t="s">
        <v>295</v>
      </c>
      <c r="B1229" s="6"/>
      <c r="C1229" s="1">
        <v>-1</v>
      </c>
      <c r="D1229" s="105">
        <v>46113</v>
      </c>
      <c r="E1229" s="105">
        <f t="shared" si="48"/>
        <v>46123</v>
      </c>
      <c r="F1229" s="105">
        <v>46122</v>
      </c>
      <c r="G1229" s="2">
        <f t="shared" si="47"/>
        <v>46123</v>
      </c>
      <c r="H1229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46058</v>
      </c>
      <c r="I1229" s="95" t="s">
        <v>898</v>
      </c>
    </row>
    <row r="1230" spans="1:9" x14ac:dyDescent="0.3">
      <c r="A1230" s="1" t="s">
        <v>126</v>
      </c>
      <c r="B1230" s="6"/>
      <c r="C1230" s="1">
        <v>-1</v>
      </c>
      <c r="D1230" s="105">
        <v>46101</v>
      </c>
      <c r="E1230" s="105">
        <f t="shared" si="48"/>
        <v>46105</v>
      </c>
      <c r="F1230" s="105">
        <v>46104</v>
      </c>
      <c r="G1230" s="2">
        <f t="shared" si="47"/>
        <v>46105</v>
      </c>
      <c r="H1230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46058</v>
      </c>
      <c r="I1230" s="95" t="s">
        <v>899</v>
      </c>
    </row>
    <row r="1231" spans="1:9" x14ac:dyDescent="0.3">
      <c r="A1231" s="1" t="s">
        <v>308</v>
      </c>
      <c r="B1231" s="6"/>
      <c r="C1231" s="1">
        <v>-1</v>
      </c>
      <c r="D1231" s="105">
        <v>46102</v>
      </c>
      <c r="E1231" s="105">
        <f t="shared" si="48"/>
        <v>46108</v>
      </c>
      <c r="F1231" s="105">
        <v>46107</v>
      </c>
      <c r="G1231" s="2">
        <f t="shared" si="47"/>
        <v>46108</v>
      </c>
      <c r="H1231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46058</v>
      </c>
      <c r="I1231" s="95" t="s">
        <v>900</v>
      </c>
    </row>
    <row r="1232" spans="1:9" x14ac:dyDescent="0.3">
      <c r="A1232" s="1" t="s">
        <v>92</v>
      </c>
      <c r="B1232" s="6"/>
      <c r="C1232" s="1">
        <v>-1</v>
      </c>
      <c r="D1232" s="105">
        <v>46074</v>
      </c>
      <c r="E1232" s="105">
        <f t="shared" si="48"/>
        <v>46076</v>
      </c>
      <c r="F1232" s="105">
        <v>46075</v>
      </c>
      <c r="G1232" s="2">
        <f t="shared" si="47"/>
        <v>46076</v>
      </c>
      <c r="H1232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46058</v>
      </c>
      <c r="I1232" s="95" t="s">
        <v>901</v>
      </c>
    </row>
    <row r="1233" spans="1:9" x14ac:dyDescent="0.3">
      <c r="A1233" s="1" t="s">
        <v>126</v>
      </c>
      <c r="B1233" s="6"/>
      <c r="C1233" s="1">
        <v>-1</v>
      </c>
      <c r="D1233" s="105">
        <v>46082</v>
      </c>
      <c r="E1233" s="105">
        <f t="shared" si="48"/>
        <v>46083</v>
      </c>
      <c r="F1233" s="105">
        <v>46082</v>
      </c>
      <c r="G1233" s="2">
        <f t="shared" si="47"/>
        <v>46083</v>
      </c>
      <c r="H1233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46059</v>
      </c>
      <c r="I1233" s="95" t="s">
        <v>902</v>
      </c>
    </row>
    <row r="1234" spans="1:9" x14ac:dyDescent="0.3">
      <c r="A1234" s="1" t="s">
        <v>148</v>
      </c>
      <c r="B1234" s="6"/>
      <c r="C1234" s="1">
        <v>-1</v>
      </c>
      <c r="D1234" s="105">
        <v>46060</v>
      </c>
      <c r="E1234" s="105">
        <f t="shared" si="48"/>
        <v>46071</v>
      </c>
      <c r="F1234" s="105">
        <v>46070</v>
      </c>
      <c r="G1234" s="2">
        <f t="shared" si="47"/>
        <v>46071</v>
      </c>
      <c r="H1234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46059</v>
      </c>
      <c r="I1234" s="95" t="s">
        <v>903</v>
      </c>
    </row>
    <row r="1235" spans="1:9" x14ac:dyDescent="0.3">
      <c r="A1235" s="1" t="s">
        <v>148</v>
      </c>
      <c r="B1235" s="6"/>
      <c r="C1235" s="1">
        <v>-1</v>
      </c>
      <c r="D1235" s="105">
        <v>46078</v>
      </c>
      <c r="E1235" s="105">
        <f t="shared" si="48"/>
        <v>46084</v>
      </c>
      <c r="F1235" s="105">
        <v>46083</v>
      </c>
      <c r="G1235" s="2">
        <f t="shared" si="47"/>
        <v>46084</v>
      </c>
      <c r="H1235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46059</v>
      </c>
      <c r="I1235" s="95" t="s">
        <v>903</v>
      </c>
    </row>
    <row r="1236" spans="1:9" x14ac:dyDescent="0.3">
      <c r="A1236" s="1" t="s">
        <v>148</v>
      </c>
      <c r="B1236" s="6"/>
      <c r="C1236" s="1">
        <v>-1</v>
      </c>
      <c r="D1236" s="105">
        <v>46133</v>
      </c>
      <c r="E1236" s="105">
        <f t="shared" si="48"/>
        <v>46213</v>
      </c>
      <c r="F1236" s="105">
        <v>46212</v>
      </c>
      <c r="G1236" s="2">
        <f t="shared" si="47"/>
        <v>46213</v>
      </c>
      <c r="H1236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46059</v>
      </c>
      <c r="I1236" s="95" t="s">
        <v>903</v>
      </c>
    </row>
    <row r="1237" spans="1:9" x14ac:dyDescent="0.3">
      <c r="A1237" s="1" t="s">
        <v>148</v>
      </c>
      <c r="B1237" s="6"/>
      <c r="C1237" s="1">
        <v>-1</v>
      </c>
      <c r="D1237" s="105">
        <v>46236</v>
      </c>
      <c r="E1237" s="105">
        <f t="shared" si="48"/>
        <v>46266</v>
      </c>
      <c r="F1237" s="105">
        <v>46265</v>
      </c>
      <c r="G1237" s="2">
        <f t="shared" si="47"/>
        <v>46266</v>
      </c>
      <c r="H1237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46059</v>
      </c>
      <c r="I1237" s="95" t="s">
        <v>903</v>
      </c>
    </row>
    <row r="1238" spans="1:9" x14ac:dyDescent="0.3">
      <c r="A1238" s="1" t="s">
        <v>148</v>
      </c>
      <c r="B1238" s="6"/>
      <c r="C1238" s="1">
        <v>-1</v>
      </c>
      <c r="D1238" s="105">
        <v>46102</v>
      </c>
      <c r="E1238" s="105">
        <f t="shared" si="48"/>
        <v>46103</v>
      </c>
      <c r="F1238" s="105">
        <v>46102</v>
      </c>
      <c r="G1238" s="2">
        <f t="shared" si="47"/>
        <v>46103</v>
      </c>
      <c r="H1238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46059</v>
      </c>
      <c r="I1238" s="95" t="s">
        <v>904</v>
      </c>
    </row>
    <row r="1239" spans="1:9" x14ac:dyDescent="0.3">
      <c r="A1239" s="1" t="s">
        <v>172</v>
      </c>
      <c r="B1239" s="6"/>
      <c r="C1239" s="1">
        <v>-1</v>
      </c>
      <c r="D1239" s="105">
        <v>46065</v>
      </c>
      <c r="E1239" s="105">
        <f t="shared" si="48"/>
        <v>46124</v>
      </c>
      <c r="F1239" s="105">
        <v>46123</v>
      </c>
      <c r="G1239" s="2">
        <f t="shared" si="47"/>
        <v>46124</v>
      </c>
      <c r="H1239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46060</v>
      </c>
      <c r="I1239" s="95" t="s">
        <v>905</v>
      </c>
    </row>
    <row r="1240" spans="1:9" x14ac:dyDescent="0.3">
      <c r="A1240" s="1" t="s">
        <v>294</v>
      </c>
      <c r="B1240" s="6"/>
      <c r="C1240" s="1">
        <v>-1</v>
      </c>
      <c r="D1240" s="105">
        <v>46091</v>
      </c>
      <c r="E1240" s="105">
        <f t="shared" si="48"/>
        <v>46094</v>
      </c>
      <c r="F1240" s="105">
        <v>46093</v>
      </c>
      <c r="G1240" s="2">
        <f t="shared" si="47"/>
        <v>46094</v>
      </c>
      <c r="H1240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46060</v>
      </c>
      <c r="I1240" s="95" t="s">
        <v>906</v>
      </c>
    </row>
    <row r="1241" spans="1:9" x14ac:dyDescent="0.3">
      <c r="A1241" s="1" t="s">
        <v>294</v>
      </c>
      <c r="B1241" s="6"/>
      <c r="C1241" s="1">
        <v>-1</v>
      </c>
      <c r="D1241" s="105">
        <v>46096</v>
      </c>
      <c r="E1241" s="105">
        <f t="shared" si="48"/>
        <v>46098</v>
      </c>
      <c r="F1241" s="105">
        <v>46097</v>
      </c>
      <c r="G1241" s="2">
        <f t="shared" si="47"/>
        <v>46098</v>
      </c>
      <c r="H1241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46060</v>
      </c>
      <c r="I1241" s="95" t="s">
        <v>906</v>
      </c>
    </row>
    <row r="1242" spans="1:9" x14ac:dyDescent="0.3">
      <c r="A1242" s="1" t="s">
        <v>113</v>
      </c>
      <c r="B1242" s="6"/>
      <c r="C1242" s="1">
        <v>-1</v>
      </c>
      <c r="D1242" s="105">
        <v>46103</v>
      </c>
      <c r="E1242" s="105">
        <f t="shared" si="48"/>
        <v>46104</v>
      </c>
      <c r="F1242" s="105">
        <v>46103</v>
      </c>
      <c r="G1242" s="2">
        <f t="shared" si="47"/>
        <v>46104</v>
      </c>
      <c r="H1242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46060</v>
      </c>
      <c r="I1242" s="95" t="s">
        <v>907</v>
      </c>
    </row>
    <row r="1243" spans="1:9" x14ac:dyDescent="0.3">
      <c r="A1243" s="1" t="s">
        <v>113</v>
      </c>
      <c r="B1243" s="6"/>
      <c r="C1243" s="1">
        <v>-1</v>
      </c>
      <c r="D1243" s="105">
        <v>46106</v>
      </c>
      <c r="E1243" s="105">
        <f t="shared" si="48"/>
        <v>46108</v>
      </c>
      <c r="F1243" s="105">
        <v>46107</v>
      </c>
      <c r="G1243" s="2">
        <f t="shared" si="47"/>
        <v>46108</v>
      </c>
      <c r="H1243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46060</v>
      </c>
      <c r="I1243" s="95" t="s">
        <v>907</v>
      </c>
    </row>
    <row r="1244" spans="1:9" x14ac:dyDescent="0.3">
      <c r="A1244" s="1" t="s">
        <v>113</v>
      </c>
      <c r="B1244" s="6"/>
      <c r="C1244" s="1">
        <v>-1</v>
      </c>
      <c r="D1244" s="105">
        <v>46100</v>
      </c>
      <c r="E1244" s="105">
        <f t="shared" si="48"/>
        <v>46102</v>
      </c>
      <c r="F1244" s="105">
        <v>46101</v>
      </c>
      <c r="G1244" s="2">
        <f t="shared" si="47"/>
        <v>46102</v>
      </c>
      <c r="H1244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46060</v>
      </c>
      <c r="I1244" s="95" t="s">
        <v>907</v>
      </c>
    </row>
    <row r="1245" spans="1:9" x14ac:dyDescent="0.3">
      <c r="A1245" s="1" t="s">
        <v>303</v>
      </c>
      <c r="B1245" s="6"/>
      <c r="C1245" s="1">
        <v>-1</v>
      </c>
      <c r="D1245" s="105">
        <v>46088</v>
      </c>
      <c r="E1245" s="105">
        <f t="shared" si="48"/>
        <v>46102</v>
      </c>
      <c r="F1245" s="105">
        <v>46101</v>
      </c>
      <c r="G1245" s="2">
        <f t="shared" si="47"/>
        <v>46102</v>
      </c>
      <c r="H1245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46060</v>
      </c>
      <c r="I1245" s="95" t="s">
        <v>908</v>
      </c>
    </row>
    <row r="1246" spans="1:9" x14ac:dyDescent="0.3">
      <c r="A1246" s="1" t="s">
        <v>303</v>
      </c>
      <c r="B1246" s="6"/>
      <c r="C1246" s="1">
        <v>-1</v>
      </c>
      <c r="D1246" s="105">
        <v>46113</v>
      </c>
      <c r="E1246" s="105">
        <f t="shared" si="48"/>
        <v>46120</v>
      </c>
      <c r="F1246" s="105">
        <v>46119</v>
      </c>
      <c r="G1246" s="2">
        <f t="shared" si="47"/>
        <v>46120</v>
      </c>
      <c r="H1246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46060</v>
      </c>
      <c r="I1246" s="95" t="s">
        <v>908</v>
      </c>
    </row>
    <row r="1247" spans="1:9" x14ac:dyDescent="0.3">
      <c r="A1247" s="1" t="s">
        <v>104</v>
      </c>
      <c r="B1247" s="6"/>
      <c r="C1247" s="1">
        <v>-1</v>
      </c>
      <c r="D1247" s="105">
        <v>46076</v>
      </c>
      <c r="E1247" s="105">
        <f t="shared" si="48"/>
        <v>46080</v>
      </c>
      <c r="F1247" s="105">
        <v>46079</v>
      </c>
      <c r="G1247" s="2">
        <f t="shared" si="47"/>
        <v>46080</v>
      </c>
      <c r="H1247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46060</v>
      </c>
      <c r="I1247" s="95" t="s">
        <v>909</v>
      </c>
    </row>
    <row r="1248" spans="1:9" x14ac:dyDescent="0.3">
      <c r="A1248" s="1" t="s">
        <v>104</v>
      </c>
      <c r="B1248" s="6"/>
      <c r="C1248" s="1">
        <v>-1</v>
      </c>
      <c r="D1248" s="105">
        <v>46101</v>
      </c>
      <c r="E1248" s="105">
        <f t="shared" si="48"/>
        <v>46102</v>
      </c>
      <c r="F1248" s="105">
        <v>46101</v>
      </c>
      <c r="G1248" s="2">
        <f t="shared" si="47"/>
        <v>46102</v>
      </c>
      <c r="H1248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46060</v>
      </c>
      <c r="I1248" s="95" t="s">
        <v>909</v>
      </c>
    </row>
    <row r="1249" spans="1:9" x14ac:dyDescent="0.3">
      <c r="A1249" s="1" t="s">
        <v>86</v>
      </c>
      <c r="B1249" s="6"/>
      <c r="C1249" s="1">
        <v>-1</v>
      </c>
      <c r="D1249" s="105">
        <v>46063</v>
      </c>
      <c r="E1249" s="105">
        <f t="shared" si="48"/>
        <v>46079</v>
      </c>
      <c r="F1249" s="105">
        <v>46078</v>
      </c>
      <c r="G1249" s="2">
        <f t="shared" si="47"/>
        <v>46079</v>
      </c>
      <c r="H1249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46053</v>
      </c>
      <c r="I1249" s="95" t="s">
        <v>910</v>
      </c>
    </row>
    <row r="1250" spans="1:9" x14ac:dyDescent="0.3">
      <c r="A1250" s="1" t="s">
        <v>86</v>
      </c>
      <c r="B1250" s="6"/>
      <c r="C1250" s="1">
        <v>-1</v>
      </c>
      <c r="D1250" s="105">
        <v>46090</v>
      </c>
      <c r="E1250" s="105">
        <f t="shared" si="48"/>
        <v>46099</v>
      </c>
      <c r="F1250" s="105">
        <v>46098</v>
      </c>
      <c r="G1250" s="2">
        <f t="shared" si="47"/>
        <v>46099</v>
      </c>
      <c r="H1250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46053</v>
      </c>
      <c r="I1250" s="95" t="s">
        <v>910</v>
      </c>
    </row>
    <row r="1251" spans="1:9" x14ac:dyDescent="0.3">
      <c r="A1251" s="1" t="s">
        <v>95</v>
      </c>
      <c r="B1251" s="6"/>
      <c r="C1251" s="1">
        <v>-1</v>
      </c>
      <c r="D1251" s="105">
        <v>46075</v>
      </c>
      <c r="E1251" s="105">
        <f t="shared" si="48"/>
        <v>46077</v>
      </c>
      <c r="F1251" s="105">
        <v>46076</v>
      </c>
      <c r="G1251" s="2">
        <f t="shared" si="47"/>
        <v>46077</v>
      </c>
      <c r="H1251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46060</v>
      </c>
      <c r="I1251" s="95" t="s">
        <v>911</v>
      </c>
    </row>
    <row r="1252" spans="1:9" x14ac:dyDescent="0.3">
      <c r="A1252" s="1" t="s">
        <v>290</v>
      </c>
      <c r="B1252" s="6"/>
      <c r="C1252" s="1">
        <v>-1</v>
      </c>
      <c r="D1252" s="105">
        <v>46082</v>
      </c>
      <c r="E1252" s="105">
        <f t="shared" si="48"/>
        <v>46086</v>
      </c>
      <c r="F1252" s="105">
        <v>46085</v>
      </c>
      <c r="G1252" s="2">
        <f t="shared" ref="G1252:G1315" si="49">F1252+1</f>
        <v>46086</v>
      </c>
      <c r="H1252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46061</v>
      </c>
      <c r="I1252" s="95" t="s">
        <v>912</v>
      </c>
    </row>
    <row r="1253" spans="1:9" x14ac:dyDescent="0.3">
      <c r="A1253" s="1" t="s">
        <v>290</v>
      </c>
      <c r="B1253" s="6"/>
      <c r="C1253" s="1">
        <v>-1</v>
      </c>
      <c r="D1253" s="105">
        <v>46087</v>
      </c>
      <c r="E1253" s="105">
        <f t="shared" si="48"/>
        <v>46088</v>
      </c>
      <c r="F1253" s="105">
        <v>46087</v>
      </c>
      <c r="G1253" s="2">
        <f t="shared" si="49"/>
        <v>46088</v>
      </c>
      <c r="H1253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46061</v>
      </c>
      <c r="I1253" s="95" t="s">
        <v>912</v>
      </c>
    </row>
    <row r="1254" spans="1:9" x14ac:dyDescent="0.3">
      <c r="A1254" s="1" t="s">
        <v>290</v>
      </c>
      <c r="B1254" s="6"/>
      <c r="C1254" s="1">
        <v>-1</v>
      </c>
      <c r="D1254" s="105">
        <v>46097</v>
      </c>
      <c r="E1254" s="105">
        <f t="shared" si="48"/>
        <v>46098</v>
      </c>
      <c r="F1254" s="105">
        <v>46097</v>
      </c>
      <c r="G1254" s="2">
        <f t="shared" si="49"/>
        <v>46098</v>
      </c>
      <c r="H1254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46061</v>
      </c>
      <c r="I1254" s="95" t="s">
        <v>912</v>
      </c>
    </row>
    <row r="1255" spans="1:9" x14ac:dyDescent="0.3">
      <c r="A1255" s="1" t="s">
        <v>290</v>
      </c>
      <c r="B1255" s="6"/>
      <c r="C1255" s="1">
        <v>-1</v>
      </c>
      <c r="D1255" s="105">
        <v>46119</v>
      </c>
      <c r="E1255" s="105">
        <f t="shared" si="48"/>
        <v>46127</v>
      </c>
      <c r="F1255" s="105">
        <v>46126</v>
      </c>
      <c r="G1255" s="2">
        <f t="shared" si="49"/>
        <v>46127</v>
      </c>
      <c r="H1255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46061</v>
      </c>
      <c r="I1255" s="95" t="s">
        <v>912</v>
      </c>
    </row>
    <row r="1256" spans="1:9" x14ac:dyDescent="0.3">
      <c r="A1256" s="1" t="s">
        <v>290</v>
      </c>
      <c r="B1256" s="6"/>
      <c r="C1256" s="1">
        <v>-1</v>
      </c>
      <c r="D1256" s="105">
        <v>46133</v>
      </c>
      <c r="E1256" s="105">
        <f t="shared" si="48"/>
        <v>46140.041666666599</v>
      </c>
      <c r="F1256" s="105">
        <v>46139.041666666599</v>
      </c>
      <c r="G1256" s="2">
        <f t="shared" si="49"/>
        <v>46140.041666666599</v>
      </c>
      <c r="H1256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46061</v>
      </c>
      <c r="I1256" s="95" t="s">
        <v>912</v>
      </c>
    </row>
    <row r="1257" spans="1:9" x14ac:dyDescent="0.3">
      <c r="A1257" s="1" t="s">
        <v>290</v>
      </c>
      <c r="B1257" s="6"/>
      <c r="C1257" s="1">
        <v>-1</v>
      </c>
      <c r="D1257" s="105">
        <v>46150</v>
      </c>
      <c r="E1257" s="105">
        <f t="shared" si="48"/>
        <v>46155.041666666599</v>
      </c>
      <c r="F1257" s="105">
        <v>46154.041666666599</v>
      </c>
      <c r="G1257" s="2">
        <f t="shared" si="49"/>
        <v>46155.041666666599</v>
      </c>
      <c r="H1257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46061</v>
      </c>
      <c r="I1257" s="95" t="s">
        <v>912</v>
      </c>
    </row>
    <row r="1258" spans="1:9" x14ac:dyDescent="0.3">
      <c r="A1258" s="1" t="s">
        <v>292</v>
      </c>
      <c r="B1258" s="6"/>
      <c r="C1258" s="1">
        <v>-1</v>
      </c>
      <c r="D1258" s="105">
        <v>46086</v>
      </c>
      <c r="E1258" s="105">
        <f t="shared" si="48"/>
        <v>46091</v>
      </c>
      <c r="F1258" s="105">
        <v>46090</v>
      </c>
      <c r="G1258" s="2">
        <f t="shared" si="49"/>
        <v>46091</v>
      </c>
      <c r="H1258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46061</v>
      </c>
      <c r="I1258" s="95" t="s">
        <v>912</v>
      </c>
    </row>
    <row r="1259" spans="1:9" x14ac:dyDescent="0.3">
      <c r="A1259" s="1" t="s">
        <v>292</v>
      </c>
      <c r="B1259" s="6"/>
      <c r="C1259" s="1">
        <v>-1</v>
      </c>
      <c r="D1259" s="105">
        <v>46106</v>
      </c>
      <c r="E1259" s="105">
        <f t="shared" si="48"/>
        <v>46110</v>
      </c>
      <c r="F1259" s="105">
        <v>46109</v>
      </c>
      <c r="G1259" s="2">
        <f t="shared" si="49"/>
        <v>46110</v>
      </c>
      <c r="H1259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46061</v>
      </c>
      <c r="I1259" s="95" t="s">
        <v>912</v>
      </c>
    </row>
    <row r="1260" spans="1:9" x14ac:dyDescent="0.3">
      <c r="A1260" s="1" t="s">
        <v>292</v>
      </c>
      <c r="B1260" s="6"/>
      <c r="C1260" s="1">
        <v>-1</v>
      </c>
      <c r="D1260" s="105">
        <v>46115</v>
      </c>
      <c r="E1260" s="105">
        <f t="shared" si="48"/>
        <v>46121</v>
      </c>
      <c r="F1260" s="105">
        <v>46120</v>
      </c>
      <c r="G1260" s="2">
        <f t="shared" si="49"/>
        <v>46121</v>
      </c>
      <c r="H1260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46061</v>
      </c>
      <c r="I1260" s="95" t="s">
        <v>912</v>
      </c>
    </row>
    <row r="1261" spans="1:9" x14ac:dyDescent="0.3">
      <c r="A1261" s="1" t="s">
        <v>292</v>
      </c>
      <c r="B1261" s="6"/>
      <c r="C1261" s="1">
        <v>-1</v>
      </c>
      <c r="D1261" s="105">
        <v>46131</v>
      </c>
      <c r="E1261" s="105">
        <f t="shared" si="48"/>
        <v>46137</v>
      </c>
      <c r="F1261" s="105">
        <v>46136</v>
      </c>
      <c r="G1261" s="2">
        <f t="shared" si="49"/>
        <v>46137</v>
      </c>
      <c r="H1261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46061</v>
      </c>
      <c r="I1261" s="95" t="s">
        <v>912</v>
      </c>
    </row>
    <row r="1262" spans="1:9" x14ac:dyDescent="0.3">
      <c r="A1262" s="1" t="s">
        <v>291</v>
      </c>
      <c r="B1262" s="6"/>
      <c r="C1262" s="1">
        <v>-1</v>
      </c>
      <c r="D1262" s="105">
        <v>46141</v>
      </c>
      <c r="E1262" s="105">
        <f t="shared" si="48"/>
        <v>46142</v>
      </c>
      <c r="F1262" s="105">
        <v>46141</v>
      </c>
      <c r="G1262" s="2">
        <f t="shared" si="49"/>
        <v>46142</v>
      </c>
      <c r="H1262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46061</v>
      </c>
      <c r="I1262" s="95" t="s">
        <v>912</v>
      </c>
    </row>
    <row r="1263" spans="1:9" x14ac:dyDescent="0.3">
      <c r="A1263" s="1" t="s">
        <v>78</v>
      </c>
      <c r="B1263" s="6"/>
      <c r="C1263" s="1">
        <v>-1</v>
      </c>
      <c r="D1263" s="105">
        <v>46065</v>
      </c>
      <c r="E1263" s="105">
        <f t="shared" si="48"/>
        <v>46066</v>
      </c>
      <c r="F1263" s="105">
        <v>46065</v>
      </c>
      <c r="G1263" s="2">
        <f t="shared" si="49"/>
        <v>46066</v>
      </c>
      <c r="H1263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46061</v>
      </c>
      <c r="I1263" s="95" t="s">
        <v>913</v>
      </c>
    </row>
    <row r="1264" spans="1:9" x14ac:dyDescent="0.3">
      <c r="A1264" s="1" t="s">
        <v>623</v>
      </c>
      <c r="B1264" s="6"/>
      <c r="C1264" s="1">
        <v>-1</v>
      </c>
      <c r="D1264" s="105">
        <v>46074</v>
      </c>
      <c r="E1264" s="105">
        <f t="shared" si="48"/>
        <v>46075</v>
      </c>
      <c r="F1264" s="105">
        <v>46074</v>
      </c>
      <c r="G1264" s="2">
        <f t="shared" si="49"/>
        <v>46075</v>
      </c>
      <c r="H1264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46061</v>
      </c>
      <c r="I1264" s="95" t="s">
        <v>914</v>
      </c>
    </row>
    <row r="1265" spans="1:9" x14ac:dyDescent="0.3">
      <c r="A1265" s="1" t="s">
        <v>623</v>
      </c>
      <c r="B1265" s="6"/>
      <c r="C1265" s="1">
        <v>-1</v>
      </c>
      <c r="D1265" s="105">
        <v>46081</v>
      </c>
      <c r="E1265" s="105">
        <f t="shared" si="48"/>
        <v>46082</v>
      </c>
      <c r="F1265" s="105">
        <v>46081</v>
      </c>
      <c r="G1265" s="2">
        <f t="shared" si="49"/>
        <v>46082</v>
      </c>
      <c r="H1265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46061</v>
      </c>
      <c r="I1265" s="95" t="s">
        <v>914</v>
      </c>
    </row>
    <row r="1266" spans="1:9" x14ac:dyDescent="0.3">
      <c r="A1266" s="1" t="s">
        <v>623</v>
      </c>
      <c r="B1266" s="6"/>
      <c r="C1266" s="1">
        <v>-1</v>
      </c>
      <c r="D1266" s="105">
        <v>46084</v>
      </c>
      <c r="E1266" s="105">
        <f t="shared" si="48"/>
        <v>46091</v>
      </c>
      <c r="F1266" s="105">
        <v>46090</v>
      </c>
      <c r="G1266" s="2">
        <f t="shared" si="49"/>
        <v>46091</v>
      </c>
      <c r="H1266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46061</v>
      </c>
      <c r="I1266" s="95" t="s">
        <v>914</v>
      </c>
    </row>
    <row r="1267" spans="1:9" x14ac:dyDescent="0.3">
      <c r="A1267" s="1" t="s">
        <v>623</v>
      </c>
      <c r="B1267" s="6"/>
      <c r="C1267" s="1">
        <v>-1</v>
      </c>
      <c r="D1267" s="105">
        <v>46117</v>
      </c>
      <c r="E1267" s="105">
        <f t="shared" si="48"/>
        <v>46118</v>
      </c>
      <c r="F1267" s="105">
        <v>46117</v>
      </c>
      <c r="G1267" s="2">
        <f t="shared" si="49"/>
        <v>46118</v>
      </c>
      <c r="H1267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46061</v>
      </c>
      <c r="I1267" s="95" t="s">
        <v>914</v>
      </c>
    </row>
    <row r="1268" spans="1:9" x14ac:dyDescent="0.3">
      <c r="A1268" s="1" t="s">
        <v>623</v>
      </c>
      <c r="B1268" s="6"/>
      <c r="C1268" s="1">
        <v>-1</v>
      </c>
      <c r="D1268" s="105">
        <v>46119</v>
      </c>
      <c r="E1268" s="105">
        <f t="shared" si="48"/>
        <v>46120</v>
      </c>
      <c r="F1268" s="105">
        <v>46119</v>
      </c>
      <c r="G1268" s="2">
        <f t="shared" si="49"/>
        <v>46120</v>
      </c>
      <c r="H1268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46061</v>
      </c>
      <c r="I1268" s="95" t="s">
        <v>914</v>
      </c>
    </row>
    <row r="1269" spans="1:9" x14ac:dyDescent="0.3">
      <c r="A1269" s="1" t="s">
        <v>623</v>
      </c>
      <c r="B1269" s="6"/>
      <c r="C1269" s="1">
        <v>-1</v>
      </c>
      <c r="D1269" s="105">
        <v>46131</v>
      </c>
      <c r="E1269" s="105">
        <f t="shared" si="48"/>
        <v>46132</v>
      </c>
      <c r="F1269" s="105">
        <v>46131</v>
      </c>
      <c r="G1269" s="2">
        <f t="shared" si="49"/>
        <v>46132</v>
      </c>
      <c r="H1269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46061</v>
      </c>
      <c r="I1269" s="95" t="s">
        <v>914</v>
      </c>
    </row>
    <row r="1270" spans="1:9" x14ac:dyDescent="0.3">
      <c r="A1270" s="1" t="s">
        <v>623</v>
      </c>
      <c r="B1270" s="6"/>
      <c r="C1270" s="1">
        <v>-1</v>
      </c>
      <c r="D1270" s="105">
        <v>46136</v>
      </c>
      <c r="E1270" s="105">
        <f t="shared" si="48"/>
        <v>46138.041666666599</v>
      </c>
      <c r="F1270" s="105">
        <v>46137.041666666599</v>
      </c>
      <c r="G1270" s="2">
        <f t="shared" si="49"/>
        <v>46138.041666666599</v>
      </c>
      <c r="H1270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46061</v>
      </c>
      <c r="I1270" s="95" t="s">
        <v>914</v>
      </c>
    </row>
    <row r="1271" spans="1:9" x14ac:dyDescent="0.3">
      <c r="A1271" s="1" t="s">
        <v>148</v>
      </c>
      <c r="B1271" s="6"/>
      <c r="C1271" s="1">
        <v>-1</v>
      </c>
      <c r="D1271" s="105">
        <v>46072</v>
      </c>
      <c r="E1271" s="105">
        <f t="shared" si="48"/>
        <v>46075</v>
      </c>
      <c r="F1271" s="105">
        <v>46074</v>
      </c>
      <c r="G1271" s="2">
        <f t="shared" si="49"/>
        <v>46075</v>
      </c>
      <c r="H1271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46061</v>
      </c>
      <c r="I1271" s="95" t="s">
        <v>915</v>
      </c>
    </row>
    <row r="1272" spans="1:9" x14ac:dyDescent="0.3">
      <c r="A1272" s="1" t="s">
        <v>148</v>
      </c>
      <c r="B1272" s="6"/>
      <c r="C1272" s="1">
        <v>-1</v>
      </c>
      <c r="D1272" s="105">
        <v>46101</v>
      </c>
      <c r="E1272" s="105">
        <f t="shared" si="48"/>
        <v>46104</v>
      </c>
      <c r="F1272" s="105">
        <v>46103</v>
      </c>
      <c r="G1272" s="2">
        <f t="shared" si="49"/>
        <v>46104</v>
      </c>
      <c r="H1272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46061</v>
      </c>
      <c r="I1272" s="95" t="s">
        <v>915</v>
      </c>
    </row>
    <row r="1273" spans="1:9" x14ac:dyDescent="0.3">
      <c r="A1273" s="1" t="s">
        <v>103</v>
      </c>
      <c r="B1273" s="6"/>
      <c r="C1273" s="1">
        <v>-1</v>
      </c>
      <c r="D1273" s="105">
        <v>46069</v>
      </c>
      <c r="E1273" s="105">
        <f t="shared" si="48"/>
        <v>46073</v>
      </c>
      <c r="F1273" s="105">
        <v>46072</v>
      </c>
      <c r="G1273" s="2">
        <f t="shared" si="49"/>
        <v>46073</v>
      </c>
      <c r="H1273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46061</v>
      </c>
      <c r="I1273" s="95" t="s">
        <v>916</v>
      </c>
    </row>
    <row r="1274" spans="1:9" x14ac:dyDescent="0.3">
      <c r="A1274" s="1" t="s">
        <v>142</v>
      </c>
      <c r="B1274" s="6"/>
      <c r="C1274" s="1">
        <v>-1</v>
      </c>
      <c r="D1274" s="105">
        <v>46097</v>
      </c>
      <c r="E1274" s="105">
        <f t="shared" si="48"/>
        <v>46099</v>
      </c>
      <c r="F1274" s="105">
        <v>46098</v>
      </c>
      <c r="G1274" s="2">
        <f t="shared" si="49"/>
        <v>46099</v>
      </c>
      <c r="H1274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46061</v>
      </c>
      <c r="I1274" s="95" t="s">
        <v>917</v>
      </c>
    </row>
    <row r="1275" spans="1:9" x14ac:dyDescent="0.3">
      <c r="A1275" s="1" t="s">
        <v>142</v>
      </c>
      <c r="B1275" s="6"/>
      <c r="C1275" s="1">
        <v>-1</v>
      </c>
      <c r="D1275" s="105">
        <v>46132</v>
      </c>
      <c r="E1275" s="105">
        <f t="shared" ref="E1275:E1338" si="50">G1275</f>
        <v>46135</v>
      </c>
      <c r="F1275" s="105">
        <v>46134</v>
      </c>
      <c r="G1275" s="2">
        <f t="shared" si="49"/>
        <v>46135</v>
      </c>
      <c r="H1275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46061</v>
      </c>
      <c r="I1275" s="95" t="s">
        <v>917</v>
      </c>
    </row>
    <row r="1276" spans="1:9" x14ac:dyDescent="0.3">
      <c r="A1276" s="1" t="s">
        <v>142</v>
      </c>
      <c r="B1276" s="6"/>
      <c r="C1276" s="1">
        <v>-1</v>
      </c>
      <c r="D1276" s="105">
        <v>46089</v>
      </c>
      <c r="E1276" s="105">
        <f t="shared" si="50"/>
        <v>46143</v>
      </c>
      <c r="F1276" s="105">
        <v>46142</v>
      </c>
      <c r="G1276" s="2">
        <f t="shared" si="49"/>
        <v>46143</v>
      </c>
      <c r="H1276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46061</v>
      </c>
      <c r="I1276" s="95" t="s">
        <v>917</v>
      </c>
    </row>
    <row r="1277" spans="1:9" x14ac:dyDescent="0.3">
      <c r="A1277" s="1" t="s">
        <v>142</v>
      </c>
      <c r="B1277" s="6"/>
      <c r="C1277" s="1">
        <v>-1</v>
      </c>
      <c r="D1277" s="105">
        <v>46116</v>
      </c>
      <c r="E1277" s="105">
        <f t="shared" si="50"/>
        <v>46127</v>
      </c>
      <c r="F1277" s="105">
        <v>46126</v>
      </c>
      <c r="G1277" s="2">
        <f t="shared" si="49"/>
        <v>46127</v>
      </c>
      <c r="H1277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46061</v>
      </c>
      <c r="I1277" s="95" t="s">
        <v>917</v>
      </c>
    </row>
    <row r="1278" spans="1:9" x14ac:dyDescent="0.3">
      <c r="A1278" s="1" t="s">
        <v>57</v>
      </c>
      <c r="B1278" s="6"/>
      <c r="C1278" s="1">
        <v>-1</v>
      </c>
      <c r="D1278" s="105">
        <v>46082</v>
      </c>
      <c r="E1278" s="105">
        <f t="shared" si="50"/>
        <v>46086</v>
      </c>
      <c r="F1278" s="105">
        <v>46085</v>
      </c>
      <c r="G1278" s="2">
        <f t="shared" si="49"/>
        <v>46086</v>
      </c>
      <c r="H1278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46061</v>
      </c>
      <c r="I1278" s="95" t="s">
        <v>918</v>
      </c>
    </row>
    <row r="1279" spans="1:9" x14ac:dyDescent="0.3">
      <c r="A1279" s="1" t="s">
        <v>57</v>
      </c>
      <c r="B1279" s="6"/>
      <c r="C1279" s="1">
        <v>-1</v>
      </c>
      <c r="D1279" s="105">
        <v>46097</v>
      </c>
      <c r="E1279" s="105">
        <f t="shared" si="50"/>
        <v>46104</v>
      </c>
      <c r="F1279" s="105">
        <v>46103</v>
      </c>
      <c r="G1279" s="2">
        <f t="shared" si="49"/>
        <v>46104</v>
      </c>
      <c r="H1279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46061</v>
      </c>
      <c r="I1279" s="95" t="s">
        <v>918</v>
      </c>
    </row>
    <row r="1280" spans="1:9" x14ac:dyDescent="0.3">
      <c r="A1280" s="1" t="s">
        <v>57</v>
      </c>
      <c r="B1280" s="6"/>
      <c r="C1280" s="1">
        <v>-1</v>
      </c>
      <c r="D1280" s="105">
        <v>46120</v>
      </c>
      <c r="E1280" s="105">
        <f t="shared" si="50"/>
        <v>46133</v>
      </c>
      <c r="F1280" s="105">
        <v>46132</v>
      </c>
      <c r="G1280" s="2">
        <f t="shared" si="49"/>
        <v>46133</v>
      </c>
      <c r="H1280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46061</v>
      </c>
      <c r="I1280" s="95" t="s">
        <v>918</v>
      </c>
    </row>
    <row r="1281" spans="1:9" x14ac:dyDescent="0.3">
      <c r="A1281" s="1" t="s">
        <v>109</v>
      </c>
      <c r="B1281" s="6"/>
      <c r="C1281" s="1">
        <v>-1</v>
      </c>
      <c r="D1281" s="105">
        <v>46072</v>
      </c>
      <c r="E1281" s="105">
        <f t="shared" si="50"/>
        <v>46075</v>
      </c>
      <c r="F1281" s="105">
        <v>46074</v>
      </c>
      <c r="G1281" s="2">
        <f t="shared" si="49"/>
        <v>46075</v>
      </c>
      <c r="H1281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46061</v>
      </c>
      <c r="I1281" s="95" t="s">
        <v>918</v>
      </c>
    </row>
    <row r="1282" spans="1:9" x14ac:dyDescent="0.3">
      <c r="A1282" s="1" t="s">
        <v>893</v>
      </c>
      <c r="B1282" s="6"/>
      <c r="C1282" s="1">
        <v>-1</v>
      </c>
      <c r="D1282" s="105">
        <v>46102</v>
      </c>
      <c r="E1282" s="105">
        <f t="shared" si="50"/>
        <v>46113</v>
      </c>
      <c r="F1282" s="105">
        <v>46112</v>
      </c>
      <c r="G1282" s="2">
        <f t="shared" si="49"/>
        <v>46113</v>
      </c>
      <c r="H1282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46061</v>
      </c>
      <c r="I1282" s="95" t="s">
        <v>919</v>
      </c>
    </row>
    <row r="1283" spans="1:9" x14ac:dyDescent="0.3">
      <c r="A1283" s="1" t="s">
        <v>893</v>
      </c>
      <c r="B1283" s="6"/>
      <c r="C1283" s="1">
        <v>-1</v>
      </c>
      <c r="D1283" s="105">
        <v>46108</v>
      </c>
      <c r="E1283" s="105">
        <f t="shared" si="50"/>
        <v>46112</v>
      </c>
      <c r="F1283" s="105">
        <v>46111</v>
      </c>
      <c r="G1283" s="2">
        <f t="shared" si="49"/>
        <v>46112</v>
      </c>
      <c r="H1283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46061</v>
      </c>
      <c r="I1283" s="95" t="s">
        <v>920</v>
      </c>
    </row>
    <row r="1284" spans="1:9" x14ac:dyDescent="0.3">
      <c r="A1284" s="1" t="s">
        <v>846</v>
      </c>
      <c r="B1284" s="6"/>
      <c r="C1284" s="1">
        <v>-1</v>
      </c>
      <c r="D1284" s="105">
        <v>46108</v>
      </c>
      <c r="E1284" s="105">
        <f t="shared" si="50"/>
        <v>46115</v>
      </c>
      <c r="F1284" s="105">
        <v>46114</v>
      </c>
      <c r="G1284" s="2">
        <f t="shared" si="49"/>
        <v>46115</v>
      </c>
      <c r="H1284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46061</v>
      </c>
      <c r="I1284" s="95" t="s">
        <v>921</v>
      </c>
    </row>
    <row r="1285" spans="1:9" x14ac:dyDescent="0.3">
      <c r="A1285" s="1" t="s">
        <v>846</v>
      </c>
      <c r="B1285" s="6"/>
      <c r="C1285" s="1">
        <v>-1</v>
      </c>
      <c r="D1285" s="105">
        <v>46112</v>
      </c>
      <c r="E1285" s="105">
        <f t="shared" si="50"/>
        <v>46117</v>
      </c>
      <c r="F1285" s="105">
        <v>46116</v>
      </c>
      <c r="G1285" s="2">
        <f t="shared" si="49"/>
        <v>46117</v>
      </c>
      <c r="H1285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46061</v>
      </c>
      <c r="I1285" s="95" t="s">
        <v>921</v>
      </c>
    </row>
    <row r="1286" spans="1:9" x14ac:dyDescent="0.3">
      <c r="A1286" s="1" t="s">
        <v>123</v>
      </c>
      <c r="B1286" s="6"/>
      <c r="C1286" s="1">
        <v>-1</v>
      </c>
      <c r="D1286" s="105">
        <v>46079</v>
      </c>
      <c r="E1286" s="105">
        <f t="shared" si="50"/>
        <v>46086</v>
      </c>
      <c r="F1286" s="105">
        <v>46085</v>
      </c>
      <c r="G1286" s="2">
        <f t="shared" si="49"/>
        <v>46086</v>
      </c>
      <c r="H1286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46061</v>
      </c>
      <c r="I1286" s="95" t="s">
        <v>922</v>
      </c>
    </row>
    <row r="1287" spans="1:9" x14ac:dyDescent="0.3">
      <c r="A1287" s="1" t="s">
        <v>893</v>
      </c>
      <c r="B1287" s="6"/>
      <c r="C1287" s="1">
        <v>-1</v>
      </c>
      <c r="D1287" s="105">
        <v>46102</v>
      </c>
      <c r="E1287" s="105">
        <f t="shared" si="50"/>
        <v>46113</v>
      </c>
      <c r="F1287" s="105">
        <v>46112</v>
      </c>
      <c r="G1287" s="2">
        <f t="shared" si="49"/>
        <v>46113</v>
      </c>
      <c r="H1287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46061</v>
      </c>
      <c r="I1287" s="95" t="s">
        <v>919</v>
      </c>
    </row>
    <row r="1288" spans="1:9" x14ac:dyDescent="0.3">
      <c r="A1288" s="1" t="s">
        <v>528</v>
      </c>
      <c r="B1288" s="6"/>
      <c r="C1288" s="1">
        <v>-1</v>
      </c>
      <c r="D1288" s="105">
        <v>46110</v>
      </c>
      <c r="E1288" s="105">
        <f t="shared" si="50"/>
        <v>46113</v>
      </c>
      <c r="F1288" s="105">
        <v>46112</v>
      </c>
      <c r="G1288" s="2">
        <f t="shared" si="49"/>
        <v>46113</v>
      </c>
      <c r="H1288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46061</v>
      </c>
      <c r="I1288" s="95" t="s">
        <v>923</v>
      </c>
    </row>
    <row r="1289" spans="1:9" x14ac:dyDescent="0.3">
      <c r="A1289" s="1" t="s">
        <v>103</v>
      </c>
      <c r="B1289" s="6"/>
      <c r="C1289" s="1">
        <v>-1</v>
      </c>
      <c r="D1289" s="105">
        <v>46077</v>
      </c>
      <c r="E1289" s="105">
        <f t="shared" si="50"/>
        <v>46078</v>
      </c>
      <c r="F1289" s="105">
        <v>46077</v>
      </c>
      <c r="G1289" s="2">
        <f t="shared" si="49"/>
        <v>46078</v>
      </c>
      <c r="H1289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46062</v>
      </c>
      <c r="I1289" s="95" t="s">
        <v>924</v>
      </c>
    </row>
    <row r="1290" spans="1:9" x14ac:dyDescent="0.3">
      <c r="A1290" s="1" t="s">
        <v>103</v>
      </c>
      <c r="B1290" s="6"/>
      <c r="C1290" s="1">
        <v>-1</v>
      </c>
      <c r="D1290" s="105">
        <v>46085</v>
      </c>
      <c r="E1290" s="105">
        <f t="shared" si="50"/>
        <v>46089</v>
      </c>
      <c r="F1290" s="105">
        <v>46088</v>
      </c>
      <c r="G1290" s="2">
        <f t="shared" si="49"/>
        <v>46089</v>
      </c>
      <c r="H1290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46062</v>
      </c>
      <c r="I1290" s="95" t="s">
        <v>924</v>
      </c>
    </row>
    <row r="1291" spans="1:9" x14ac:dyDescent="0.3">
      <c r="A1291" s="1" t="s">
        <v>103</v>
      </c>
      <c r="B1291" s="6"/>
      <c r="C1291" s="1">
        <v>-1</v>
      </c>
      <c r="D1291" s="105">
        <v>46168</v>
      </c>
      <c r="E1291" s="105">
        <f t="shared" si="50"/>
        <v>46171.041666666599</v>
      </c>
      <c r="F1291" s="105">
        <v>46170.041666666599</v>
      </c>
      <c r="G1291" s="2">
        <f t="shared" si="49"/>
        <v>46171.041666666599</v>
      </c>
      <c r="H1291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46062</v>
      </c>
      <c r="I1291" s="95" t="s">
        <v>924</v>
      </c>
    </row>
    <row r="1292" spans="1:9" x14ac:dyDescent="0.3">
      <c r="A1292" s="1" t="s">
        <v>103</v>
      </c>
      <c r="B1292" s="6"/>
      <c r="C1292" s="1">
        <v>-1</v>
      </c>
      <c r="D1292" s="105">
        <v>46082</v>
      </c>
      <c r="E1292" s="105">
        <f t="shared" si="50"/>
        <v>46084</v>
      </c>
      <c r="F1292" s="105">
        <v>46083</v>
      </c>
      <c r="G1292" s="2">
        <f t="shared" si="49"/>
        <v>46084</v>
      </c>
      <c r="H1292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46062</v>
      </c>
      <c r="I1292" s="95" t="s">
        <v>924</v>
      </c>
    </row>
    <row r="1293" spans="1:9" x14ac:dyDescent="0.3">
      <c r="A1293" s="1" t="s">
        <v>103</v>
      </c>
      <c r="B1293" s="6"/>
      <c r="C1293" s="1">
        <v>-1</v>
      </c>
      <c r="D1293" s="105">
        <v>46214</v>
      </c>
      <c r="E1293" s="105">
        <f t="shared" si="50"/>
        <v>46220</v>
      </c>
      <c r="F1293" s="105">
        <v>46219</v>
      </c>
      <c r="G1293" s="2">
        <f t="shared" si="49"/>
        <v>46220</v>
      </c>
      <c r="H1293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46062</v>
      </c>
      <c r="I1293" s="95" t="s">
        <v>924</v>
      </c>
    </row>
    <row r="1294" spans="1:9" x14ac:dyDescent="0.3">
      <c r="A1294" s="1" t="s">
        <v>103</v>
      </c>
      <c r="B1294" s="6"/>
      <c r="C1294" s="1">
        <v>-1</v>
      </c>
      <c r="D1294" s="105">
        <v>46227</v>
      </c>
      <c r="E1294" s="105">
        <f t="shared" si="50"/>
        <v>46239</v>
      </c>
      <c r="F1294" s="105">
        <v>46238</v>
      </c>
      <c r="G1294" s="2">
        <f t="shared" si="49"/>
        <v>46239</v>
      </c>
      <c r="H1294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46062</v>
      </c>
      <c r="I1294" s="95" t="s">
        <v>924</v>
      </c>
    </row>
    <row r="1295" spans="1:9" x14ac:dyDescent="0.3">
      <c r="A1295" s="1" t="s">
        <v>103</v>
      </c>
      <c r="B1295" s="6"/>
      <c r="C1295" s="1">
        <v>-1</v>
      </c>
      <c r="D1295" s="105">
        <v>46248</v>
      </c>
      <c r="E1295" s="105">
        <f t="shared" si="50"/>
        <v>46256</v>
      </c>
      <c r="F1295" s="105">
        <v>46255</v>
      </c>
      <c r="G1295" s="2">
        <f t="shared" si="49"/>
        <v>46256</v>
      </c>
      <c r="H1295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46062</v>
      </c>
      <c r="I1295" s="95" t="s">
        <v>924</v>
      </c>
    </row>
    <row r="1296" spans="1:9" x14ac:dyDescent="0.3">
      <c r="A1296" s="1" t="s">
        <v>103</v>
      </c>
      <c r="B1296" s="6"/>
      <c r="C1296" s="1">
        <v>-1</v>
      </c>
      <c r="D1296" s="105">
        <v>46304</v>
      </c>
      <c r="E1296" s="105">
        <f t="shared" si="50"/>
        <v>46307</v>
      </c>
      <c r="F1296" s="105">
        <v>46306</v>
      </c>
      <c r="G1296" s="2">
        <f t="shared" si="49"/>
        <v>46307</v>
      </c>
      <c r="H1296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46062</v>
      </c>
      <c r="I1296" s="95" t="s">
        <v>924</v>
      </c>
    </row>
    <row r="1297" spans="1:9" x14ac:dyDescent="0.3">
      <c r="A1297" s="1" t="s">
        <v>103</v>
      </c>
      <c r="B1297" s="6"/>
      <c r="C1297" s="1">
        <v>-1</v>
      </c>
      <c r="D1297" s="105">
        <v>46320</v>
      </c>
      <c r="E1297" s="105">
        <f t="shared" si="50"/>
        <v>46323</v>
      </c>
      <c r="F1297" s="105">
        <v>46322</v>
      </c>
      <c r="G1297" s="2">
        <f t="shared" si="49"/>
        <v>46323</v>
      </c>
      <c r="H1297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46062</v>
      </c>
      <c r="I1297" s="95" t="s">
        <v>924</v>
      </c>
    </row>
    <row r="1298" spans="1:9" x14ac:dyDescent="0.3">
      <c r="A1298" s="1" t="s">
        <v>103</v>
      </c>
      <c r="B1298" s="6"/>
      <c r="C1298" s="1">
        <v>-1</v>
      </c>
      <c r="D1298" s="105">
        <v>46175</v>
      </c>
      <c r="E1298" s="105">
        <f t="shared" si="50"/>
        <v>46178</v>
      </c>
      <c r="F1298" s="105">
        <v>46177</v>
      </c>
      <c r="G1298" s="2">
        <f t="shared" si="49"/>
        <v>46178</v>
      </c>
      <c r="H1298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46062</v>
      </c>
      <c r="I1298" s="95" t="s">
        <v>924</v>
      </c>
    </row>
    <row r="1299" spans="1:9" x14ac:dyDescent="0.3">
      <c r="A1299" s="1" t="s">
        <v>590</v>
      </c>
      <c r="B1299" s="6"/>
      <c r="C1299" s="1">
        <v>-1</v>
      </c>
      <c r="D1299" s="105">
        <v>46084</v>
      </c>
      <c r="E1299" s="105">
        <f t="shared" si="50"/>
        <v>46095</v>
      </c>
      <c r="F1299" s="105">
        <v>46094</v>
      </c>
      <c r="G1299" s="2">
        <f t="shared" si="49"/>
        <v>46095</v>
      </c>
      <c r="H1299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46062</v>
      </c>
      <c r="I1299" s="95" t="s">
        <v>925</v>
      </c>
    </row>
    <row r="1300" spans="1:9" x14ac:dyDescent="0.3">
      <c r="A1300" s="1" t="s">
        <v>590</v>
      </c>
      <c r="B1300" s="6"/>
      <c r="C1300" s="1">
        <v>-1</v>
      </c>
      <c r="D1300" s="105">
        <v>46095</v>
      </c>
      <c r="E1300" s="105">
        <f t="shared" si="50"/>
        <v>46101</v>
      </c>
      <c r="F1300" s="105">
        <v>46100</v>
      </c>
      <c r="G1300" s="2">
        <f t="shared" si="49"/>
        <v>46101</v>
      </c>
      <c r="H1300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46062</v>
      </c>
      <c r="I1300" s="95" t="s">
        <v>925</v>
      </c>
    </row>
    <row r="1301" spans="1:9" x14ac:dyDescent="0.3">
      <c r="A1301" s="1" t="s">
        <v>109</v>
      </c>
      <c r="B1301" s="6"/>
      <c r="C1301" s="1">
        <v>-1</v>
      </c>
      <c r="D1301" s="105">
        <v>46109</v>
      </c>
      <c r="E1301" s="105">
        <f t="shared" si="50"/>
        <v>46111</v>
      </c>
      <c r="F1301" s="105">
        <v>46110</v>
      </c>
      <c r="G1301" s="2">
        <f t="shared" si="49"/>
        <v>46111</v>
      </c>
      <c r="H1301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46062</v>
      </c>
      <c r="I1301" s="95" t="s">
        <v>926</v>
      </c>
    </row>
    <row r="1302" spans="1:9" x14ac:dyDescent="0.3">
      <c r="A1302" s="1" t="s">
        <v>109</v>
      </c>
      <c r="B1302" s="6"/>
      <c r="C1302" s="1">
        <v>-1</v>
      </c>
      <c r="D1302" s="105">
        <v>46093</v>
      </c>
      <c r="E1302" s="105">
        <f t="shared" si="50"/>
        <v>46102</v>
      </c>
      <c r="F1302" s="105">
        <v>46101</v>
      </c>
      <c r="G1302" s="2">
        <f t="shared" si="49"/>
        <v>46102</v>
      </c>
      <c r="H1302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46062</v>
      </c>
      <c r="I1302" s="95" t="s">
        <v>927</v>
      </c>
    </row>
    <row r="1303" spans="1:9" x14ac:dyDescent="0.3">
      <c r="A1303" s="1" t="s">
        <v>118</v>
      </c>
      <c r="B1303" s="6"/>
      <c r="C1303" s="1">
        <v>-1</v>
      </c>
      <c r="D1303" s="105">
        <v>46082</v>
      </c>
      <c r="E1303" s="105">
        <f t="shared" si="50"/>
        <v>46089</v>
      </c>
      <c r="F1303" s="105">
        <v>46088</v>
      </c>
      <c r="G1303" s="2">
        <f t="shared" si="49"/>
        <v>46089</v>
      </c>
      <c r="H1303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46062</v>
      </c>
      <c r="I1303" s="95" t="s">
        <v>928</v>
      </c>
    </row>
    <row r="1304" spans="1:9" x14ac:dyDescent="0.3">
      <c r="A1304" s="1" t="s">
        <v>118</v>
      </c>
      <c r="B1304" s="6"/>
      <c r="C1304" s="1">
        <v>-1</v>
      </c>
      <c r="D1304" s="105">
        <v>46089</v>
      </c>
      <c r="E1304" s="105">
        <f t="shared" si="50"/>
        <v>46102</v>
      </c>
      <c r="F1304" s="105">
        <v>46101</v>
      </c>
      <c r="G1304" s="2">
        <f t="shared" si="49"/>
        <v>46102</v>
      </c>
      <c r="H1304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46062</v>
      </c>
      <c r="I1304" s="95" t="s">
        <v>928</v>
      </c>
    </row>
    <row r="1305" spans="1:9" x14ac:dyDescent="0.3">
      <c r="A1305" s="1" t="s">
        <v>133</v>
      </c>
      <c r="B1305" s="6"/>
      <c r="C1305" s="1">
        <v>-1</v>
      </c>
      <c r="D1305" s="105">
        <v>46087</v>
      </c>
      <c r="E1305" s="105">
        <f t="shared" si="50"/>
        <v>46092</v>
      </c>
      <c r="F1305" s="105">
        <v>46091</v>
      </c>
      <c r="G1305" s="2">
        <f t="shared" si="49"/>
        <v>46092</v>
      </c>
      <c r="H1305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46063</v>
      </c>
      <c r="I1305" s="95" t="s">
        <v>929</v>
      </c>
    </row>
    <row r="1306" spans="1:9" x14ac:dyDescent="0.3">
      <c r="A1306" s="1" t="s">
        <v>160</v>
      </c>
      <c r="B1306" s="6"/>
      <c r="C1306" s="1">
        <v>-1</v>
      </c>
      <c r="D1306" s="105">
        <v>46226</v>
      </c>
      <c r="E1306" s="105">
        <f t="shared" si="50"/>
        <v>46230</v>
      </c>
      <c r="F1306" s="105">
        <v>46229</v>
      </c>
      <c r="G1306" s="2">
        <f t="shared" si="49"/>
        <v>46230</v>
      </c>
      <c r="H1306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46063</v>
      </c>
      <c r="I1306" s="95" t="s">
        <v>930</v>
      </c>
    </row>
    <row r="1307" spans="1:9" x14ac:dyDescent="0.3">
      <c r="A1307" s="1" t="s">
        <v>127</v>
      </c>
      <c r="B1307" s="6"/>
      <c r="C1307" s="1">
        <v>-1</v>
      </c>
      <c r="D1307" s="105">
        <v>46072</v>
      </c>
      <c r="E1307" s="105" t="e">
        <f t="shared" si="50"/>
        <v>#VALUE!</v>
      </c>
      <c r="F1307" s="105" t="s">
        <v>930</v>
      </c>
      <c r="G1307" s="2" t="e">
        <f t="shared" si="49"/>
        <v>#VALUE!</v>
      </c>
      <c r="H1307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46063</v>
      </c>
      <c r="I1307" s="95" t="s">
        <v>931</v>
      </c>
    </row>
    <row r="1308" spans="1:9" x14ac:dyDescent="0.3">
      <c r="A1308" s="1" t="s">
        <v>127</v>
      </c>
      <c r="B1308" s="6"/>
      <c r="C1308" s="1">
        <v>-1</v>
      </c>
      <c r="D1308" s="105">
        <v>46076</v>
      </c>
      <c r="E1308" s="105">
        <f t="shared" si="50"/>
        <v>46077</v>
      </c>
      <c r="F1308" s="105">
        <v>46076</v>
      </c>
      <c r="G1308" s="2">
        <f t="shared" si="49"/>
        <v>46077</v>
      </c>
      <c r="H1308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46063</v>
      </c>
      <c r="I1308" s="95" t="s">
        <v>931</v>
      </c>
    </row>
    <row r="1309" spans="1:9" x14ac:dyDescent="0.3">
      <c r="A1309" s="1" t="s">
        <v>126</v>
      </c>
      <c r="B1309" s="6"/>
      <c r="C1309" s="1">
        <v>-1</v>
      </c>
      <c r="D1309" s="105">
        <v>46116</v>
      </c>
      <c r="E1309" s="105">
        <f t="shared" si="50"/>
        <v>46117</v>
      </c>
      <c r="F1309" s="105">
        <v>46116</v>
      </c>
      <c r="G1309" s="2">
        <f t="shared" si="49"/>
        <v>46117</v>
      </c>
      <c r="H1309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46063</v>
      </c>
      <c r="I1309" s="95" t="s">
        <v>932</v>
      </c>
    </row>
    <row r="1310" spans="1:9" x14ac:dyDescent="0.3">
      <c r="A1310" s="1" t="s">
        <v>623</v>
      </c>
      <c r="B1310" s="6"/>
      <c r="C1310" s="1">
        <v>-1</v>
      </c>
      <c r="D1310" s="105">
        <v>46098</v>
      </c>
      <c r="E1310" s="105">
        <f t="shared" si="50"/>
        <v>46107</v>
      </c>
      <c r="F1310" s="105">
        <v>46106</v>
      </c>
      <c r="G1310" s="2">
        <f t="shared" si="49"/>
        <v>46107</v>
      </c>
      <c r="H1310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46063</v>
      </c>
      <c r="I1310" s="95" t="s">
        <v>933</v>
      </c>
    </row>
    <row r="1311" spans="1:9" x14ac:dyDescent="0.3">
      <c r="A1311" s="1" t="s">
        <v>86</v>
      </c>
      <c r="B1311" s="6"/>
      <c r="C1311" s="1">
        <v>-1</v>
      </c>
      <c r="D1311" s="105">
        <v>46100</v>
      </c>
      <c r="E1311" s="105">
        <f t="shared" si="50"/>
        <v>46103</v>
      </c>
      <c r="F1311" s="105">
        <v>46102</v>
      </c>
      <c r="G1311" s="2">
        <f t="shared" si="49"/>
        <v>46103</v>
      </c>
      <c r="H1311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46063</v>
      </c>
      <c r="I1311" s="95" t="s">
        <v>934</v>
      </c>
    </row>
    <row r="1312" spans="1:9" x14ac:dyDescent="0.3">
      <c r="A1312" s="1" t="s">
        <v>85</v>
      </c>
      <c r="B1312" s="6"/>
      <c r="C1312" s="1">
        <v>-1</v>
      </c>
      <c r="D1312" s="105">
        <v>46096</v>
      </c>
      <c r="E1312" s="105">
        <f t="shared" si="50"/>
        <v>46103</v>
      </c>
      <c r="F1312" s="105">
        <v>46102</v>
      </c>
      <c r="G1312" s="2">
        <f t="shared" si="49"/>
        <v>46103</v>
      </c>
      <c r="H1312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46063</v>
      </c>
      <c r="I1312" s="95" t="s">
        <v>935</v>
      </c>
    </row>
    <row r="1313" spans="1:9" x14ac:dyDescent="0.3">
      <c r="A1313" s="1" t="s">
        <v>303</v>
      </c>
      <c r="B1313" s="6"/>
      <c r="C1313" s="1">
        <v>-1</v>
      </c>
      <c r="D1313" s="105">
        <v>46088</v>
      </c>
      <c r="E1313" s="105">
        <f t="shared" si="50"/>
        <v>46105</v>
      </c>
      <c r="F1313" s="105">
        <v>46104</v>
      </c>
      <c r="G1313" s="2">
        <f t="shared" si="49"/>
        <v>46105</v>
      </c>
      <c r="H1313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46063</v>
      </c>
      <c r="I1313" s="95" t="s">
        <v>936</v>
      </c>
    </row>
    <row r="1314" spans="1:9" x14ac:dyDescent="0.3">
      <c r="A1314" s="1" t="s">
        <v>308</v>
      </c>
      <c r="B1314" s="6"/>
      <c r="C1314" s="1">
        <v>-1</v>
      </c>
      <c r="D1314" s="105">
        <v>46063</v>
      </c>
      <c r="E1314" s="105">
        <f t="shared" si="50"/>
        <v>46073</v>
      </c>
      <c r="F1314" s="105">
        <v>46072</v>
      </c>
      <c r="G1314" s="2">
        <f t="shared" si="49"/>
        <v>46073</v>
      </c>
      <c r="H1314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46063</v>
      </c>
      <c r="I1314" s="95" t="s">
        <v>937</v>
      </c>
    </row>
    <row r="1315" spans="1:9" x14ac:dyDescent="0.3">
      <c r="A1315" s="1" t="s">
        <v>126</v>
      </c>
      <c r="B1315" s="6"/>
      <c r="C1315" s="1">
        <v>-1</v>
      </c>
      <c r="D1315" s="105">
        <v>46117</v>
      </c>
      <c r="E1315" s="105">
        <f t="shared" si="50"/>
        <v>46119</v>
      </c>
      <c r="F1315" s="105">
        <v>46118</v>
      </c>
      <c r="G1315" s="2">
        <f t="shared" si="49"/>
        <v>46119</v>
      </c>
      <c r="H1315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46063</v>
      </c>
      <c r="I1315" s="95" t="s">
        <v>938</v>
      </c>
    </row>
    <row r="1316" spans="1:9" x14ac:dyDescent="0.3">
      <c r="A1316" s="1" t="s">
        <v>93</v>
      </c>
      <c r="B1316" s="6"/>
      <c r="C1316" s="1">
        <v>-1</v>
      </c>
      <c r="D1316" s="105">
        <v>46104</v>
      </c>
      <c r="E1316" s="105">
        <f t="shared" si="50"/>
        <v>46114</v>
      </c>
      <c r="F1316" s="105">
        <v>46113</v>
      </c>
      <c r="G1316" s="2">
        <f t="shared" ref="G1316:G1379" si="51">F1316+1</f>
        <v>46114</v>
      </c>
      <c r="H1316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46063</v>
      </c>
      <c r="I1316" s="95" t="s">
        <v>939</v>
      </c>
    </row>
    <row r="1317" spans="1:9" x14ac:dyDescent="0.3">
      <c r="A1317" s="1" t="s">
        <v>103</v>
      </c>
      <c r="B1317" s="6"/>
      <c r="C1317" s="1">
        <v>-1</v>
      </c>
      <c r="D1317" s="105">
        <v>46210</v>
      </c>
      <c r="E1317" s="105">
        <f t="shared" si="50"/>
        <v>46220</v>
      </c>
      <c r="F1317" s="105">
        <v>46219</v>
      </c>
      <c r="G1317" s="2">
        <f t="shared" si="51"/>
        <v>46220</v>
      </c>
      <c r="H1317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46063</v>
      </c>
      <c r="I1317" s="95" t="s">
        <v>940</v>
      </c>
    </row>
    <row r="1318" spans="1:9" x14ac:dyDescent="0.3">
      <c r="A1318" s="1" t="s">
        <v>103</v>
      </c>
      <c r="B1318" s="6"/>
      <c r="C1318" s="1">
        <v>-1</v>
      </c>
      <c r="D1318" s="105">
        <v>46226</v>
      </c>
      <c r="E1318" s="105">
        <f t="shared" si="50"/>
        <v>46237</v>
      </c>
      <c r="F1318" s="105">
        <v>46236</v>
      </c>
      <c r="G1318" s="2">
        <f t="shared" si="51"/>
        <v>46237</v>
      </c>
      <c r="H1318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46063</v>
      </c>
      <c r="I1318" s="95" t="s">
        <v>940</v>
      </c>
    </row>
    <row r="1319" spans="1:9" x14ac:dyDescent="0.3">
      <c r="A1319" s="1" t="s">
        <v>103</v>
      </c>
      <c r="B1319" s="6"/>
      <c r="C1319" s="1">
        <v>-1</v>
      </c>
      <c r="D1319" s="105">
        <v>46241</v>
      </c>
      <c r="E1319" s="105">
        <f t="shared" si="50"/>
        <v>46253</v>
      </c>
      <c r="F1319" s="105">
        <v>46252</v>
      </c>
      <c r="G1319" s="2">
        <f t="shared" si="51"/>
        <v>46253</v>
      </c>
      <c r="H1319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46063</v>
      </c>
      <c r="I1319" s="95" t="s">
        <v>940</v>
      </c>
    </row>
    <row r="1320" spans="1:9" x14ac:dyDescent="0.3">
      <c r="A1320" s="1" t="s">
        <v>103</v>
      </c>
      <c r="B1320" s="6"/>
      <c r="C1320" s="1">
        <v>-1</v>
      </c>
      <c r="D1320" s="105">
        <v>46307</v>
      </c>
      <c r="E1320" s="105">
        <f t="shared" si="50"/>
        <v>46322</v>
      </c>
      <c r="F1320" s="105">
        <v>46321</v>
      </c>
      <c r="G1320" s="2">
        <f t="shared" si="51"/>
        <v>46322</v>
      </c>
      <c r="H1320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46063</v>
      </c>
      <c r="I1320" s="95" t="s">
        <v>940</v>
      </c>
    </row>
    <row r="1321" spans="1:9" x14ac:dyDescent="0.3">
      <c r="A1321" s="1" t="s">
        <v>62</v>
      </c>
      <c r="B1321" s="6"/>
      <c r="C1321" s="1">
        <v>-1</v>
      </c>
      <c r="D1321" s="105">
        <v>46095</v>
      </c>
      <c r="E1321" s="105">
        <f t="shared" si="50"/>
        <v>46098</v>
      </c>
      <c r="F1321" s="105">
        <v>46097</v>
      </c>
      <c r="G1321" s="2">
        <f t="shared" si="51"/>
        <v>46098</v>
      </c>
      <c r="H1321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46063</v>
      </c>
      <c r="I1321" s="95" t="s">
        <v>941</v>
      </c>
    </row>
    <row r="1322" spans="1:9" x14ac:dyDescent="0.3">
      <c r="A1322" s="1" t="s">
        <v>136</v>
      </c>
      <c r="B1322" s="6"/>
      <c r="C1322" s="1">
        <v>-1</v>
      </c>
      <c r="D1322" s="105">
        <v>46081</v>
      </c>
      <c r="E1322" s="105">
        <f t="shared" si="50"/>
        <v>46082</v>
      </c>
      <c r="F1322" s="105">
        <v>46081</v>
      </c>
      <c r="G1322" s="2">
        <f t="shared" si="51"/>
        <v>46082</v>
      </c>
      <c r="H1322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46063</v>
      </c>
      <c r="I1322" s="95" t="s">
        <v>942</v>
      </c>
    </row>
    <row r="1323" spans="1:9" x14ac:dyDescent="0.3">
      <c r="A1323" s="1" t="s">
        <v>96</v>
      </c>
      <c r="B1323" s="6"/>
      <c r="C1323" s="1">
        <v>-1</v>
      </c>
      <c r="D1323" s="105">
        <v>46077</v>
      </c>
      <c r="E1323" s="105">
        <f t="shared" si="50"/>
        <v>46079</v>
      </c>
      <c r="F1323" s="105">
        <v>46078</v>
      </c>
      <c r="G1323" s="2">
        <f t="shared" si="51"/>
        <v>46079</v>
      </c>
      <c r="H1323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46063</v>
      </c>
      <c r="I1323" s="95" t="s">
        <v>943</v>
      </c>
    </row>
    <row r="1324" spans="1:9" x14ac:dyDescent="0.3">
      <c r="A1324" s="1" t="s">
        <v>92</v>
      </c>
      <c r="B1324" s="6"/>
      <c r="C1324" s="1">
        <v>-1</v>
      </c>
      <c r="D1324" s="105">
        <v>46110</v>
      </c>
      <c r="E1324" s="105">
        <f t="shared" si="50"/>
        <v>46122</v>
      </c>
      <c r="F1324" s="105">
        <v>46121</v>
      </c>
      <c r="G1324" s="2">
        <f t="shared" si="51"/>
        <v>46122</v>
      </c>
      <c r="H1324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46063</v>
      </c>
      <c r="I1324" s="95" t="s">
        <v>944</v>
      </c>
    </row>
    <row r="1325" spans="1:9" x14ac:dyDescent="0.3">
      <c r="A1325" s="1" t="s">
        <v>118</v>
      </c>
      <c r="B1325" s="6"/>
      <c r="C1325" s="1">
        <v>-1</v>
      </c>
      <c r="D1325" s="105">
        <v>46082</v>
      </c>
      <c r="E1325" s="105">
        <f t="shared" si="50"/>
        <v>46089</v>
      </c>
      <c r="F1325" s="105">
        <v>46088</v>
      </c>
      <c r="G1325" s="2">
        <f t="shared" si="51"/>
        <v>46089</v>
      </c>
      <c r="H1325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46062</v>
      </c>
      <c r="I1325" s="95" t="s">
        <v>945</v>
      </c>
    </row>
    <row r="1326" spans="1:9" x14ac:dyDescent="0.3">
      <c r="A1326" s="1" t="s">
        <v>118</v>
      </c>
      <c r="B1326" s="6"/>
      <c r="C1326" s="1">
        <v>-1</v>
      </c>
      <c r="D1326" s="105">
        <v>46089</v>
      </c>
      <c r="E1326" s="105">
        <f t="shared" si="50"/>
        <v>46102</v>
      </c>
      <c r="F1326" s="105">
        <v>46101</v>
      </c>
      <c r="G1326" s="2">
        <f t="shared" si="51"/>
        <v>46102</v>
      </c>
      <c r="H1326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46062</v>
      </c>
      <c r="I1326" s="95" t="s">
        <v>945</v>
      </c>
    </row>
    <row r="1327" spans="1:9" x14ac:dyDescent="0.3">
      <c r="A1327" s="1" t="s">
        <v>294</v>
      </c>
      <c r="B1327" s="6"/>
      <c r="C1327" s="1">
        <v>-1</v>
      </c>
      <c r="D1327" s="105">
        <v>46074</v>
      </c>
      <c r="E1327" s="105">
        <f t="shared" si="50"/>
        <v>46076</v>
      </c>
      <c r="F1327" s="105">
        <v>46075</v>
      </c>
      <c r="G1327" s="2">
        <f t="shared" si="51"/>
        <v>46076</v>
      </c>
      <c r="H1327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46063</v>
      </c>
      <c r="I1327" s="95" t="s">
        <v>946</v>
      </c>
    </row>
    <row r="1328" spans="1:9" x14ac:dyDescent="0.3">
      <c r="A1328" s="1" t="s">
        <v>294</v>
      </c>
      <c r="B1328" s="6"/>
      <c r="C1328" s="1">
        <v>-1</v>
      </c>
      <c r="D1328" s="105">
        <v>46083</v>
      </c>
      <c r="E1328" s="105">
        <f t="shared" si="50"/>
        <v>46084</v>
      </c>
      <c r="F1328" s="105">
        <v>46083</v>
      </c>
      <c r="G1328" s="2">
        <f t="shared" si="51"/>
        <v>46084</v>
      </c>
      <c r="H1328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46063</v>
      </c>
      <c r="I1328" s="95" t="s">
        <v>946</v>
      </c>
    </row>
    <row r="1329" spans="1:9" x14ac:dyDescent="0.3">
      <c r="A1329" s="1" t="s">
        <v>294</v>
      </c>
      <c r="B1329" s="6"/>
      <c r="C1329" s="1">
        <v>-1</v>
      </c>
      <c r="D1329" s="105">
        <v>46103</v>
      </c>
      <c r="E1329" s="105">
        <f t="shared" si="50"/>
        <v>46105</v>
      </c>
      <c r="F1329" s="105">
        <v>46104</v>
      </c>
      <c r="G1329" s="2">
        <f t="shared" si="51"/>
        <v>46105</v>
      </c>
      <c r="H1329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46063</v>
      </c>
      <c r="I1329" s="95" t="s">
        <v>946</v>
      </c>
    </row>
    <row r="1330" spans="1:9" x14ac:dyDescent="0.3">
      <c r="A1330" s="1" t="s">
        <v>590</v>
      </c>
      <c r="B1330" s="6"/>
      <c r="C1330" s="1">
        <v>-1</v>
      </c>
      <c r="D1330" s="105">
        <v>46268</v>
      </c>
      <c r="E1330" s="105">
        <f t="shared" si="50"/>
        <v>46273</v>
      </c>
      <c r="F1330" s="105">
        <v>46272</v>
      </c>
      <c r="G1330" s="2">
        <f t="shared" si="51"/>
        <v>46273</v>
      </c>
      <c r="H1330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46062</v>
      </c>
      <c r="I1330" s="95" t="s">
        <v>947</v>
      </c>
    </row>
    <row r="1331" spans="1:9" x14ac:dyDescent="0.3">
      <c r="A1331" s="1" t="s">
        <v>590</v>
      </c>
      <c r="B1331" s="6"/>
      <c r="C1331" s="1">
        <v>-1</v>
      </c>
      <c r="D1331" s="105">
        <v>46280</v>
      </c>
      <c r="E1331" s="105">
        <f t="shared" si="50"/>
        <v>46285</v>
      </c>
      <c r="F1331" s="105">
        <v>46284</v>
      </c>
      <c r="G1331" s="2">
        <f t="shared" si="51"/>
        <v>46285</v>
      </c>
      <c r="H1331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46062</v>
      </c>
      <c r="I1331" s="95" t="s">
        <v>947</v>
      </c>
    </row>
    <row r="1332" spans="1:9" x14ac:dyDescent="0.3">
      <c r="A1332" s="1" t="s">
        <v>67</v>
      </c>
      <c r="B1332" s="6"/>
      <c r="C1332" s="1">
        <v>-1</v>
      </c>
      <c r="D1332" s="105">
        <v>46101</v>
      </c>
      <c r="E1332" s="105">
        <f t="shared" si="50"/>
        <v>46103</v>
      </c>
      <c r="F1332" s="105">
        <v>46102</v>
      </c>
      <c r="G1332" s="2">
        <f t="shared" si="51"/>
        <v>46103</v>
      </c>
      <c r="H1332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46064</v>
      </c>
      <c r="I1332" s="95" t="s">
        <v>948</v>
      </c>
    </row>
    <row r="1333" spans="1:9" x14ac:dyDescent="0.3">
      <c r="A1333" s="1" t="s">
        <v>67</v>
      </c>
      <c r="B1333" s="6"/>
      <c r="C1333" s="1">
        <v>-1</v>
      </c>
      <c r="D1333" s="105">
        <v>46156.041666666599</v>
      </c>
      <c r="E1333" s="105">
        <f t="shared" si="50"/>
        <v>46157.041666666599</v>
      </c>
      <c r="F1333" s="105">
        <v>46156.041666666599</v>
      </c>
      <c r="G1333" s="2">
        <f t="shared" si="51"/>
        <v>46157.041666666599</v>
      </c>
      <c r="H1333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46064</v>
      </c>
      <c r="I1333" s="95" t="s">
        <v>948</v>
      </c>
    </row>
    <row r="1334" spans="1:9" x14ac:dyDescent="0.3">
      <c r="A1334" s="1" t="s">
        <v>949</v>
      </c>
      <c r="B1334" s="6"/>
      <c r="C1334" s="1">
        <v>-1</v>
      </c>
      <c r="D1334" s="105">
        <v>46102</v>
      </c>
      <c r="E1334" s="105">
        <f t="shared" si="50"/>
        <v>46104</v>
      </c>
      <c r="F1334" s="105">
        <v>46103</v>
      </c>
      <c r="G1334" s="2">
        <f t="shared" si="51"/>
        <v>46104</v>
      </c>
      <c r="H1334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46064</v>
      </c>
      <c r="I1334" s="95" t="s">
        <v>950</v>
      </c>
    </row>
    <row r="1335" spans="1:9" x14ac:dyDescent="0.3">
      <c r="A1335" s="1" t="s">
        <v>590</v>
      </c>
      <c r="B1335" s="6"/>
      <c r="C1335" s="1">
        <v>-1</v>
      </c>
      <c r="D1335" s="105">
        <v>46091</v>
      </c>
      <c r="E1335" s="105">
        <f t="shared" si="50"/>
        <v>46094</v>
      </c>
      <c r="F1335" s="105">
        <v>46093</v>
      </c>
      <c r="G1335" s="2">
        <f t="shared" si="51"/>
        <v>46094</v>
      </c>
      <c r="H1335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46064</v>
      </c>
      <c r="I1335" s="95" t="s">
        <v>951</v>
      </c>
    </row>
    <row r="1336" spans="1:9" x14ac:dyDescent="0.3">
      <c r="A1336" s="1" t="s">
        <v>166</v>
      </c>
      <c r="B1336" s="6"/>
      <c r="C1336" s="1">
        <v>-1</v>
      </c>
      <c r="D1336" s="105">
        <v>46079</v>
      </c>
      <c r="E1336" s="105">
        <f t="shared" si="50"/>
        <v>46082</v>
      </c>
      <c r="F1336" s="105">
        <v>46081</v>
      </c>
      <c r="G1336" s="2">
        <f t="shared" si="51"/>
        <v>46082</v>
      </c>
      <c r="H1336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46064</v>
      </c>
      <c r="I1336" s="95" t="s">
        <v>952</v>
      </c>
    </row>
    <row r="1337" spans="1:9" x14ac:dyDescent="0.3">
      <c r="A1337" s="1" t="s">
        <v>93</v>
      </c>
      <c r="B1337" s="6"/>
      <c r="C1337" s="1">
        <v>-1</v>
      </c>
      <c r="D1337" s="105">
        <v>46093</v>
      </c>
      <c r="E1337" s="105">
        <f t="shared" si="50"/>
        <v>46121</v>
      </c>
      <c r="F1337" s="105">
        <v>46120</v>
      </c>
      <c r="G1337" s="2">
        <f t="shared" si="51"/>
        <v>46121</v>
      </c>
      <c r="H1337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46064</v>
      </c>
      <c r="I1337" s="95" t="s">
        <v>953</v>
      </c>
    </row>
    <row r="1338" spans="1:9" x14ac:dyDescent="0.3">
      <c r="A1338" s="1" t="s">
        <v>93</v>
      </c>
      <c r="B1338" s="6"/>
      <c r="C1338" s="1">
        <v>-1</v>
      </c>
      <c r="D1338" s="105">
        <v>46127</v>
      </c>
      <c r="E1338" s="105">
        <f t="shared" si="50"/>
        <v>46139.041666666599</v>
      </c>
      <c r="F1338" s="105">
        <v>46138.041666666599</v>
      </c>
      <c r="G1338" s="2">
        <f t="shared" si="51"/>
        <v>46139.041666666599</v>
      </c>
      <c r="H1338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46064</v>
      </c>
      <c r="I1338" s="95" t="s">
        <v>953</v>
      </c>
    </row>
    <row r="1339" spans="1:9" x14ac:dyDescent="0.3">
      <c r="A1339" s="1" t="s">
        <v>104</v>
      </c>
      <c r="B1339" s="6"/>
      <c r="C1339" s="1">
        <v>-1</v>
      </c>
      <c r="D1339" s="105">
        <v>46080</v>
      </c>
      <c r="E1339" s="105">
        <f t="shared" ref="E1339:E1402" si="52">G1339</f>
        <v>46114</v>
      </c>
      <c r="F1339" s="105">
        <v>46113</v>
      </c>
      <c r="G1339" s="2">
        <f t="shared" si="51"/>
        <v>46114</v>
      </c>
      <c r="H1339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46064</v>
      </c>
      <c r="I1339" s="95" t="s">
        <v>954</v>
      </c>
    </row>
    <row r="1340" spans="1:9" x14ac:dyDescent="0.3">
      <c r="A1340" s="1" t="s">
        <v>104</v>
      </c>
      <c r="B1340" s="6"/>
      <c r="C1340" s="1">
        <v>-1</v>
      </c>
      <c r="D1340" s="105">
        <v>46123</v>
      </c>
      <c r="E1340" s="105">
        <f t="shared" si="52"/>
        <v>46139.041666666599</v>
      </c>
      <c r="F1340" s="105">
        <v>46138.041666666599</v>
      </c>
      <c r="G1340" s="2">
        <f t="shared" si="51"/>
        <v>46139.041666666599</v>
      </c>
      <c r="H1340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46064</v>
      </c>
      <c r="I1340" s="95" t="s">
        <v>954</v>
      </c>
    </row>
    <row r="1341" spans="1:9" x14ac:dyDescent="0.3">
      <c r="A1341" s="1" t="s">
        <v>104</v>
      </c>
      <c r="B1341" s="6"/>
      <c r="C1341" s="1">
        <v>-1</v>
      </c>
      <c r="D1341" s="105">
        <v>46115</v>
      </c>
      <c r="E1341" s="105">
        <f t="shared" si="52"/>
        <v>46120</v>
      </c>
      <c r="F1341" s="105">
        <v>46119</v>
      </c>
      <c r="G1341" s="2">
        <f t="shared" si="51"/>
        <v>46120</v>
      </c>
      <c r="H1341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46064</v>
      </c>
      <c r="I1341" s="95" t="s">
        <v>954</v>
      </c>
    </row>
    <row r="1342" spans="1:9" x14ac:dyDescent="0.3">
      <c r="A1342" s="1" t="s">
        <v>93</v>
      </c>
      <c r="B1342" s="6"/>
      <c r="C1342" s="1">
        <v>-1</v>
      </c>
      <c r="D1342" s="105">
        <v>46104</v>
      </c>
      <c r="E1342" s="105">
        <f t="shared" si="52"/>
        <v>46108</v>
      </c>
      <c r="F1342" s="105">
        <v>46107</v>
      </c>
      <c r="G1342" s="2">
        <f t="shared" si="51"/>
        <v>46108</v>
      </c>
      <c r="H1342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46063</v>
      </c>
      <c r="I1342" s="95" t="s">
        <v>939</v>
      </c>
    </row>
    <row r="1343" spans="1:9" x14ac:dyDescent="0.3">
      <c r="A1343" s="1" t="s">
        <v>93</v>
      </c>
      <c r="B1343" s="6"/>
      <c r="C1343" s="1">
        <v>-1</v>
      </c>
      <c r="D1343" s="105">
        <v>46110</v>
      </c>
      <c r="E1343" s="105">
        <f t="shared" si="52"/>
        <v>46114</v>
      </c>
      <c r="F1343" s="105">
        <v>46113</v>
      </c>
      <c r="G1343" s="2">
        <f t="shared" si="51"/>
        <v>46114</v>
      </c>
      <c r="H1343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46063</v>
      </c>
      <c r="I1343" s="95" t="s">
        <v>939</v>
      </c>
    </row>
    <row r="1344" spans="1:9" x14ac:dyDescent="0.3">
      <c r="A1344" s="1" t="s">
        <v>623</v>
      </c>
      <c r="B1344" s="6"/>
      <c r="C1344" s="1">
        <v>-1</v>
      </c>
      <c r="D1344" s="105">
        <v>46101</v>
      </c>
      <c r="E1344" s="105">
        <f t="shared" si="52"/>
        <v>46102</v>
      </c>
      <c r="F1344" s="105">
        <v>46101</v>
      </c>
      <c r="G1344" s="2">
        <f t="shared" si="51"/>
        <v>46102</v>
      </c>
      <c r="H1344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46063</v>
      </c>
      <c r="I1344" s="95" t="s">
        <v>955</v>
      </c>
    </row>
    <row r="1345" spans="1:9" x14ac:dyDescent="0.3">
      <c r="A1345" s="1" t="s">
        <v>623</v>
      </c>
      <c r="B1345" s="6"/>
      <c r="C1345" s="1">
        <v>-1</v>
      </c>
      <c r="D1345" s="105">
        <v>46102</v>
      </c>
      <c r="E1345" s="105">
        <f t="shared" si="52"/>
        <v>46103</v>
      </c>
      <c r="F1345" s="105">
        <v>46102</v>
      </c>
      <c r="G1345" s="2">
        <f t="shared" si="51"/>
        <v>46103</v>
      </c>
      <c r="H1345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46063</v>
      </c>
      <c r="I1345" s="95" t="s">
        <v>955</v>
      </c>
    </row>
    <row r="1346" spans="1:9" x14ac:dyDescent="0.3">
      <c r="A1346" s="1" t="s">
        <v>623</v>
      </c>
      <c r="B1346" s="6"/>
      <c r="C1346" s="1">
        <v>-1</v>
      </c>
      <c r="D1346" s="105">
        <v>46106</v>
      </c>
      <c r="E1346" s="105">
        <f t="shared" si="52"/>
        <v>46108</v>
      </c>
      <c r="F1346" s="105">
        <v>46107</v>
      </c>
      <c r="G1346" s="2">
        <f t="shared" si="51"/>
        <v>46108</v>
      </c>
      <c r="H1346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46063</v>
      </c>
      <c r="I1346" s="95" t="s">
        <v>955</v>
      </c>
    </row>
    <row r="1347" spans="1:9" x14ac:dyDescent="0.3">
      <c r="A1347" s="1" t="s">
        <v>623</v>
      </c>
      <c r="B1347" s="6"/>
      <c r="C1347" s="1">
        <v>-1</v>
      </c>
      <c r="D1347" s="105">
        <v>46126</v>
      </c>
      <c r="E1347" s="105">
        <f t="shared" si="52"/>
        <v>46127</v>
      </c>
      <c r="F1347" s="105">
        <v>46126</v>
      </c>
      <c r="G1347" s="2">
        <f t="shared" si="51"/>
        <v>46127</v>
      </c>
      <c r="H1347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46063</v>
      </c>
      <c r="I1347" s="95" t="s">
        <v>955</v>
      </c>
    </row>
    <row r="1348" spans="1:9" x14ac:dyDescent="0.3">
      <c r="A1348" s="1" t="s">
        <v>623</v>
      </c>
      <c r="B1348" s="6"/>
      <c r="C1348" s="1">
        <v>-1</v>
      </c>
      <c r="D1348" s="105">
        <v>46129</v>
      </c>
      <c r="E1348" s="105">
        <f t="shared" si="52"/>
        <v>46130</v>
      </c>
      <c r="F1348" s="105">
        <v>46129</v>
      </c>
      <c r="G1348" s="2">
        <f t="shared" si="51"/>
        <v>46130</v>
      </c>
      <c r="H1348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46063</v>
      </c>
      <c r="I1348" s="95" t="s">
        <v>955</v>
      </c>
    </row>
    <row r="1349" spans="1:9" x14ac:dyDescent="0.3">
      <c r="A1349" s="1" t="s">
        <v>528</v>
      </c>
      <c r="B1349" s="6"/>
      <c r="C1349" s="1">
        <v>-1</v>
      </c>
      <c r="D1349" s="105">
        <v>46113</v>
      </c>
      <c r="E1349" s="105">
        <f t="shared" si="52"/>
        <v>46116</v>
      </c>
      <c r="F1349" s="105">
        <v>46115</v>
      </c>
      <c r="G1349" s="2">
        <f t="shared" si="51"/>
        <v>46116</v>
      </c>
      <c r="H1349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46064</v>
      </c>
      <c r="I1349" s="95" t="s">
        <v>956</v>
      </c>
    </row>
    <row r="1350" spans="1:9" x14ac:dyDescent="0.3">
      <c r="A1350" s="1" t="s">
        <v>110</v>
      </c>
      <c r="B1350" s="6"/>
      <c r="C1350" s="1">
        <v>-1</v>
      </c>
      <c r="D1350" s="105">
        <v>46082</v>
      </c>
      <c r="E1350" s="105">
        <f t="shared" si="52"/>
        <v>46143</v>
      </c>
      <c r="F1350" s="105">
        <v>46142</v>
      </c>
      <c r="G1350" s="2">
        <f t="shared" si="51"/>
        <v>46143</v>
      </c>
      <c r="H1350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46064</v>
      </c>
      <c r="I1350" s="95" t="s">
        <v>957</v>
      </c>
    </row>
    <row r="1351" spans="1:9" x14ac:dyDescent="0.3">
      <c r="A1351" s="1" t="s">
        <v>123</v>
      </c>
      <c r="B1351" s="6"/>
      <c r="C1351" s="1">
        <v>-1</v>
      </c>
      <c r="D1351" s="105">
        <v>46127</v>
      </c>
      <c r="E1351" s="105">
        <f t="shared" si="52"/>
        <v>46128</v>
      </c>
      <c r="F1351" s="105">
        <v>46127</v>
      </c>
      <c r="G1351" s="2">
        <f t="shared" si="51"/>
        <v>46128</v>
      </c>
      <c r="H1351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46064</v>
      </c>
      <c r="I1351" s="95" t="s">
        <v>958</v>
      </c>
    </row>
    <row r="1352" spans="1:9" x14ac:dyDescent="0.3">
      <c r="A1352" s="1" t="s">
        <v>123</v>
      </c>
      <c r="B1352" s="6"/>
      <c r="C1352" s="1">
        <v>-1</v>
      </c>
      <c r="D1352" s="105">
        <v>46132</v>
      </c>
      <c r="E1352" s="105">
        <f t="shared" si="52"/>
        <v>46140.041666666599</v>
      </c>
      <c r="F1352" s="105">
        <v>46139.041666666599</v>
      </c>
      <c r="G1352" s="2">
        <f t="shared" si="51"/>
        <v>46140.041666666599</v>
      </c>
      <c r="H1352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46064</v>
      </c>
      <c r="I1352" s="95" t="s">
        <v>958</v>
      </c>
    </row>
    <row r="1353" spans="1:9" x14ac:dyDescent="0.3">
      <c r="A1353" s="1" t="s">
        <v>123</v>
      </c>
      <c r="B1353" s="6"/>
      <c r="C1353" s="1">
        <v>-1</v>
      </c>
      <c r="D1353" s="105">
        <v>46117</v>
      </c>
      <c r="E1353" s="105">
        <f t="shared" si="52"/>
        <v>46119</v>
      </c>
      <c r="F1353" s="105">
        <v>46118</v>
      </c>
      <c r="G1353" s="2">
        <f t="shared" si="51"/>
        <v>46119</v>
      </c>
      <c r="H1353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46064</v>
      </c>
      <c r="I1353" s="95" t="s">
        <v>958</v>
      </c>
    </row>
    <row r="1354" spans="1:9" x14ac:dyDescent="0.3">
      <c r="A1354" s="1" t="s">
        <v>95</v>
      </c>
      <c r="B1354" s="6"/>
      <c r="C1354" s="1">
        <v>-1</v>
      </c>
      <c r="D1354" s="105">
        <v>46167</v>
      </c>
      <c r="E1354" s="105">
        <f t="shared" si="52"/>
        <v>46168</v>
      </c>
      <c r="F1354" s="105">
        <v>46167</v>
      </c>
      <c r="G1354" s="2">
        <f t="shared" si="51"/>
        <v>46168</v>
      </c>
      <c r="H1354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46065</v>
      </c>
      <c r="I1354" s="95" t="s">
        <v>959</v>
      </c>
    </row>
    <row r="1355" spans="1:9" x14ac:dyDescent="0.3">
      <c r="A1355" s="1" t="s">
        <v>95</v>
      </c>
      <c r="B1355" s="6"/>
      <c r="C1355" s="1">
        <v>-1</v>
      </c>
      <c r="D1355" s="105">
        <v>46175</v>
      </c>
      <c r="E1355" s="105">
        <f t="shared" si="52"/>
        <v>46178</v>
      </c>
      <c r="F1355" s="105">
        <v>46177</v>
      </c>
      <c r="G1355" s="2">
        <f t="shared" si="51"/>
        <v>46178</v>
      </c>
      <c r="H1355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46065</v>
      </c>
      <c r="I1355" s="95" t="s">
        <v>959</v>
      </c>
    </row>
    <row r="1356" spans="1:9" x14ac:dyDescent="0.3">
      <c r="A1356" s="1" t="s">
        <v>95</v>
      </c>
      <c r="B1356" s="6"/>
      <c r="C1356" s="1">
        <v>-1</v>
      </c>
      <c r="D1356" s="105">
        <v>46225</v>
      </c>
      <c r="E1356" s="105">
        <f t="shared" si="52"/>
        <v>46227</v>
      </c>
      <c r="F1356" s="105">
        <v>46226</v>
      </c>
      <c r="G1356" s="2">
        <f t="shared" si="51"/>
        <v>46227</v>
      </c>
      <c r="H1356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46065</v>
      </c>
      <c r="I1356" s="95" t="s">
        <v>959</v>
      </c>
    </row>
    <row r="1357" spans="1:9" x14ac:dyDescent="0.3">
      <c r="A1357" s="1" t="s">
        <v>95</v>
      </c>
      <c r="B1357" s="6"/>
      <c r="C1357" s="1">
        <v>-1</v>
      </c>
      <c r="D1357" s="105">
        <v>46241</v>
      </c>
      <c r="E1357" s="105">
        <f t="shared" si="52"/>
        <v>46245</v>
      </c>
      <c r="F1357" s="105">
        <v>46244</v>
      </c>
      <c r="G1357" s="2">
        <f t="shared" si="51"/>
        <v>46245</v>
      </c>
      <c r="H1357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46065</v>
      </c>
      <c r="I1357" s="95" t="s">
        <v>959</v>
      </c>
    </row>
    <row r="1358" spans="1:9" x14ac:dyDescent="0.3">
      <c r="A1358" s="1" t="s">
        <v>95</v>
      </c>
      <c r="B1358" s="6"/>
      <c r="C1358" s="1">
        <v>-1</v>
      </c>
      <c r="D1358" s="105">
        <v>46261</v>
      </c>
      <c r="E1358" s="105">
        <f t="shared" si="52"/>
        <v>46265</v>
      </c>
      <c r="F1358" s="105">
        <v>46264</v>
      </c>
      <c r="G1358" s="2">
        <f t="shared" si="51"/>
        <v>46265</v>
      </c>
      <c r="H1358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46065</v>
      </c>
      <c r="I1358" s="95" t="s">
        <v>959</v>
      </c>
    </row>
    <row r="1359" spans="1:9" x14ac:dyDescent="0.3">
      <c r="A1359" s="1" t="s">
        <v>95</v>
      </c>
      <c r="B1359" s="6"/>
      <c r="C1359" s="1">
        <v>-1</v>
      </c>
      <c r="D1359" s="105">
        <v>46272</v>
      </c>
      <c r="E1359" s="105">
        <f t="shared" si="52"/>
        <v>46273</v>
      </c>
      <c r="F1359" s="105">
        <v>46272</v>
      </c>
      <c r="G1359" s="2">
        <f t="shared" si="51"/>
        <v>46273</v>
      </c>
      <c r="H1359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46065</v>
      </c>
      <c r="I1359" s="95" t="s">
        <v>959</v>
      </c>
    </row>
    <row r="1360" spans="1:9" x14ac:dyDescent="0.3">
      <c r="A1360" s="1" t="s">
        <v>95</v>
      </c>
      <c r="B1360" s="6"/>
      <c r="C1360" s="1">
        <v>-1</v>
      </c>
      <c r="D1360" s="105">
        <v>46169</v>
      </c>
      <c r="E1360" s="105">
        <f t="shared" si="52"/>
        <v>46173</v>
      </c>
      <c r="F1360" s="105">
        <v>46172</v>
      </c>
      <c r="G1360" s="2">
        <f t="shared" si="51"/>
        <v>46173</v>
      </c>
      <c r="H1360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46065</v>
      </c>
      <c r="I1360" s="95" t="s">
        <v>959</v>
      </c>
    </row>
    <row r="1361" spans="1:9" x14ac:dyDescent="0.3">
      <c r="A1361" s="1" t="s">
        <v>95</v>
      </c>
      <c r="B1361" s="6"/>
      <c r="C1361" s="1">
        <v>-1</v>
      </c>
      <c r="D1361" s="105">
        <v>46176</v>
      </c>
      <c r="E1361" s="105">
        <f t="shared" si="52"/>
        <v>46183</v>
      </c>
      <c r="F1361" s="105">
        <v>46182</v>
      </c>
      <c r="G1361" s="2">
        <f t="shared" si="51"/>
        <v>46183</v>
      </c>
      <c r="H1361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46065</v>
      </c>
      <c r="I1361" s="95" t="s">
        <v>959</v>
      </c>
    </row>
    <row r="1362" spans="1:9" x14ac:dyDescent="0.3">
      <c r="A1362" s="1" t="s">
        <v>95</v>
      </c>
      <c r="B1362" s="6"/>
      <c r="C1362" s="1">
        <v>-1</v>
      </c>
      <c r="D1362" s="105">
        <v>46209</v>
      </c>
      <c r="E1362" s="105">
        <f t="shared" si="52"/>
        <v>46218</v>
      </c>
      <c r="F1362" s="105">
        <v>46217</v>
      </c>
      <c r="G1362" s="2">
        <f t="shared" si="51"/>
        <v>46218</v>
      </c>
      <c r="H1362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46065</v>
      </c>
      <c r="I1362" s="95" t="s">
        <v>959</v>
      </c>
    </row>
    <row r="1363" spans="1:9" x14ac:dyDescent="0.3">
      <c r="A1363" s="1" t="s">
        <v>95</v>
      </c>
      <c r="B1363" s="6"/>
      <c r="C1363" s="1">
        <v>-1</v>
      </c>
      <c r="D1363" s="105">
        <v>46251</v>
      </c>
      <c r="E1363" s="105">
        <f t="shared" si="52"/>
        <v>46264</v>
      </c>
      <c r="F1363" s="105">
        <v>46263</v>
      </c>
      <c r="G1363" s="2">
        <f t="shared" si="51"/>
        <v>46264</v>
      </c>
      <c r="H1363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46065</v>
      </c>
      <c r="I1363" s="95" t="s">
        <v>959</v>
      </c>
    </row>
    <row r="1364" spans="1:9" x14ac:dyDescent="0.3">
      <c r="A1364" s="1" t="s">
        <v>95</v>
      </c>
      <c r="B1364" s="6"/>
      <c r="C1364" s="1">
        <v>-1</v>
      </c>
      <c r="D1364" s="105">
        <v>46290</v>
      </c>
      <c r="E1364" s="105">
        <f t="shared" si="52"/>
        <v>46293</v>
      </c>
      <c r="F1364" s="105">
        <v>46292</v>
      </c>
      <c r="G1364" s="2">
        <f t="shared" si="51"/>
        <v>46293</v>
      </c>
      <c r="H1364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46065</v>
      </c>
      <c r="I1364" s="95" t="s">
        <v>959</v>
      </c>
    </row>
    <row r="1365" spans="1:9" x14ac:dyDescent="0.3">
      <c r="A1365" s="1" t="s">
        <v>95</v>
      </c>
      <c r="B1365" s="6"/>
      <c r="C1365" s="1">
        <v>-1</v>
      </c>
      <c r="D1365" s="105">
        <v>46312</v>
      </c>
      <c r="E1365" s="105">
        <f t="shared" si="52"/>
        <v>46319</v>
      </c>
      <c r="F1365" s="105">
        <v>46318</v>
      </c>
      <c r="G1365" s="2">
        <f t="shared" si="51"/>
        <v>46319</v>
      </c>
      <c r="H1365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46065</v>
      </c>
      <c r="I1365" s="95" t="s">
        <v>959</v>
      </c>
    </row>
    <row r="1366" spans="1:9" x14ac:dyDescent="0.3">
      <c r="A1366" s="1" t="s">
        <v>103</v>
      </c>
      <c r="B1366" s="6"/>
      <c r="C1366" s="1">
        <v>-1</v>
      </c>
      <c r="D1366" s="105">
        <v>46169</v>
      </c>
      <c r="E1366" s="105">
        <f t="shared" si="52"/>
        <v>46176</v>
      </c>
      <c r="F1366" s="105">
        <v>46175</v>
      </c>
      <c r="G1366" s="2">
        <f t="shared" si="51"/>
        <v>46176</v>
      </c>
      <c r="H1366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46065</v>
      </c>
      <c r="I1366" s="95" t="s">
        <v>960</v>
      </c>
    </row>
    <row r="1367" spans="1:9" x14ac:dyDescent="0.3">
      <c r="A1367" s="1" t="s">
        <v>103</v>
      </c>
      <c r="B1367" s="6"/>
      <c r="C1367" s="1">
        <v>-1</v>
      </c>
      <c r="D1367" s="105">
        <v>46259</v>
      </c>
      <c r="E1367" s="105">
        <f t="shared" si="52"/>
        <v>46266</v>
      </c>
      <c r="F1367" s="105">
        <v>46265</v>
      </c>
      <c r="G1367" s="2">
        <f t="shared" si="51"/>
        <v>46266</v>
      </c>
      <c r="H1367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46065</v>
      </c>
      <c r="I1367" s="95" t="s">
        <v>960</v>
      </c>
    </row>
    <row r="1368" spans="1:9" x14ac:dyDescent="0.3">
      <c r="A1368" s="1" t="s">
        <v>103</v>
      </c>
      <c r="B1368" s="6"/>
      <c r="C1368" s="1">
        <v>-1</v>
      </c>
      <c r="D1368" s="105">
        <v>46270</v>
      </c>
      <c r="E1368" s="105">
        <f t="shared" si="52"/>
        <v>46272</v>
      </c>
      <c r="F1368" s="105">
        <v>46271</v>
      </c>
      <c r="G1368" s="2">
        <f t="shared" si="51"/>
        <v>46272</v>
      </c>
      <c r="H1368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46065</v>
      </c>
      <c r="I1368" s="95" t="s">
        <v>960</v>
      </c>
    </row>
    <row r="1369" spans="1:9" x14ac:dyDescent="0.3">
      <c r="A1369" s="1" t="s">
        <v>103</v>
      </c>
      <c r="B1369" s="6"/>
      <c r="C1369" s="1">
        <v>-1</v>
      </c>
      <c r="D1369" s="105">
        <v>46092</v>
      </c>
      <c r="E1369" s="105">
        <f t="shared" si="52"/>
        <v>46094</v>
      </c>
      <c r="F1369" s="105">
        <v>46093</v>
      </c>
      <c r="G1369" s="2">
        <f t="shared" si="51"/>
        <v>46094</v>
      </c>
      <c r="H1369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46065</v>
      </c>
      <c r="I1369" s="95" t="s">
        <v>960</v>
      </c>
    </row>
    <row r="1370" spans="1:9" x14ac:dyDescent="0.3">
      <c r="A1370" s="1" t="s">
        <v>103</v>
      </c>
      <c r="B1370" s="6"/>
      <c r="C1370" s="1">
        <v>-1</v>
      </c>
      <c r="D1370" s="105">
        <v>46102</v>
      </c>
      <c r="E1370" s="105">
        <f t="shared" si="52"/>
        <v>46103</v>
      </c>
      <c r="F1370" s="105">
        <v>46102</v>
      </c>
      <c r="G1370" s="2">
        <f t="shared" si="51"/>
        <v>46103</v>
      </c>
      <c r="H1370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46065</v>
      </c>
      <c r="I1370" s="95" t="s">
        <v>960</v>
      </c>
    </row>
    <row r="1371" spans="1:9" x14ac:dyDescent="0.3">
      <c r="A1371" s="1" t="s">
        <v>103</v>
      </c>
      <c r="B1371" s="6"/>
      <c r="C1371" s="1">
        <v>-1</v>
      </c>
      <c r="D1371" s="105">
        <v>46135</v>
      </c>
      <c r="E1371" s="105">
        <f t="shared" si="52"/>
        <v>46137.041666666599</v>
      </c>
      <c r="F1371" s="105">
        <v>46136.041666666599</v>
      </c>
      <c r="G1371" s="2">
        <f t="shared" si="51"/>
        <v>46137.041666666599</v>
      </c>
      <c r="H1371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46065</v>
      </c>
      <c r="I1371" s="95" t="s">
        <v>960</v>
      </c>
    </row>
    <row r="1372" spans="1:9" x14ac:dyDescent="0.3">
      <c r="A1372" s="1" t="s">
        <v>103</v>
      </c>
      <c r="B1372" s="6"/>
      <c r="C1372" s="1">
        <v>-1</v>
      </c>
      <c r="D1372" s="105">
        <v>46178</v>
      </c>
      <c r="E1372" s="105">
        <f t="shared" si="52"/>
        <v>46182</v>
      </c>
      <c r="F1372" s="105">
        <v>46181</v>
      </c>
      <c r="G1372" s="2">
        <f t="shared" si="51"/>
        <v>46182</v>
      </c>
      <c r="H1372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46065</v>
      </c>
      <c r="I1372" s="95" t="s">
        <v>960</v>
      </c>
    </row>
    <row r="1373" spans="1:9" x14ac:dyDescent="0.3">
      <c r="A1373" s="1" t="s">
        <v>103</v>
      </c>
      <c r="B1373" s="6"/>
      <c r="C1373" s="1">
        <v>-1</v>
      </c>
      <c r="D1373" s="105">
        <v>46118</v>
      </c>
      <c r="E1373" s="105">
        <f t="shared" si="52"/>
        <v>46119</v>
      </c>
      <c r="F1373" s="105">
        <v>46118</v>
      </c>
      <c r="G1373" s="2">
        <f t="shared" si="51"/>
        <v>46119</v>
      </c>
      <c r="H1373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46065</v>
      </c>
      <c r="I1373" s="95" t="s">
        <v>960</v>
      </c>
    </row>
    <row r="1374" spans="1:9" x14ac:dyDescent="0.3">
      <c r="A1374" s="1" t="s">
        <v>103</v>
      </c>
      <c r="B1374" s="6"/>
      <c r="C1374" s="1">
        <v>-1</v>
      </c>
      <c r="D1374" s="105">
        <v>46259</v>
      </c>
      <c r="E1374" s="105">
        <f t="shared" si="52"/>
        <v>46266</v>
      </c>
      <c r="F1374" s="105">
        <v>46265</v>
      </c>
      <c r="G1374" s="2">
        <f t="shared" si="51"/>
        <v>46266</v>
      </c>
      <c r="H1374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46065</v>
      </c>
      <c r="I1374" s="95" t="s">
        <v>960</v>
      </c>
    </row>
    <row r="1375" spans="1:9" x14ac:dyDescent="0.3">
      <c r="A1375" s="1" t="s">
        <v>103</v>
      </c>
      <c r="B1375" s="6"/>
      <c r="C1375" s="1">
        <v>-1</v>
      </c>
      <c r="D1375" s="105">
        <v>46270</v>
      </c>
      <c r="E1375" s="105">
        <f t="shared" si="52"/>
        <v>46272</v>
      </c>
      <c r="F1375" s="105">
        <v>46271</v>
      </c>
      <c r="G1375" s="2">
        <f t="shared" si="51"/>
        <v>46272</v>
      </c>
      <c r="H1375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46065</v>
      </c>
      <c r="I1375" s="95" t="s">
        <v>960</v>
      </c>
    </row>
    <row r="1376" spans="1:9" x14ac:dyDescent="0.3">
      <c r="A1376" s="1" t="s">
        <v>294</v>
      </c>
      <c r="B1376" s="6"/>
      <c r="C1376" s="1">
        <v>-1</v>
      </c>
      <c r="D1376" s="105">
        <v>46076</v>
      </c>
      <c r="E1376" s="105">
        <f t="shared" si="52"/>
        <v>46078</v>
      </c>
      <c r="F1376" s="105">
        <v>46077</v>
      </c>
      <c r="G1376" s="2">
        <f t="shared" si="51"/>
        <v>46078</v>
      </c>
      <c r="H1376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46065</v>
      </c>
      <c r="I1376" s="95" t="s">
        <v>961</v>
      </c>
    </row>
    <row r="1377" spans="1:9" x14ac:dyDescent="0.3">
      <c r="A1377" s="1" t="s">
        <v>294</v>
      </c>
      <c r="B1377" s="6"/>
      <c r="C1377" s="1">
        <v>-1</v>
      </c>
      <c r="D1377" s="105">
        <v>46080</v>
      </c>
      <c r="E1377" s="105">
        <f t="shared" si="52"/>
        <v>46083</v>
      </c>
      <c r="F1377" s="105">
        <v>46082</v>
      </c>
      <c r="G1377" s="2">
        <f t="shared" si="51"/>
        <v>46083</v>
      </c>
      <c r="H1377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46065</v>
      </c>
      <c r="I1377" s="95" t="s">
        <v>961</v>
      </c>
    </row>
    <row r="1378" spans="1:9" x14ac:dyDescent="0.3">
      <c r="A1378" s="1" t="s">
        <v>71</v>
      </c>
      <c r="B1378" s="6"/>
      <c r="C1378" s="1">
        <v>-1</v>
      </c>
      <c r="D1378" s="105">
        <v>46079</v>
      </c>
      <c r="E1378" s="105">
        <f t="shared" si="52"/>
        <v>46084</v>
      </c>
      <c r="F1378" s="105">
        <v>46083</v>
      </c>
      <c r="G1378" s="2">
        <f t="shared" si="51"/>
        <v>46084</v>
      </c>
      <c r="H1378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46065</v>
      </c>
      <c r="I1378" s="95" t="s">
        <v>962</v>
      </c>
    </row>
    <row r="1379" spans="1:9" x14ac:dyDescent="0.3">
      <c r="A1379" s="1" t="s">
        <v>96</v>
      </c>
      <c r="B1379" s="6"/>
      <c r="C1379" s="1">
        <v>-1</v>
      </c>
      <c r="D1379" s="105">
        <v>46075</v>
      </c>
      <c r="E1379" s="105">
        <f t="shared" si="52"/>
        <v>46081</v>
      </c>
      <c r="F1379" s="105">
        <v>46080</v>
      </c>
      <c r="G1379" s="2">
        <f t="shared" si="51"/>
        <v>46081</v>
      </c>
      <c r="H1379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46065</v>
      </c>
      <c r="I1379" s="95" t="s">
        <v>963</v>
      </c>
    </row>
    <row r="1380" spans="1:9" x14ac:dyDescent="0.3">
      <c r="A1380" s="1" t="s">
        <v>96</v>
      </c>
      <c r="B1380" s="6"/>
      <c r="C1380" s="1">
        <v>-1</v>
      </c>
      <c r="D1380" s="105">
        <v>46092</v>
      </c>
      <c r="E1380" s="105">
        <f t="shared" si="52"/>
        <v>46098</v>
      </c>
      <c r="F1380" s="105">
        <v>46097</v>
      </c>
      <c r="G1380" s="2">
        <f t="shared" ref="G1380:G1443" si="53">F1380+1</f>
        <v>46098</v>
      </c>
      <c r="H1380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46065</v>
      </c>
      <c r="I1380" s="95" t="s">
        <v>963</v>
      </c>
    </row>
    <row r="1381" spans="1:9" x14ac:dyDescent="0.3">
      <c r="A1381" s="1" t="s">
        <v>96</v>
      </c>
      <c r="B1381" s="6"/>
      <c r="C1381" s="1">
        <v>-1</v>
      </c>
      <c r="D1381" s="105">
        <v>46094</v>
      </c>
      <c r="E1381" s="105">
        <f t="shared" si="52"/>
        <v>46100</v>
      </c>
      <c r="F1381" s="105">
        <v>46099</v>
      </c>
      <c r="G1381" s="2">
        <f t="shared" si="53"/>
        <v>46100</v>
      </c>
      <c r="H1381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46065</v>
      </c>
      <c r="I1381" s="95" t="s">
        <v>963</v>
      </c>
    </row>
    <row r="1382" spans="1:9" x14ac:dyDescent="0.3">
      <c r="A1382" s="1" t="s">
        <v>96</v>
      </c>
      <c r="B1382" s="6"/>
      <c r="C1382" s="1">
        <v>-1</v>
      </c>
      <c r="D1382" s="105">
        <v>46128</v>
      </c>
      <c r="E1382" s="105">
        <f t="shared" si="52"/>
        <v>46129</v>
      </c>
      <c r="F1382" s="105">
        <v>46128</v>
      </c>
      <c r="G1382" s="2">
        <f t="shared" si="53"/>
        <v>46129</v>
      </c>
      <c r="H1382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46065</v>
      </c>
      <c r="I1382" s="95" t="s">
        <v>963</v>
      </c>
    </row>
    <row r="1383" spans="1:9" x14ac:dyDescent="0.3">
      <c r="A1383" s="1" t="s">
        <v>96</v>
      </c>
      <c r="B1383" s="6"/>
      <c r="C1383" s="1">
        <v>-1</v>
      </c>
      <c r="D1383" s="105">
        <v>46134</v>
      </c>
      <c r="E1383" s="105">
        <f t="shared" si="52"/>
        <v>46140.041666666599</v>
      </c>
      <c r="F1383" s="105">
        <v>46139.041666666599</v>
      </c>
      <c r="G1383" s="2">
        <f t="shared" si="53"/>
        <v>46140.041666666599</v>
      </c>
      <c r="H1383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46065</v>
      </c>
      <c r="I1383" s="95" t="s">
        <v>963</v>
      </c>
    </row>
    <row r="1384" spans="1:9" x14ac:dyDescent="0.3">
      <c r="A1384" s="1" t="s">
        <v>96</v>
      </c>
      <c r="B1384" s="6"/>
      <c r="C1384" s="1">
        <v>-1</v>
      </c>
      <c r="D1384" s="105">
        <v>46144</v>
      </c>
      <c r="E1384" s="105">
        <f t="shared" si="52"/>
        <v>46145.041666666599</v>
      </c>
      <c r="F1384" s="105">
        <v>46144.041666666599</v>
      </c>
      <c r="G1384" s="2">
        <f t="shared" si="53"/>
        <v>46145.041666666599</v>
      </c>
      <c r="H1384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46065</v>
      </c>
      <c r="I1384" s="95" t="s">
        <v>963</v>
      </c>
    </row>
    <row r="1385" spans="1:9" x14ac:dyDescent="0.3">
      <c r="A1385" s="1" t="s">
        <v>96</v>
      </c>
      <c r="B1385" s="6"/>
      <c r="C1385" s="1">
        <v>-1</v>
      </c>
      <c r="D1385" s="105">
        <v>46164.041666666599</v>
      </c>
      <c r="E1385" s="105">
        <f t="shared" si="52"/>
        <v>46168.041666666599</v>
      </c>
      <c r="F1385" s="105">
        <v>46167.041666666599</v>
      </c>
      <c r="G1385" s="2">
        <f t="shared" si="53"/>
        <v>46168.041666666599</v>
      </c>
      <c r="H1385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46065</v>
      </c>
      <c r="I1385" s="95" t="s">
        <v>963</v>
      </c>
    </row>
    <row r="1386" spans="1:9" x14ac:dyDescent="0.3">
      <c r="A1386" s="1" t="s">
        <v>96</v>
      </c>
      <c r="B1386" s="6"/>
      <c r="C1386" s="1">
        <v>-1</v>
      </c>
      <c r="D1386" s="105">
        <v>46285</v>
      </c>
      <c r="E1386" s="105">
        <f t="shared" si="52"/>
        <v>46289</v>
      </c>
      <c r="F1386" s="105">
        <v>46288</v>
      </c>
      <c r="G1386" s="2">
        <f t="shared" si="53"/>
        <v>46289</v>
      </c>
      <c r="H1386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46065</v>
      </c>
      <c r="I1386" s="95" t="s">
        <v>963</v>
      </c>
    </row>
    <row r="1387" spans="1:9" x14ac:dyDescent="0.3">
      <c r="A1387" s="1" t="s">
        <v>109</v>
      </c>
      <c r="B1387" s="6"/>
      <c r="C1387" s="1">
        <v>-1</v>
      </c>
      <c r="D1387" s="105">
        <v>46075</v>
      </c>
      <c r="E1387" s="105">
        <f t="shared" si="52"/>
        <v>46078</v>
      </c>
      <c r="F1387" s="105">
        <v>46077</v>
      </c>
      <c r="G1387" s="2">
        <f t="shared" si="53"/>
        <v>46078</v>
      </c>
      <c r="H1387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46065</v>
      </c>
      <c r="I1387" s="95" t="s">
        <v>964</v>
      </c>
    </row>
    <row r="1388" spans="1:9" x14ac:dyDescent="0.3">
      <c r="A1388" s="1" t="s">
        <v>623</v>
      </c>
      <c r="B1388" s="6"/>
      <c r="C1388" s="1">
        <v>-1</v>
      </c>
      <c r="D1388" s="105">
        <v>46079</v>
      </c>
      <c r="E1388" s="105">
        <f t="shared" si="52"/>
        <v>46080</v>
      </c>
      <c r="F1388" s="105">
        <v>46079</v>
      </c>
      <c r="G1388" s="2">
        <f t="shared" si="53"/>
        <v>46080</v>
      </c>
      <c r="H1388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46065</v>
      </c>
      <c r="I1388" s="95" t="s">
        <v>965</v>
      </c>
    </row>
    <row r="1389" spans="1:9" x14ac:dyDescent="0.3">
      <c r="A1389" s="1" t="s">
        <v>623</v>
      </c>
      <c r="B1389" s="6"/>
      <c r="C1389" s="1">
        <v>-1</v>
      </c>
      <c r="D1389" s="105">
        <v>46082</v>
      </c>
      <c r="E1389" s="105">
        <f t="shared" si="52"/>
        <v>46083</v>
      </c>
      <c r="F1389" s="105">
        <v>46082</v>
      </c>
      <c r="G1389" s="2">
        <f t="shared" si="53"/>
        <v>46083</v>
      </c>
      <c r="H1389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46065</v>
      </c>
      <c r="I1389" s="95" t="s">
        <v>965</v>
      </c>
    </row>
    <row r="1390" spans="1:9" x14ac:dyDescent="0.3">
      <c r="A1390" s="1" t="s">
        <v>623</v>
      </c>
      <c r="B1390" s="6"/>
      <c r="C1390" s="1">
        <v>-1</v>
      </c>
      <c r="D1390" s="105">
        <v>46137</v>
      </c>
      <c r="E1390" s="105">
        <f t="shared" si="52"/>
        <v>46138</v>
      </c>
      <c r="F1390" s="105">
        <v>46137</v>
      </c>
      <c r="G1390" s="2">
        <f t="shared" si="53"/>
        <v>46138</v>
      </c>
      <c r="H1390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46065</v>
      </c>
      <c r="I1390" s="95" t="s">
        <v>965</v>
      </c>
    </row>
    <row r="1391" spans="1:9" x14ac:dyDescent="0.3">
      <c r="A1391" s="1" t="s">
        <v>623</v>
      </c>
      <c r="B1391" s="6"/>
      <c r="C1391" s="1">
        <v>-1</v>
      </c>
      <c r="D1391" s="105">
        <v>46139</v>
      </c>
      <c r="E1391" s="105">
        <f t="shared" si="52"/>
        <v>46140</v>
      </c>
      <c r="F1391" s="105">
        <v>46139</v>
      </c>
      <c r="G1391" s="2">
        <f t="shared" si="53"/>
        <v>46140</v>
      </c>
      <c r="H1391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46065</v>
      </c>
      <c r="I1391" s="95" t="s">
        <v>965</v>
      </c>
    </row>
    <row r="1392" spans="1:9" x14ac:dyDescent="0.3">
      <c r="A1392" s="1" t="s">
        <v>104</v>
      </c>
      <c r="B1392" s="6"/>
      <c r="C1392" s="1">
        <v>-1</v>
      </c>
      <c r="D1392" s="105">
        <v>46139</v>
      </c>
      <c r="E1392" s="105">
        <f t="shared" si="52"/>
        <v>46140</v>
      </c>
      <c r="F1392" s="105">
        <v>46139</v>
      </c>
      <c r="G1392" s="2">
        <f t="shared" si="53"/>
        <v>46140</v>
      </c>
      <c r="H1392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46065</v>
      </c>
      <c r="I1392" s="95" t="s">
        <v>966</v>
      </c>
    </row>
    <row r="1393" spans="1:9" x14ac:dyDescent="0.3">
      <c r="A1393" s="1" t="s">
        <v>104</v>
      </c>
      <c r="B1393" s="6"/>
      <c r="C1393" s="1">
        <v>-1</v>
      </c>
      <c r="D1393" s="105">
        <v>46146</v>
      </c>
      <c r="E1393" s="105">
        <f t="shared" si="52"/>
        <v>46150.041666666599</v>
      </c>
      <c r="F1393" s="105">
        <v>46149.041666666599</v>
      </c>
      <c r="G1393" s="2">
        <f t="shared" si="53"/>
        <v>46150.041666666599</v>
      </c>
      <c r="H1393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46065</v>
      </c>
      <c r="I1393" s="95" t="s">
        <v>966</v>
      </c>
    </row>
    <row r="1394" spans="1:9" x14ac:dyDescent="0.3">
      <c r="A1394" s="1" t="s">
        <v>104</v>
      </c>
      <c r="B1394" s="6"/>
      <c r="C1394" s="1">
        <v>-1</v>
      </c>
      <c r="D1394" s="105">
        <v>46152</v>
      </c>
      <c r="E1394" s="105">
        <f t="shared" si="52"/>
        <v>46185</v>
      </c>
      <c r="F1394" s="105">
        <v>46184</v>
      </c>
      <c r="G1394" s="2">
        <f t="shared" si="53"/>
        <v>46185</v>
      </c>
      <c r="H1394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46065</v>
      </c>
      <c r="I1394" s="95" t="s">
        <v>966</v>
      </c>
    </row>
    <row r="1395" spans="1:9" x14ac:dyDescent="0.3">
      <c r="A1395" s="1" t="s">
        <v>104</v>
      </c>
      <c r="B1395" s="6"/>
      <c r="C1395" s="1">
        <v>-1</v>
      </c>
      <c r="D1395" s="105">
        <v>46071</v>
      </c>
      <c r="E1395" s="105">
        <f t="shared" si="52"/>
        <v>46073</v>
      </c>
      <c r="F1395" s="105">
        <v>46072</v>
      </c>
      <c r="G1395" s="2">
        <f t="shared" si="53"/>
        <v>46073</v>
      </c>
      <c r="H1395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46065</v>
      </c>
      <c r="I1395" s="95" t="s">
        <v>966</v>
      </c>
    </row>
    <row r="1396" spans="1:9" x14ac:dyDescent="0.3">
      <c r="A1396" s="1" t="s">
        <v>104</v>
      </c>
      <c r="B1396" s="6"/>
      <c r="C1396" s="1">
        <v>-1</v>
      </c>
      <c r="D1396" s="105">
        <v>46078</v>
      </c>
      <c r="E1396" s="105">
        <f t="shared" si="52"/>
        <v>46079</v>
      </c>
      <c r="F1396" s="105">
        <v>46078</v>
      </c>
      <c r="G1396" s="2">
        <f t="shared" si="53"/>
        <v>46079</v>
      </c>
      <c r="H1396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46065</v>
      </c>
      <c r="I1396" s="95" t="s">
        <v>966</v>
      </c>
    </row>
    <row r="1397" spans="1:9" x14ac:dyDescent="0.3">
      <c r="A1397" s="1" t="s">
        <v>104</v>
      </c>
      <c r="B1397" s="6"/>
      <c r="C1397" s="1">
        <v>-1</v>
      </c>
      <c r="D1397" s="105">
        <v>46080</v>
      </c>
      <c r="E1397" s="105">
        <f t="shared" si="52"/>
        <v>46082</v>
      </c>
      <c r="F1397" s="105">
        <v>46081</v>
      </c>
      <c r="G1397" s="2">
        <f t="shared" si="53"/>
        <v>46082</v>
      </c>
      <c r="H1397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46065</v>
      </c>
      <c r="I1397" s="95" t="s">
        <v>966</v>
      </c>
    </row>
    <row r="1398" spans="1:9" x14ac:dyDescent="0.3">
      <c r="A1398" s="1" t="s">
        <v>104</v>
      </c>
      <c r="B1398" s="6"/>
      <c r="C1398" s="1">
        <v>-1</v>
      </c>
      <c r="D1398" s="105">
        <v>46093</v>
      </c>
      <c r="E1398" s="105">
        <f t="shared" si="52"/>
        <v>46094</v>
      </c>
      <c r="F1398" s="105">
        <v>46093</v>
      </c>
      <c r="G1398" s="2">
        <f t="shared" si="53"/>
        <v>46094</v>
      </c>
      <c r="H1398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46065</v>
      </c>
      <c r="I1398" s="95" t="s">
        <v>966</v>
      </c>
    </row>
    <row r="1399" spans="1:9" x14ac:dyDescent="0.3">
      <c r="A1399" s="1" t="s">
        <v>104</v>
      </c>
      <c r="B1399" s="6"/>
      <c r="C1399" s="1">
        <v>-1</v>
      </c>
      <c r="D1399" s="105">
        <v>46097</v>
      </c>
      <c r="E1399" s="105">
        <f t="shared" si="52"/>
        <v>46098</v>
      </c>
      <c r="F1399" s="105">
        <v>46097</v>
      </c>
      <c r="G1399" s="2">
        <f t="shared" si="53"/>
        <v>46098</v>
      </c>
      <c r="H1399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46065</v>
      </c>
      <c r="I1399" s="95" t="s">
        <v>966</v>
      </c>
    </row>
    <row r="1400" spans="1:9" x14ac:dyDescent="0.3">
      <c r="A1400" s="1" t="s">
        <v>104</v>
      </c>
      <c r="B1400" s="6"/>
      <c r="C1400" s="1">
        <v>-1</v>
      </c>
      <c r="D1400" s="105">
        <v>46100</v>
      </c>
      <c r="E1400" s="105">
        <f t="shared" si="52"/>
        <v>46101</v>
      </c>
      <c r="F1400" s="105">
        <v>46100</v>
      </c>
      <c r="G1400" s="2">
        <f t="shared" si="53"/>
        <v>46101</v>
      </c>
      <c r="H1400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46065</v>
      </c>
      <c r="I1400" s="95" t="s">
        <v>966</v>
      </c>
    </row>
    <row r="1401" spans="1:9" x14ac:dyDescent="0.3">
      <c r="A1401" s="1" t="s">
        <v>104</v>
      </c>
      <c r="B1401" s="6"/>
      <c r="C1401" s="1">
        <v>-1</v>
      </c>
      <c r="D1401" s="105">
        <v>46082</v>
      </c>
      <c r="E1401" s="105">
        <f t="shared" si="52"/>
        <v>46086</v>
      </c>
      <c r="F1401" s="105">
        <v>46085</v>
      </c>
      <c r="G1401" s="2">
        <f t="shared" si="53"/>
        <v>46086</v>
      </c>
      <c r="H1401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46065</v>
      </c>
      <c r="I1401" s="95" t="s">
        <v>966</v>
      </c>
    </row>
    <row r="1402" spans="1:9" x14ac:dyDescent="0.3">
      <c r="A1402" s="1" t="s">
        <v>104</v>
      </c>
      <c r="B1402" s="6"/>
      <c r="C1402" s="1">
        <v>-1</v>
      </c>
      <c r="D1402" s="105">
        <v>46121</v>
      </c>
      <c r="E1402" s="105">
        <f t="shared" si="52"/>
        <v>46124</v>
      </c>
      <c r="F1402" s="105">
        <v>46123</v>
      </c>
      <c r="G1402" s="2">
        <f t="shared" si="53"/>
        <v>46124</v>
      </c>
      <c r="H1402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46065</v>
      </c>
      <c r="I1402" s="95" t="s">
        <v>966</v>
      </c>
    </row>
    <row r="1403" spans="1:9" x14ac:dyDescent="0.3">
      <c r="A1403" s="1" t="s">
        <v>104</v>
      </c>
      <c r="B1403" s="6"/>
      <c r="C1403" s="1">
        <v>-1</v>
      </c>
      <c r="D1403" s="105">
        <v>46111</v>
      </c>
      <c r="E1403" s="105">
        <f t="shared" ref="E1403:E1466" si="54">G1403</f>
        <v>46113</v>
      </c>
      <c r="F1403" s="105">
        <v>46112</v>
      </c>
      <c r="G1403" s="2">
        <f t="shared" si="53"/>
        <v>46113</v>
      </c>
      <c r="H1403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46065</v>
      </c>
      <c r="I1403" s="95" t="s">
        <v>966</v>
      </c>
    </row>
    <row r="1404" spans="1:9" x14ac:dyDescent="0.3">
      <c r="A1404" s="1" t="s">
        <v>95</v>
      </c>
      <c r="B1404" s="6"/>
      <c r="C1404" s="1">
        <v>-1</v>
      </c>
      <c r="D1404" s="105">
        <v>46065</v>
      </c>
      <c r="E1404" s="105">
        <f t="shared" si="54"/>
        <v>46107</v>
      </c>
      <c r="F1404" s="105">
        <v>46106</v>
      </c>
      <c r="G1404" s="2">
        <f t="shared" si="53"/>
        <v>46107</v>
      </c>
      <c r="H1404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46065</v>
      </c>
      <c r="I1404" s="95" t="s">
        <v>967</v>
      </c>
    </row>
    <row r="1405" spans="1:9" x14ac:dyDescent="0.3">
      <c r="A1405" s="1" t="s">
        <v>294</v>
      </c>
      <c r="B1405" s="6"/>
      <c r="C1405" s="1">
        <v>-1</v>
      </c>
      <c r="D1405" s="105">
        <v>46076</v>
      </c>
      <c r="E1405" s="105">
        <f t="shared" si="54"/>
        <v>46078</v>
      </c>
      <c r="F1405" s="105">
        <v>46077</v>
      </c>
      <c r="G1405" s="2">
        <f t="shared" si="53"/>
        <v>46078</v>
      </c>
      <c r="H1405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46065</v>
      </c>
      <c r="I1405" s="95" t="s">
        <v>968</v>
      </c>
    </row>
    <row r="1406" spans="1:9" x14ac:dyDescent="0.3">
      <c r="A1406" s="1" t="s">
        <v>294</v>
      </c>
      <c r="B1406" s="6"/>
      <c r="C1406" s="1">
        <v>-1</v>
      </c>
      <c r="D1406" s="105">
        <v>46080</v>
      </c>
      <c r="E1406" s="105">
        <f t="shared" si="54"/>
        <v>46083</v>
      </c>
      <c r="F1406" s="105">
        <v>46082</v>
      </c>
      <c r="G1406" s="2">
        <f t="shared" si="53"/>
        <v>46083</v>
      </c>
      <c r="H1406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46065</v>
      </c>
      <c r="I1406" s="95" t="s">
        <v>968</v>
      </c>
    </row>
    <row r="1407" spans="1:9" x14ac:dyDescent="0.3">
      <c r="A1407" s="1" t="s">
        <v>109</v>
      </c>
      <c r="B1407" s="6"/>
      <c r="C1407" s="1">
        <v>-1</v>
      </c>
      <c r="D1407" s="105">
        <v>46099</v>
      </c>
      <c r="E1407" s="105">
        <f t="shared" si="54"/>
        <v>46104</v>
      </c>
      <c r="F1407" s="105">
        <v>46103</v>
      </c>
      <c r="G1407" s="2">
        <f t="shared" si="53"/>
        <v>46104</v>
      </c>
      <c r="H1407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46065</v>
      </c>
      <c r="I1407" s="95" t="s">
        <v>968</v>
      </c>
    </row>
    <row r="1408" spans="1:9" x14ac:dyDescent="0.3">
      <c r="A1408" s="1" t="s">
        <v>119</v>
      </c>
      <c r="B1408" s="6"/>
      <c r="C1408" s="1">
        <v>-1</v>
      </c>
      <c r="D1408" s="105">
        <v>46098</v>
      </c>
      <c r="E1408" s="105">
        <f t="shared" si="54"/>
        <v>46103</v>
      </c>
      <c r="F1408" s="105">
        <v>46102</v>
      </c>
      <c r="G1408" s="2">
        <f t="shared" si="53"/>
        <v>46103</v>
      </c>
      <c r="H1408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46065</v>
      </c>
      <c r="I1408" s="95" t="s">
        <v>968</v>
      </c>
    </row>
    <row r="1409" spans="1:9" x14ac:dyDescent="0.3">
      <c r="A1409" s="1" t="s">
        <v>119</v>
      </c>
      <c r="B1409" s="6"/>
      <c r="C1409" s="1">
        <v>-1</v>
      </c>
      <c r="D1409" s="105">
        <v>46106</v>
      </c>
      <c r="E1409" s="105">
        <f t="shared" si="54"/>
        <v>46113</v>
      </c>
      <c r="F1409" s="105">
        <v>46112</v>
      </c>
      <c r="G1409" s="2">
        <f t="shared" si="53"/>
        <v>46113</v>
      </c>
      <c r="H1409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46065</v>
      </c>
      <c r="I1409" s="95" t="s">
        <v>968</v>
      </c>
    </row>
    <row r="1410" spans="1:9" x14ac:dyDescent="0.3">
      <c r="A1410" s="1" t="s">
        <v>67</v>
      </c>
      <c r="B1410" s="6"/>
      <c r="C1410" s="1">
        <v>-1</v>
      </c>
      <c r="D1410" s="105">
        <v>46148</v>
      </c>
      <c r="E1410" s="105">
        <f t="shared" si="54"/>
        <v>46159.041666666599</v>
      </c>
      <c r="F1410" s="105">
        <v>46158.041666666599</v>
      </c>
      <c r="G1410" s="2">
        <f t="shared" si="53"/>
        <v>46159.041666666599</v>
      </c>
      <c r="H1410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46065</v>
      </c>
      <c r="I1410" s="95" t="s">
        <v>969</v>
      </c>
    </row>
    <row r="1411" spans="1:9" x14ac:dyDescent="0.3">
      <c r="A1411" s="1" t="s">
        <v>124</v>
      </c>
      <c r="B1411" s="6"/>
      <c r="C1411" s="1">
        <v>-1</v>
      </c>
      <c r="D1411" s="105">
        <v>46068</v>
      </c>
      <c r="E1411" s="105">
        <f t="shared" si="54"/>
        <v>46072</v>
      </c>
      <c r="F1411" s="105">
        <v>46071</v>
      </c>
      <c r="G1411" s="2">
        <f t="shared" si="53"/>
        <v>46072</v>
      </c>
      <c r="H1411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46063</v>
      </c>
      <c r="I1411" s="95" t="s">
        <v>970</v>
      </c>
    </row>
    <row r="1412" spans="1:9" x14ac:dyDescent="0.3">
      <c r="A1412" s="1" t="s">
        <v>124</v>
      </c>
      <c r="B1412" s="6"/>
      <c r="C1412" s="1">
        <v>-1</v>
      </c>
      <c r="D1412" s="105">
        <v>46077</v>
      </c>
      <c r="E1412" s="105">
        <f t="shared" si="54"/>
        <v>46081</v>
      </c>
      <c r="F1412" s="105">
        <v>46080</v>
      </c>
      <c r="G1412" s="2">
        <f t="shared" si="53"/>
        <v>46081</v>
      </c>
      <c r="H1412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46063</v>
      </c>
      <c r="I1412" s="95" t="s">
        <v>970</v>
      </c>
    </row>
    <row r="1413" spans="1:9" x14ac:dyDescent="0.3">
      <c r="A1413" s="1" t="s">
        <v>124</v>
      </c>
      <c r="B1413" s="6"/>
      <c r="C1413" s="1">
        <v>-1</v>
      </c>
      <c r="D1413" s="105">
        <v>46097</v>
      </c>
      <c r="E1413" s="105">
        <f t="shared" si="54"/>
        <v>46112</v>
      </c>
      <c r="F1413" s="105">
        <v>46111</v>
      </c>
      <c r="G1413" s="2">
        <f t="shared" si="53"/>
        <v>46112</v>
      </c>
      <c r="H1413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46063</v>
      </c>
      <c r="I1413" s="95" t="s">
        <v>970</v>
      </c>
    </row>
    <row r="1414" spans="1:9" x14ac:dyDescent="0.3">
      <c r="A1414" s="1" t="s">
        <v>124</v>
      </c>
      <c r="B1414" s="6"/>
      <c r="C1414" s="1">
        <v>-1</v>
      </c>
      <c r="D1414" s="105">
        <v>46132</v>
      </c>
      <c r="E1414" s="105">
        <f t="shared" si="54"/>
        <v>46136</v>
      </c>
      <c r="F1414" s="105">
        <v>46135</v>
      </c>
      <c r="G1414" s="2">
        <f t="shared" si="53"/>
        <v>46136</v>
      </c>
      <c r="H1414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46063</v>
      </c>
      <c r="I1414" s="95" t="s">
        <v>970</v>
      </c>
    </row>
    <row r="1415" spans="1:9" x14ac:dyDescent="0.3">
      <c r="A1415" s="1" t="s">
        <v>124</v>
      </c>
      <c r="B1415" s="6"/>
      <c r="C1415" s="1">
        <v>-1</v>
      </c>
      <c r="D1415" s="105">
        <v>46167.041666666599</v>
      </c>
      <c r="E1415" s="105">
        <f t="shared" si="54"/>
        <v>46174.041666666599</v>
      </c>
      <c r="F1415" s="105">
        <v>46173.041666666599</v>
      </c>
      <c r="G1415" s="2">
        <f t="shared" si="53"/>
        <v>46174.041666666599</v>
      </c>
      <c r="H1415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46063</v>
      </c>
      <c r="I1415" s="95" t="s">
        <v>970</v>
      </c>
    </row>
    <row r="1416" spans="1:9" x14ac:dyDescent="0.3">
      <c r="A1416" s="1" t="s">
        <v>124</v>
      </c>
      <c r="B1416" s="6"/>
      <c r="C1416" s="1">
        <v>-1</v>
      </c>
      <c r="D1416" s="105">
        <v>46228</v>
      </c>
      <c r="E1416" s="105">
        <f t="shared" si="54"/>
        <v>46266</v>
      </c>
      <c r="F1416" s="105">
        <v>46265</v>
      </c>
      <c r="G1416" s="2">
        <f t="shared" si="53"/>
        <v>46266</v>
      </c>
      <c r="H1416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46063</v>
      </c>
      <c r="I1416" s="95" t="s">
        <v>970</v>
      </c>
    </row>
    <row r="1417" spans="1:9" x14ac:dyDescent="0.3">
      <c r="A1417" s="1" t="s">
        <v>96</v>
      </c>
      <c r="B1417" s="6"/>
      <c r="C1417" s="1">
        <v>-1</v>
      </c>
      <c r="D1417" s="105">
        <v>46080</v>
      </c>
      <c r="E1417" s="105">
        <f t="shared" si="54"/>
        <v>46081</v>
      </c>
      <c r="F1417" s="105">
        <v>46080</v>
      </c>
      <c r="G1417" s="2">
        <f t="shared" si="53"/>
        <v>46081</v>
      </c>
      <c r="H1417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46065</v>
      </c>
      <c r="I1417" s="95" t="s">
        <v>971</v>
      </c>
    </row>
    <row r="1418" spans="1:9" x14ac:dyDescent="0.3">
      <c r="A1418" s="1" t="s">
        <v>96</v>
      </c>
      <c r="B1418" s="6"/>
      <c r="C1418" s="1">
        <v>-1</v>
      </c>
      <c r="D1418" s="105">
        <v>46108</v>
      </c>
      <c r="E1418" s="105">
        <f t="shared" si="54"/>
        <v>46116</v>
      </c>
      <c r="F1418" s="105">
        <v>46115</v>
      </c>
      <c r="G1418" s="2">
        <f t="shared" si="53"/>
        <v>46116</v>
      </c>
      <c r="H1418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46065</v>
      </c>
      <c r="I1418" s="95" t="s">
        <v>971</v>
      </c>
    </row>
    <row r="1419" spans="1:9" x14ac:dyDescent="0.3">
      <c r="A1419" s="1" t="s">
        <v>972</v>
      </c>
      <c r="B1419" s="6"/>
      <c r="C1419" s="1">
        <v>-1</v>
      </c>
      <c r="D1419" s="105">
        <v>46081</v>
      </c>
      <c r="E1419" s="105">
        <f t="shared" si="54"/>
        <v>46084</v>
      </c>
      <c r="F1419" s="105">
        <v>46083</v>
      </c>
      <c r="G1419" s="2">
        <f t="shared" si="53"/>
        <v>46084</v>
      </c>
      <c r="H1419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46066</v>
      </c>
      <c r="I1419" s="95" t="s">
        <v>973</v>
      </c>
    </row>
    <row r="1420" spans="1:9" x14ac:dyDescent="0.3">
      <c r="A1420" s="1" t="s">
        <v>893</v>
      </c>
      <c r="B1420" s="6"/>
      <c r="C1420" s="1">
        <v>-1</v>
      </c>
      <c r="D1420" s="105">
        <v>46116</v>
      </c>
      <c r="E1420" s="105">
        <f t="shared" si="54"/>
        <v>46119</v>
      </c>
      <c r="F1420" s="105">
        <v>46118</v>
      </c>
      <c r="G1420" s="2">
        <f t="shared" si="53"/>
        <v>46119</v>
      </c>
      <c r="H1420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46066</v>
      </c>
      <c r="I1420" s="95" t="s">
        <v>974</v>
      </c>
    </row>
    <row r="1421" spans="1:9" x14ac:dyDescent="0.3">
      <c r="A1421" s="1" t="s">
        <v>893</v>
      </c>
      <c r="B1421" s="6"/>
      <c r="C1421" s="1">
        <v>-1</v>
      </c>
      <c r="D1421" s="105">
        <v>46133</v>
      </c>
      <c r="E1421" s="105">
        <f t="shared" si="54"/>
        <v>46138.041666666599</v>
      </c>
      <c r="F1421" s="105">
        <v>46137.041666666599</v>
      </c>
      <c r="G1421" s="2">
        <f t="shared" si="53"/>
        <v>46138.041666666599</v>
      </c>
      <c r="H1421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46066</v>
      </c>
      <c r="I1421" s="95" t="s">
        <v>974</v>
      </c>
    </row>
    <row r="1422" spans="1:9" x14ac:dyDescent="0.3">
      <c r="A1422" s="1" t="s">
        <v>85</v>
      </c>
      <c r="B1422" s="6"/>
      <c r="C1422" s="1">
        <v>-1</v>
      </c>
      <c r="D1422" s="105">
        <v>46119</v>
      </c>
      <c r="E1422" s="105">
        <f t="shared" si="54"/>
        <v>46122</v>
      </c>
      <c r="F1422" s="105">
        <v>46121</v>
      </c>
      <c r="G1422" s="2">
        <f t="shared" si="53"/>
        <v>46122</v>
      </c>
      <c r="H1422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46066</v>
      </c>
      <c r="I1422" s="95" t="s">
        <v>975</v>
      </c>
    </row>
    <row r="1423" spans="1:9" x14ac:dyDescent="0.3">
      <c r="A1423" s="1" t="s">
        <v>85</v>
      </c>
      <c r="B1423" s="6"/>
      <c r="C1423" s="1">
        <v>-1</v>
      </c>
      <c r="D1423" s="105">
        <v>46115</v>
      </c>
      <c r="E1423" s="105">
        <f t="shared" si="54"/>
        <v>46123</v>
      </c>
      <c r="F1423" s="105">
        <v>46122</v>
      </c>
      <c r="G1423" s="2">
        <f t="shared" si="53"/>
        <v>46123</v>
      </c>
      <c r="H1423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46066</v>
      </c>
      <c r="I1423" s="95" t="s">
        <v>975</v>
      </c>
    </row>
    <row r="1424" spans="1:9" x14ac:dyDescent="0.3">
      <c r="A1424" s="1" t="s">
        <v>66</v>
      </c>
      <c r="B1424" s="6"/>
      <c r="C1424" s="1">
        <v>-1</v>
      </c>
      <c r="D1424" s="105">
        <v>46105</v>
      </c>
      <c r="E1424" s="105">
        <f t="shared" si="54"/>
        <v>46123</v>
      </c>
      <c r="F1424" s="105">
        <v>46122</v>
      </c>
      <c r="G1424" s="2">
        <f t="shared" si="53"/>
        <v>46123</v>
      </c>
      <c r="H1424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46066</v>
      </c>
      <c r="I1424" s="95" t="s">
        <v>976</v>
      </c>
    </row>
    <row r="1425" spans="1:9" x14ac:dyDescent="0.3">
      <c r="A1425" s="1" t="s">
        <v>289</v>
      </c>
      <c r="B1425" s="6"/>
      <c r="C1425" s="1">
        <v>-1</v>
      </c>
      <c r="D1425" s="105">
        <v>46116</v>
      </c>
      <c r="E1425" s="105">
        <f t="shared" si="54"/>
        <v>46119</v>
      </c>
      <c r="F1425" s="105">
        <v>46118</v>
      </c>
      <c r="G1425" s="2">
        <f t="shared" si="53"/>
        <v>46119</v>
      </c>
      <c r="H1425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46066</v>
      </c>
      <c r="I1425" s="95" t="s">
        <v>977</v>
      </c>
    </row>
    <row r="1426" spans="1:9" x14ac:dyDescent="0.3">
      <c r="A1426" s="1" t="s">
        <v>66</v>
      </c>
      <c r="B1426" s="6"/>
      <c r="C1426" s="1">
        <v>-1</v>
      </c>
      <c r="D1426" s="105">
        <v>46103</v>
      </c>
      <c r="E1426" s="105">
        <f t="shared" si="54"/>
        <v>46104</v>
      </c>
      <c r="F1426" s="105">
        <v>46103</v>
      </c>
      <c r="G1426" s="2">
        <f t="shared" si="53"/>
        <v>46104</v>
      </c>
      <c r="H1426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46067</v>
      </c>
      <c r="I1426" s="95" t="s">
        <v>978</v>
      </c>
    </row>
    <row r="1427" spans="1:9" x14ac:dyDescent="0.3">
      <c r="A1427" s="1" t="s">
        <v>109</v>
      </c>
      <c r="B1427" s="6"/>
      <c r="C1427" s="1">
        <v>-1</v>
      </c>
      <c r="D1427" s="105">
        <v>46099</v>
      </c>
      <c r="E1427" s="105">
        <f t="shared" si="54"/>
        <v>46109</v>
      </c>
      <c r="F1427" s="105">
        <v>46108</v>
      </c>
      <c r="G1427" s="2">
        <f t="shared" si="53"/>
        <v>46109</v>
      </c>
      <c r="H1427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46067</v>
      </c>
      <c r="I1427" s="95" t="s">
        <v>979</v>
      </c>
    </row>
    <row r="1428" spans="1:9" x14ac:dyDescent="0.3">
      <c r="A1428" s="1" t="s">
        <v>124</v>
      </c>
      <c r="B1428" s="6"/>
      <c r="C1428" s="1">
        <v>-1</v>
      </c>
      <c r="D1428" s="105">
        <v>46065</v>
      </c>
      <c r="E1428" s="105">
        <f t="shared" si="54"/>
        <v>46118</v>
      </c>
      <c r="F1428" s="105">
        <v>46117</v>
      </c>
      <c r="G1428" s="2">
        <f t="shared" si="53"/>
        <v>46118</v>
      </c>
      <c r="H1428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46067</v>
      </c>
      <c r="I1428" s="95" t="s">
        <v>980</v>
      </c>
    </row>
    <row r="1429" spans="1:9" x14ac:dyDescent="0.3">
      <c r="A1429" s="1" t="s">
        <v>124</v>
      </c>
      <c r="B1429" s="6"/>
      <c r="C1429" s="1">
        <v>-1</v>
      </c>
      <c r="D1429" s="105">
        <v>46132</v>
      </c>
      <c r="E1429" s="105">
        <f t="shared" si="54"/>
        <v>46136</v>
      </c>
      <c r="F1429" s="105">
        <v>46135</v>
      </c>
      <c r="G1429" s="2">
        <f t="shared" si="53"/>
        <v>46136</v>
      </c>
      <c r="H1429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46067</v>
      </c>
      <c r="I1429" s="95" t="s">
        <v>980</v>
      </c>
    </row>
    <row r="1430" spans="1:9" x14ac:dyDescent="0.3">
      <c r="A1430" s="1" t="s">
        <v>124</v>
      </c>
      <c r="B1430" s="6"/>
      <c r="C1430" s="1">
        <v>-1</v>
      </c>
      <c r="D1430" s="105">
        <v>46169.041666666599</v>
      </c>
      <c r="E1430" s="105">
        <f t="shared" si="54"/>
        <v>46175</v>
      </c>
      <c r="F1430" s="105">
        <v>46174</v>
      </c>
      <c r="G1430" s="2">
        <f t="shared" si="53"/>
        <v>46175</v>
      </c>
      <c r="H1430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46067</v>
      </c>
      <c r="I1430" s="95" t="s">
        <v>980</v>
      </c>
    </row>
    <row r="1431" spans="1:9" x14ac:dyDescent="0.3">
      <c r="A1431" s="1" t="s">
        <v>124</v>
      </c>
      <c r="B1431" s="6"/>
      <c r="C1431" s="1">
        <v>-1</v>
      </c>
      <c r="D1431" s="105">
        <v>46208</v>
      </c>
      <c r="E1431" s="105">
        <f t="shared" si="54"/>
        <v>46258</v>
      </c>
      <c r="F1431" s="105">
        <v>46257</v>
      </c>
      <c r="G1431" s="2">
        <f t="shared" si="53"/>
        <v>46258</v>
      </c>
      <c r="H1431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46067</v>
      </c>
      <c r="I1431" s="95" t="s">
        <v>980</v>
      </c>
    </row>
    <row r="1432" spans="1:9" x14ac:dyDescent="0.3">
      <c r="A1432" s="1" t="s">
        <v>124</v>
      </c>
      <c r="B1432" s="6"/>
      <c r="C1432" s="1">
        <v>-1</v>
      </c>
      <c r="D1432" s="105">
        <v>46315</v>
      </c>
      <c r="E1432" s="105">
        <f t="shared" si="54"/>
        <v>46323</v>
      </c>
      <c r="F1432" s="105">
        <v>46322</v>
      </c>
      <c r="G1432" s="2">
        <f t="shared" si="53"/>
        <v>46323</v>
      </c>
      <c r="H1432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46067</v>
      </c>
      <c r="I1432" s="95" t="s">
        <v>980</v>
      </c>
    </row>
    <row r="1433" spans="1:9" x14ac:dyDescent="0.3">
      <c r="A1433" s="1" t="s">
        <v>294</v>
      </c>
      <c r="B1433" s="6"/>
      <c r="C1433" s="1">
        <v>-1</v>
      </c>
      <c r="D1433" s="105">
        <v>46088</v>
      </c>
      <c r="E1433" s="105">
        <f t="shared" si="54"/>
        <v>46091</v>
      </c>
      <c r="F1433" s="105">
        <v>46090</v>
      </c>
      <c r="G1433" s="2">
        <f t="shared" si="53"/>
        <v>46091</v>
      </c>
      <c r="H1433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46068</v>
      </c>
      <c r="I1433" s="95" t="s">
        <v>981</v>
      </c>
    </row>
    <row r="1434" spans="1:9" x14ac:dyDescent="0.3">
      <c r="A1434" s="1" t="s">
        <v>294</v>
      </c>
      <c r="B1434" s="6"/>
      <c r="C1434" s="1">
        <v>-1</v>
      </c>
      <c r="D1434" s="105">
        <v>46105</v>
      </c>
      <c r="E1434" s="105">
        <f t="shared" si="54"/>
        <v>46106</v>
      </c>
      <c r="F1434" s="105">
        <v>46105</v>
      </c>
      <c r="G1434" s="2">
        <f t="shared" si="53"/>
        <v>46106</v>
      </c>
      <c r="H1434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46068</v>
      </c>
      <c r="I1434" s="95" t="s">
        <v>981</v>
      </c>
    </row>
    <row r="1435" spans="1:9" x14ac:dyDescent="0.3">
      <c r="A1435" s="1" t="s">
        <v>160</v>
      </c>
      <c r="B1435" s="6"/>
      <c r="C1435" s="1">
        <v>-1</v>
      </c>
      <c r="D1435" s="105">
        <v>46109</v>
      </c>
      <c r="E1435" s="105">
        <f t="shared" si="54"/>
        <v>46110</v>
      </c>
      <c r="F1435" s="105">
        <v>46109</v>
      </c>
      <c r="G1435" s="2">
        <f t="shared" si="53"/>
        <v>46110</v>
      </c>
      <c r="H1435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46068</v>
      </c>
      <c r="I1435" s="95" t="s">
        <v>982</v>
      </c>
    </row>
    <row r="1436" spans="1:9" x14ac:dyDescent="0.3">
      <c r="A1436" s="1" t="s">
        <v>160</v>
      </c>
      <c r="B1436" s="6"/>
      <c r="C1436" s="1">
        <v>-1</v>
      </c>
      <c r="D1436" s="105">
        <v>46122</v>
      </c>
      <c r="E1436" s="105">
        <f t="shared" si="54"/>
        <v>46123</v>
      </c>
      <c r="F1436" s="105">
        <v>46122</v>
      </c>
      <c r="G1436" s="2">
        <f t="shared" si="53"/>
        <v>46123</v>
      </c>
      <c r="H1436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46068</v>
      </c>
      <c r="I1436" s="95" t="s">
        <v>982</v>
      </c>
    </row>
    <row r="1437" spans="1:9" x14ac:dyDescent="0.3">
      <c r="A1437" s="1" t="s">
        <v>66</v>
      </c>
      <c r="B1437" s="6"/>
      <c r="C1437" s="1">
        <v>-1</v>
      </c>
      <c r="D1437" s="105">
        <v>46105</v>
      </c>
      <c r="E1437" s="105">
        <f t="shared" si="54"/>
        <v>46123</v>
      </c>
      <c r="F1437" s="105">
        <v>46122</v>
      </c>
      <c r="G1437" s="2">
        <f t="shared" si="53"/>
        <v>46123</v>
      </c>
      <c r="H1437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46068</v>
      </c>
      <c r="I1437" s="95" t="s">
        <v>983</v>
      </c>
    </row>
    <row r="1438" spans="1:9" x14ac:dyDescent="0.3">
      <c r="A1438" s="1" t="s">
        <v>528</v>
      </c>
      <c r="B1438" s="6"/>
      <c r="C1438" s="1">
        <v>-1</v>
      </c>
      <c r="D1438" s="105">
        <v>46101</v>
      </c>
      <c r="E1438" s="105">
        <f t="shared" si="54"/>
        <v>46105</v>
      </c>
      <c r="F1438" s="105">
        <v>46104</v>
      </c>
      <c r="G1438" s="2">
        <f t="shared" si="53"/>
        <v>46105</v>
      </c>
      <c r="H1438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46068</v>
      </c>
      <c r="I1438" s="95" t="s">
        <v>984</v>
      </c>
    </row>
    <row r="1439" spans="1:9" x14ac:dyDescent="0.3">
      <c r="A1439" s="1" t="s">
        <v>67</v>
      </c>
      <c r="B1439" s="6"/>
      <c r="C1439" s="1">
        <v>-1</v>
      </c>
      <c r="D1439" s="105">
        <v>46094</v>
      </c>
      <c r="E1439" s="105">
        <f t="shared" si="54"/>
        <v>46098</v>
      </c>
      <c r="F1439" s="105">
        <v>46097</v>
      </c>
      <c r="G1439" s="2">
        <f t="shared" si="53"/>
        <v>46098</v>
      </c>
      <c r="H1439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46068</v>
      </c>
      <c r="I1439" s="95" t="s">
        <v>985</v>
      </c>
    </row>
    <row r="1440" spans="1:9" x14ac:dyDescent="0.3">
      <c r="A1440" s="1" t="s">
        <v>67</v>
      </c>
      <c r="B1440" s="6"/>
      <c r="C1440" s="1">
        <v>-1</v>
      </c>
      <c r="D1440" s="105">
        <v>46101</v>
      </c>
      <c r="E1440" s="105">
        <f t="shared" si="54"/>
        <v>46106</v>
      </c>
      <c r="F1440" s="105">
        <v>46105</v>
      </c>
      <c r="G1440" s="2">
        <f t="shared" si="53"/>
        <v>46106</v>
      </c>
      <c r="H1440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46068</v>
      </c>
      <c r="I1440" s="95" t="s">
        <v>985</v>
      </c>
    </row>
    <row r="1441" spans="1:9" x14ac:dyDescent="0.3">
      <c r="A1441" s="1" t="s">
        <v>62</v>
      </c>
      <c r="B1441" s="6"/>
      <c r="C1441" s="1">
        <v>-1</v>
      </c>
      <c r="D1441" s="105">
        <v>46102</v>
      </c>
      <c r="E1441" s="105">
        <f t="shared" si="54"/>
        <v>46103</v>
      </c>
      <c r="F1441" s="105">
        <v>46102</v>
      </c>
      <c r="G1441" s="2">
        <f t="shared" si="53"/>
        <v>46103</v>
      </c>
      <c r="H1441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46067</v>
      </c>
      <c r="I1441" s="95" t="s">
        <v>986</v>
      </c>
    </row>
    <row r="1442" spans="1:9" x14ac:dyDescent="0.3">
      <c r="A1442" s="1" t="s">
        <v>303</v>
      </c>
      <c r="B1442" s="6"/>
      <c r="C1442" s="1">
        <v>-1</v>
      </c>
      <c r="D1442" s="105">
        <v>46122</v>
      </c>
      <c r="E1442" s="105">
        <f t="shared" si="54"/>
        <v>46125</v>
      </c>
      <c r="F1442" s="105">
        <v>46124</v>
      </c>
      <c r="G1442" s="2">
        <f t="shared" si="53"/>
        <v>46125</v>
      </c>
      <c r="H1442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46068</v>
      </c>
      <c r="I1442" s="95" t="s">
        <v>987</v>
      </c>
    </row>
    <row r="1443" spans="1:9" x14ac:dyDescent="0.3">
      <c r="A1443" s="1" t="s">
        <v>303</v>
      </c>
      <c r="B1443" s="6"/>
      <c r="C1443" s="1">
        <v>-1</v>
      </c>
      <c r="D1443" s="105">
        <v>46129</v>
      </c>
      <c r="E1443" s="105">
        <f t="shared" si="54"/>
        <v>46137.041666666599</v>
      </c>
      <c r="F1443" s="105">
        <v>46136.041666666599</v>
      </c>
      <c r="G1443" s="2">
        <f t="shared" si="53"/>
        <v>46137.041666666599</v>
      </c>
      <c r="H1443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46068</v>
      </c>
      <c r="I1443" s="95" t="s">
        <v>987</v>
      </c>
    </row>
    <row r="1444" spans="1:9" x14ac:dyDescent="0.3">
      <c r="A1444" s="1" t="s">
        <v>303</v>
      </c>
      <c r="B1444" s="6"/>
      <c r="C1444" s="1">
        <v>-1</v>
      </c>
      <c r="D1444" s="105">
        <v>46142.041666666599</v>
      </c>
      <c r="E1444" s="105">
        <f t="shared" si="54"/>
        <v>46145.041666666599</v>
      </c>
      <c r="F1444" s="105">
        <v>46144.041666666599</v>
      </c>
      <c r="G1444" s="2">
        <f t="shared" ref="G1444:G1507" si="55">F1444+1</f>
        <v>46145.041666666599</v>
      </c>
      <c r="H1444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46068</v>
      </c>
      <c r="I1444" s="95" t="s">
        <v>987</v>
      </c>
    </row>
    <row r="1445" spans="1:9" x14ac:dyDescent="0.3">
      <c r="A1445" s="1" t="s">
        <v>123</v>
      </c>
      <c r="B1445" s="6"/>
      <c r="C1445" s="1">
        <v>-1</v>
      </c>
      <c r="D1445" s="105">
        <v>46121</v>
      </c>
      <c r="E1445" s="105">
        <f t="shared" si="54"/>
        <v>46135</v>
      </c>
      <c r="F1445" s="105">
        <v>46134</v>
      </c>
      <c r="G1445" s="2">
        <f t="shared" si="55"/>
        <v>46135</v>
      </c>
      <c r="H1445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46068</v>
      </c>
      <c r="I1445" s="95" t="s">
        <v>988</v>
      </c>
    </row>
    <row r="1446" spans="1:9" x14ac:dyDescent="0.3">
      <c r="A1446" s="1" t="s">
        <v>123</v>
      </c>
      <c r="B1446" s="6"/>
      <c r="C1446" s="1">
        <v>-1</v>
      </c>
      <c r="D1446" s="105">
        <v>46247</v>
      </c>
      <c r="E1446" s="105">
        <f t="shared" si="54"/>
        <v>46254</v>
      </c>
      <c r="F1446" s="105">
        <v>46253</v>
      </c>
      <c r="G1446" s="2">
        <f t="shared" si="55"/>
        <v>46254</v>
      </c>
      <c r="H1446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46068</v>
      </c>
      <c r="I1446" s="95" t="s">
        <v>988</v>
      </c>
    </row>
    <row r="1447" spans="1:9" x14ac:dyDescent="0.3">
      <c r="A1447" s="1" t="s">
        <v>123</v>
      </c>
      <c r="B1447" s="6"/>
      <c r="C1447" s="1">
        <v>-1</v>
      </c>
      <c r="D1447" s="105">
        <v>46097</v>
      </c>
      <c r="E1447" s="105">
        <f t="shared" si="54"/>
        <v>46098</v>
      </c>
      <c r="F1447" s="105">
        <v>46097</v>
      </c>
      <c r="G1447" s="2">
        <f t="shared" si="55"/>
        <v>46098</v>
      </c>
      <c r="H1447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46068</v>
      </c>
      <c r="I1447" s="95" t="s">
        <v>988</v>
      </c>
    </row>
    <row r="1448" spans="1:9" x14ac:dyDescent="0.3">
      <c r="A1448" s="1" t="s">
        <v>123</v>
      </c>
      <c r="B1448" s="6"/>
      <c r="C1448" s="1">
        <v>-1</v>
      </c>
      <c r="D1448" s="105">
        <v>46124</v>
      </c>
      <c r="E1448" s="105">
        <f t="shared" si="54"/>
        <v>46127</v>
      </c>
      <c r="F1448" s="105">
        <v>46126</v>
      </c>
      <c r="G1448" s="2">
        <f t="shared" si="55"/>
        <v>46127</v>
      </c>
      <c r="H1448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46068</v>
      </c>
      <c r="I1448" s="95" t="s">
        <v>988</v>
      </c>
    </row>
    <row r="1449" spans="1:9" x14ac:dyDescent="0.3">
      <c r="A1449" s="1" t="s">
        <v>123</v>
      </c>
      <c r="B1449" s="6"/>
      <c r="C1449" s="1">
        <v>-1</v>
      </c>
      <c r="D1449" s="105">
        <v>46140</v>
      </c>
      <c r="E1449" s="105">
        <f t="shared" si="54"/>
        <v>46145.041666666599</v>
      </c>
      <c r="F1449" s="105">
        <v>46144.041666666599</v>
      </c>
      <c r="G1449" s="2">
        <f t="shared" si="55"/>
        <v>46145.041666666599</v>
      </c>
      <c r="H1449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46068</v>
      </c>
      <c r="I1449" s="95" t="s">
        <v>988</v>
      </c>
    </row>
    <row r="1450" spans="1:9" x14ac:dyDescent="0.3">
      <c r="A1450" s="1" t="s">
        <v>123</v>
      </c>
      <c r="B1450" s="6"/>
      <c r="C1450" s="1">
        <v>-1</v>
      </c>
      <c r="D1450" s="105">
        <v>46128</v>
      </c>
      <c r="E1450" s="105">
        <f t="shared" si="54"/>
        <v>46132</v>
      </c>
      <c r="F1450" s="105">
        <v>46131</v>
      </c>
      <c r="G1450" s="2">
        <f t="shared" si="55"/>
        <v>46132</v>
      </c>
      <c r="H1450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46068</v>
      </c>
      <c r="I1450" s="95" t="s">
        <v>988</v>
      </c>
    </row>
    <row r="1451" spans="1:9" x14ac:dyDescent="0.3">
      <c r="A1451" s="1" t="s">
        <v>123</v>
      </c>
      <c r="B1451" s="6"/>
      <c r="C1451" s="1">
        <v>-1</v>
      </c>
      <c r="D1451" s="105">
        <v>46095</v>
      </c>
      <c r="E1451" s="105">
        <f t="shared" si="54"/>
        <v>46096</v>
      </c>
      <c r="F1451" s="105">
        <v>46095</v>
      </c>
      <c r="G1451" s="2">
        <f t="shared" si="55"/>
        <v>46096</v>
      </c>
      <c r="H1451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46068</v>
      </c>
      <c r="I1451" s="95" t="s">
        <v>988</v>
      </c>
    </row>
    <row r="1452" spans="1:9" x14ac:dyDescent="0.3">
      <c r="A1452" s="1" t="s">
        <v>123</v>
      </c>
      <c r="B1452" s="6"/>
      <c r="C1452" s="1">
        <v>-1</v>
      </c>
      <c r="D1452" s="105">
        <v>46305</v>
      </c>
      <c r="E1452" s="105">
        <f t="shared" si="54"/>
        <v>46307</v>
      </c>
      <c r="F1452" s="105">
        <v>46306</v>
      </c>
      <c r="G1452" s="2">
        <f t="shared" si="55"/>
        <v>46307</v>
      </c>
      <c r="H1452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46068</v>
      </c>
      <c r="I1452" s="95" t="s">
        <v>988</v>
      </c>
    </row>
    <row r="1453" spans="1:9" x14ac:dyDescent="0.3">
      <c r="A1453" s="1" t="s">
        <v>57</v>
      </c>
      <c r="B1453" s="6"/>
      <c r="C1453" s="1">
        <v>-1</v>
      </c>
      <c r="D1453" s="105">
        <v>46095</v>
      </c>
      <c r="E1453" s="105">
        <f t="shared" si="54"/>
        <v>46099</v>
      </c>
      <c r="F1453" s="105">
        <v>46098</v>
      </c>
      <c r="G1453" s="2">
        <f t="shared" si="55"/>
        <v>46099</v>
      </c>
      <c r="H1453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46067</v>
      </c>
      <c r="I1453" s="95" t="s">
        <v>989</v>
      </c>
    </row>
    <row r="1454" spans="1:9" x14ac:dyDescent="0.3">
      <c r="A1454" s="1" t="s">
        <v>93</v>
      </c>
      <c r="B1454" s="6"/>
      <c r="C1454" s="1">
        <v>-1</v>
      </c>
      <c r="D1454" s="105">
        <v>46094</v>
      </c>
      <c r="E1454" s="105">
        <f t="shared" si="54"/>
        <v>46104</v>
      </c>
      <c r="F1454" s="105">
        <v>46103</v>
      </c>
      <c r="G1454" s="2">
        <f t="shared" si="55"/>
        <v>46104</v>
      </c>
      <c r="H1454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46069</v>
      </c>
      <c r="I1454" s="95" t="s">
        <v>990</v>
      </c>
    </row>
    <row r="1455" spans="1:9" x14ac:dyDescent="0.3">
      <c r="A1455" s="1" t="s">
        <v>93</v>
      </c>
      <c r="B1455" s="6"/>
      <c r="C1455" s="1">
        <v>-1</v>
      </c>
      <c r="D1455" s="105">
        <v>46126</v>
      </c>
      <c r="E1455" s="105">
        <f t="shared" si="54"/>
        <v>46137</v>
      </c>
      <c r="F1455" s="105">
        <v>46136</v>
      </c>
      <c r="G1455" s="2">
        <f t="shared" si="55"/>
        <v>46137</v>
      </c>
      <c r="H1455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46069</v>
      </c>
      <c r="I1455" s="95" t="s">
        <v>990</v>
      </c>
    </row>
    <row r="1456" spans="1:9" x14ac:dyDescent="0.3">
      <c r="A1456" s="1" t="s">
        <v>93</v>
      </c>
      <c r="B1456" s="6"/>
      <c r="C1456" s="1">
        <v>-1</v>
      </c>
      <c r="D1456" s="105">
        <v>46104</v>
      </c>
      <c r="E1456" s="105">
        <f t="shared" si="54"/>
        <v>46110</v>
      </c>
      <c r="F1456" s="105">
        <v>46109</v>
      </c>
      <c r="G1456" s="2">
        <f t="shared" si="55"/>
        <v>46110</v>
      </c>
      <c r="H1456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46069</v>
      </c>
      <c r="I1456" s="95" t="s">
        <v>990</v>
      </c>
    </row>
    <row r="1457" spans="1:9" x14ac:dyDescent="0.3">
      <c r="A1457" s="1" t="s">
        <v>95</v>
      </c>
      <c r="B1457" s="6"/>
      <c r="C1457" s="1">
        <v>-1</v>
      </c>
      <c r="D1457" s="105">
        <v>46174</v>
      </c>
      <c r="E1457" s="105">
        <f t="shared" si="54"/>
        <v>46175</v>
      </c>
      <c r="F1457" s="105">
        <v>46174</v>
      </c>
      <c r="G1457" s="2">
        <f t="shared" si="55"/>
        <v>46175</v>
      </c>
      <c r="H1457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46069</v>
      </c>
      <c r="I1457" s="95" t="s">
        <v>991</v>
      </c>
    </row>
    <row r="1458" spans="1:9" x14ac:dyDescent="0.3">
      <c r="A1458" s="1" t="s">
        <v>95</v>
      </c>
      <c r="B1458" s="6"/>
      <c r="C1458" s="1">
        <v>-1</v>
      </c>
      <c r="D1458" s="105">
        <v>46187</v>
      </c>
      <c r="E1458" s="105">
        <f t="shared" si="54"/>
        <v>46188</v>
      </c>
      <c r="F1458" s="105">
        <v>46187</v>
      </c>
      <c r="G1458" s="2">
        <f t="shared" si="55"/>
        <v>46188</v>
      </c>
      <c r="H1458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46069</v>
      </c>
      <c r="I1458" s="95" t="s">
        <v>991</v>
      </c>
    </row>
    <row r="1459" spans="1:9" x14ac:dyDescent="0.3">
      <c r="A1459" s="1" t="s">
        <v>95</v>
      </c>
      <c r="B1459" s="6"/>
      <c r="C1459" s="1">
        <v>-1</v>
      </c>
      <c r="D1459" s="105">
        <v>46222</v>
      </c>
      <c r="E1459" s="105">
        <f t="shared" si="54"/>
        <v>46232</v>
      </c>
      <c r="F1459" s="105">
        <v>46231</v>
      </c>
      <c r="G1459" s="2">
        <f t="shared" si="55"/>
        <v>46232</v>
      </c>
      <c r="H1459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46069</v>
      </c>
      <c r="I1459" s="95" t="s">
        <v>991</v>
      </c>
    </row>
    <row r="1460" spans="1:9" x14ac:dyDescent="0.3">
      <c r="A1460" s="1" t="s">
        <v>95</v>
      </c>
      <c r="B1460" s="6"/>
      <c r="C1460" s="1">
        <v>-1</v>
      </c>
      <c r="D1460" s="105">
        <v>46238</v>
      </c>
      <c r="E1460" s="105">
        <f t="shared" si="54"/>
        <v>46246</v>
      </c>
      <c r="F1460" s="105">
        <v>46245</v>
      </c>
      <c r="G1460" s="2">
        <f t="shared" si="55"/>
        <v>46246</v>
      </c>
      <c r="H1460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46069</v>
      </c>
      <c r="I1460" s="95" t="s">
        <v>991</v>
      </c>
    </row>
    <row r="1461" spans="1:9" x14ac:dyDescent="0.3">
      <c r="A1461" s="1" t="s">
        <v>95</v>
      </c>
      <c r="B1461" s="6"/>
      <c r="C1461" s="1">
        <v>-1</v>
      </c>
      <c r="D1461" s="105">
        <v>46252</v>
      </c>
      <c r="E1461" s="105">
        <f t="shared" si="54"/>
        <v>46256</v>
      </c>
      <c r="F1461" s="105">
        <v>46255</v>
      </c>
      <c r="G1461" s="2">
        <f t="shared" si="55"/>
        <v>46256</v>
      </c>
      <c r="H1461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46069</v>
      </c>
      <c r="I1461" s="95" t="s">
        <v>991</v>
      </c>
    </row>
    <row r="1462" spans="1:9" x14ac:dyDescent="0.3">
      <c r="A1462" s="1" t="s">
        <v>95</v>
      </c>
      <c r="B1462" s="6"/>
      <c r="C1462" s="1">
        <v>-1</v>
      </c>
      <c r="D1462" s="105">
        <v>46266</v>
      </c>
      <c r="E1462" s="105">
        <f t="shared" si="54"/>
        <v>46275</v>
      </c>
      <c r="F1462" s="105">
        <v>46274</v>
      </c>
      <c r="G1462" s="2">
        <f t="shared" si="55"/>
        <v>46275</v>
      </c>
      <c r="H1462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46069</v>
      </c>
      <c r="I1462" s="95" t="s">
        <v>991</v>
      </c>
    </row>
    <row r="1463" spans="1:9" x14ac:dyDescent="0.3">
      <c r="A1463" s="1" t="s">
        <v>95</v>
      </c>
      <c r="B1463" s="6"/>
      <c r="C1463" s="1">
        <v>-1</v>
      </c>
      <c r="D1463" s="105">
        <v>46281</v>
      </c>
      <c r="E1463" s="105">
        <f t="shared" si="54"/>
        <v>46293</v>
      </c>
      <c r="F1463" s="105">
        <v>46292</v>
      </c>
      <c r="G1463" s="2">
        <f t="shared" si="55"/>
        <v>46293</v>
      </c>
      <c r="H1463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46069</v>
      </c>
      <c r="I1463" s="95" t="s">
        <v>991</v>
      </c>
    </row>
    <row r="1464" spans="1:9" x14ac:dyDescent="0.3">
      <c r="A1464" s="1" t="s">
        <v>95</v>
      </c>
      <c r="B1464" s="6"/>
      <c r="C1464" s="1">
        <v>-1</v>
      </c>
      <c r="D1464" s="105">
        <v>46312</v>
      </c>
      <c r="E1464" s="105">
        <f t="shared" si="54"/>
        <v>46319</v>
      </c>
      <c r="F1464" s="105">
        <v>46318</v>
      </c>
      <c r="G1464" s="2">
        <f t="shared" si="55"/>
        <v>46319</v>
      </c>
      <c r="H1464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46069</v>
      </c>
      <c r="I1464" s="95" t="s">
        <v>991</v>
      </c>
    </row>
    <row r="1465" spans="1:9" x14ac:dyDescent="0.3">
      <c r="A1465" s="1" t="s">
        <v>95</v>
      </c>
      <c r="B1465" s="6"/>
      <c r="C1465" s="1">
        <v>-1</v>
      </c>
      <c r="D1465" s="105">
        <v>46188</v>
      </c>
      <c r="E1465" s="105">
        <f t="shared" si="54"/>
        <v>46197</v>
      </c>
      <c r="F1465" s="105">
        <v>46196</v>
      </c>
      <c r="G1465" s="2">
        <f t="shared" si="55"/>
        <v>46197</v>
      </c>
      <c r="H1465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46069</v>
      </c>
      <c r="I1465" s="95" t="s">
        <v>991</v>
      </c>
    </row>
    <row r="1466" spans="1:9" x14ac:dyDescent="0.3">
      <c r="A1466" s="1" t="s">
        <v>295</v>
      </c>
      <c r="B1466" s="6"/>
      <c r="C1466" s="1">
        <v>-1</v>
      </c>
      <c r="D1466" s="105">
        <v>46102</v>
      </c>
      <c r="E1466" s="105">
        <f t="shared" si="54"/>
        <v>46105</v>
      </c>
      <c r="F1466" s="105">
        <v>46104</v>
      </c>
      <c r="G1466" s="2">
        <f t="shared" si="55"/>
        <v>46105</v>
      </c>
      <c r="H1466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46067</v>
      </c>
      <c r="I1466" s="95" t="s">
        <v>992</v>
      </c>
    </row>
    <row r="1467" spans="1:9" x14ac:dyDescent="0.3">
      <c r="A1467" s="1" t="s">
        <v>295</v>
      </c>
      <c r="B1467" s="6"/>
      <c r="C1467" s="1">
        <v>-1</v>
      </c>
      <c r="D1467" s="105">
        <v>46113</v>
      </c>
      <c r="E1467" s="105">
        <f t="shared" ref="E1467:E1530" si="56">G1467</f>
        <v>46115</v>
      </c>
      <c r="F1467" s="105">
        <v>46114</v>
      </c>
      <c r="G1467" s="2">
        <f t="shared" si="55"/>
        <v>46115</v>
      </c>
      <c r="H1467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46067</v>
      </c>
      <c r="I1467" s="95" t="s">
        <v>992</v>
      </c>
    </row>
    <row r="1468" spans="1:9" x14ac:dyDescent="0.3">
      <c r="A1468" s="1" t="s">
        <v>109</v>
      </c>
      <c r="B1468" s="6"/>
      <c r="C1468" s="1">
        <v>-1</v>
      </c>
      <c r="D1468" s="105">
        <v>46135</v>
      </c>
      <c r="E1468" s="105">
        <f t="shared" si="56"/>
        <v>46137.041666666599</v>
      </c>
      <c r="F1468" s="105">
        <v>46136.041666666599</v>
      </c>
      <c r="G1468" s="2">
        <f t="shared" si="55"/>
        <v>46137.041666666599</v>
      </c>
      <c r="H1468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46069</v>
      </c>
      <c r="I1468" s="95" t="s">
        <v>993</v>
      </c>
    </row>
    <row r="1469" spans="1:9" x14ac:dyDescent="0.3">
      <c r="A1469" s="1" t="s">
        <v>109</v>
      </c>
      <c r="B1469" s="6"/>
      <c r="C1469" s="1">
        <v>-1</v>
      </c>
      <c r="D1469" s="105">
        <v>46145.041666666599</v>
      </c>
      <c r="E1469" s="105">
        <f t="shared" si="56"/>
        <v>46148.041666666599</v>
      </c>
      <c r="F1469" s="105">
        <v>46147.041666666599</v>
      </c>
      <c r="G1469" s="2">
        <f t="shared" si="55"/>
        <v>46148.041666666599</v>
      </c>
      <c r="H1469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46069</v>
      </c>
      <c r="I1469" s="95" t="s">
        <v>993</v>
      </c>
    </row>
    <row r="1470" spans="1:9" x14ac:dyDescent="0.3">
      <c r="A1470" s="1" t="s">
        <v>119</v>
      </c>
      <c r="B1470" s="6"/>
      <c r="C1470" s="1">
        <v>-1</v>
      </c>
      <c r="D1470" s="105">
        <v>46123</v>
      </c>
      <c r="E1470" s="105">
        <f t="shared" si="56"/>
        <v>46128</v>
      </c>
      <c r="F1470" s="105">
        <v>46127</v>
      </c>
      <c r="G1470" s="2">
        <f t="shared" si="55"/>
        <v>46128</v>
      </c>
      <c r="H1470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46069</v>
      </c>
      <c r="I1470" s="95" t="s">
        <v>993</v>
      </c>
    </row>
    <row r="1471" spans="1:9" x14ac:dyDescent="0.3">
      <c r="A1471" s="1" t="s">
        <v>119</v>
      </c>
      <c r="B1471" s="6"/>
      <c r="C1471" s="1">
        <v>-1</v>
      </c>
      <c r="D1471" s="105">
        <v>46131</v>
      </c>
      <c r="E1471" s="105">
        <f t="shared" si="56"/>
        <v>46137.041666666599</v>
      </c>
      <c r="F1471" s="105">
        <v>46136.041666666599</v>
      </c>
      <c r="G1471" s="2">
        <f t="shared" si="55"/>
        <v>46137.041666666599</v>
      </c>
      <c r="H1471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46069</v>
      </c>
      <c r="I1471" s="95" t="s">
        <v>993</v>
      </c>
    </row>
    <row r="1472" spans="1:9" x14ac:dyDescent="0.3">
      <c r="A1472" s="1" t="s">
        <v>62</v>
      </c>
      <c r="B1472" s="6"/>
      <c r="C1472" s="1">
        <v>-1</v>
      </c>
      <c r="D1472" s="105">
        <v>46079</v>
      </c>
      <c r="E1472" s="105">
        <f t="shared" si="56"/>
        <v>46080</v>
      </c>
      <c r="F1472" s="105">
        <v>46079</v>
      </c>
      <c r="G1472" s="2">
        <f t="shared" si="55"/>
        <v>46080</v>
      </c>
      <c r="H1472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46069</v>
      </c>
      <c r="I1472" s="95" t="s">
        <v>994</v>
      </c>
    </row>
    <row r="1473" spans="1:9" x14ac:dyDescent="0.3">
      <c r="A1473" s="1" t="s">
        <v>127</v>
      </c>
      <c r="B1473" s="6"/>
      <c r="C1473" s="1">
        <v>-1</v>
      </c>
      <c r="D1473" s="105">
        <v>46163</v>
      </c>
      <c r="E1473" s="105">
        <f t="shared" si="56"/>
        <v>46166.041666666599</v>
      </c>
      <c r="F1473" s="105">
        <v>46165.041666666599</v>
      </c>
      <c r="G1473" s="2">
        <f t="shared" si="55"/>
        <v>46166.041666666599</v>
      </c>
      <c r="H1473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46069</v>
      </c>
      <c r="I1473" s="95" t="s">
        <v>995</v>
      </c>
    </row>
    <row r="1474" spans="1:9" x14ac:dyDescent="0.3">
      <c r="A1474" s="1" t="s">
        <v>127</v>
      </c>
      <c r="B1474" s="6"/>
      <c r="C1474" s="1">
        <v>-1</v>
      </c>
      <c r="D1474" s="105">
        <v>46171</v>
      </c>
      <c r="E1474" s="105">
        <f t="shared" si="56"/>
        <v>46144</v>
      </c>
      <c r="F1474" s="105">
        <v>46143</v>
      </c>
      <c r="G1474" s="2">
        <f t="shared" si="55"/>
        <v>46144</v>
      </c>
      <c r="H1474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46069</v>
      </c>
      <c r="I1474" s="95" t="s">
        <v>995</v>
      </c>
    </row>
    <row r="1475" spans="1:9" x14ac:dyDescent="0.3">
      <c r="A1475" s="1" t="s">
        <v>127</v>
      </c>
      <c r="B1475" s="6"/>
      <c r="C1475" s="1">
        <v>-1</v>
      </c>
      <c r="D1475" s="105">
        <v>46210</v>
      </c>
      <c r="E1475" s="105">
        <f t="shared" si="56"/>
        <v>46219</v>
      </c>
      <c r="F1475" s="105">
        <v>46218</v>
      </c>
      <c r="G1475" s="2">
        <f t="shared" si="55"/>
        <v>46219</v>
      </c>
      <c r="H1475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46069</v>
      </c>
      <c r="I1475" s="95" t="s">
        <v>995</v>
      </c>
    </row>
    <row r="1476" spans="1:9" x14ac:dyDescent="0.3">
      <c r="A1476" s="1" t="s">
        <v>127</v>
      </c>
      <c r="B1476" s="6"/>
      <c r="C1476" s="1">
        <v>-1</v>
      </c>
      <c r="D1476" s="105">
        <v>46319</v>
      </c>
      <c r="E1476" s="105">
        <f t="shared" si="56"/>
        <v>46324</v>
      </c>
      <c r="F1476" s="105">
        <v>46323</v>
      </c>
      <c r="G1476" s="2">
        <f t="shared" si="55"/>
        <v>46324</v>
      </c>
      <c r="H1476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46069</v>
      </c>
      <c r="I1476" s="95" t="s">
        <v>995</v>
      </c>
    </row>
    <row r="1477" spans="1:9" x14ac:dyDescent="0.3">
      <c r="A1477" s="1" t="s">
        <v>590</v>
      </c>
      <c r="B1477" s="6"/>
      <c r="C1477" s="1">
        <v>-1</v>
      </c>
      <c r="D1477" s="105">
        <v>46099</v>
      </c>
      <c r="E1477" s="105">
        <f t="shared" si="56"/>
        <v>46109</v>
      </c>
      <c r="F1477" s="105">
        <v>46108</v>
      </c>
      <c r="G1477" s="2">
        <f t="shared" si="55"/>
        <v>46109</v>
      </c>
      <c r="H1477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46070</v>
      </c>
      <c r="I1477" s="95" t="s">
        <v>996</v>
      </c>
    </row>
    <row r="1478" spans="1:9" x14ac:dyDescent="0.3">
      <c r="A1478" s="1" t="s">
        <v>590</v>
      </c>
      <c r="B1478" s="6"/>
      <c r="C1478" s="1">
        <v>-1</v>
      </c>
      <c r="D1478" s="105">
        <v>46114</v>
      </c>
      <c r="E1478" s="105">
        <f t="shared" si="56"/>
        <v>46119</v>
      </c>
      <c r="F1478" s="105">
        <v>46118</v>
      </c>
      <c r="G1478" s="2">
        <f t="shared" si="55"/>
        <v>46119</v>
      </c>
      <c r="H1478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46070</v>
      </c>
      <c r="I1478" s="95" t="s">
        <v>996</v>
      </c>
    </row>
    <row r="1479" spans="1:9" x14ac:dyDescent="0.3">
      <c r="A1479" s="1" t="s">
        <v>997</v>
      </c>
      <c r="B1479" s="6"/>
      <c r="C1479" s="1">
        <v>-1</v>
      </c>
      <c r="D1479" s="105">
        <v>46155.041666666599</v>
      </c>
      <c r="E1479" s="105">
        <f t="shared" si="56"/>
        <v>46160.041666666599</v>
      </c>
      <c r="F1479" s="105">
        <v>46159.041666666599</v>
      </c>
      <c r="G1479" s="2">
        <f t="shared" si="55"/>
        <v>46160.041666666599</v>
      </c>
      <c r="H1479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46070</v>
      </c>
      <c r="I1479" s="95" t="s">
        <v>998</v>
      </c>
    </row>
    <row r="1480" spans="1:9" x14ac:dyDescent="0.3">
      <c r="A1480" s="1" t="s">
        <v>997</v>
      </c>
      <c r="B1480" s="6"/>
      <c r="C1480" s="1">
        <v>-1</v>
      </c>
      <c r="D1480" s="105">
        <v>46167.041666666599</v>
      </c>
      <c r="E1480" s="105">
        <f t="shared" si="56"/>
        <v>46172.041666666599</v>
      </c>
      <c r="F1480" s="105">
        <v>46171.041666666599</v>
      </c>
      <c r="G1480" s="2">
        <f t="shared" si="55"/>
        <v>46172.041666666599</v>
      </c>
      <c r="H1480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46070</v>
      </c>
      <c r="I1480" s="95" t="s">
        <v>998</v>
      </c>
    </row>
    <row r="1481" spans="1:9" x14ac:dyDescent="0.3">
      <c r="A1481" s="1" t="s">
        <v>997</v>
      </c>
      <c r="B1481" s="6"/>
      <c r="C1481" s="1">
        <v>-1</v>
      </c>
      <c r="D1481" s="105">
        <v>46176</v>
      </c>
      <c r="E1481" s="105">
        <f t="shared" si="56"/>
        <v>46179</v>
      </c>
      <c r="F1481" s="105">
        <v>46178</v>
      </c>
      <c r="G1481" s="2">
        <f t="shared" si="55"/>
        <v>46179</v>
      </c>
      <c r="H1481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46070</v>
      </c>
      <c r="I1481" s="95" t="s">
        <v>998</v>
      </c>
    </row>
    <row r="1482" spans="1:9" x14ac:dyDescent="0.3">
      <c r="A1482" s="1" t="s">
        <v>999</v>
      </c>
      <c r="B1482" s="6"/>
      <c r="C1482" s="1">
        <v>-1</v>
      </c>
      <c r="D1482" s="105">
        <v>46084</v>
      </c>
      <c r="E1482" s="105">
        <f t="shared" si="56"/>
        <v>46089</v>
      </c>
      <c r="F1482" s="105">
        <v>46088</v>
      </c>
      <c r="G1482" s="2">
        <f t="shared" si="55"/>
        <v>46089</v>
      </c>
      <c r="H1482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46070</v>
      </c>
      <c r="I1482" s="95" t="s">
        <v>1000</v>
      </c>
    </row>
    <row r="1483" spans="1:9" x14ac:dyDescent="0.3">
      <c r="A1483" s="1" t="s">
        <v>999</v>
      </c>
      <c r="B1483" s="6"/>
      <c r="C1483" s="1">
        <v>-1</v>
      </c>
      <c r="D1483" s="105">
        <v>46084</v>
      </c>
      <c r="E1483" s="105">
        <f t="shared" si="56"/>
        <v>46086</v>
      </c>
      <c r="F1483" s="105">
        <v>46085</v>
      </c>
      <c r="G1483" s="2">
        <f t="shared" si="55"/>
        <v>46086</v>
      </c>
      <c r="H1483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46070</v>
      </c>
      <c r="I1483" s="95" t="s">
        <v>1000</v>
      </c>
    </row>
    <row r="1484" spans="1:9" x14ac:dyDescent="0.3">
      <c r="A1484" s="1" t="s">
        <v>999</v>
      </c>
      <c r="B1484" s="6"/>
      <c r="C1484" s="1">
        <v>-1</v>
      </c>
      <c r="D1484" s="105">
        <v>46106</v>
      </c>
      <c r="E1484" s="105">
        <f t="shared" si="56"/>
        <v>46117</v>
      </c>
      <c r="F1484" s="105">
        <v>46116</v>
      </c>
      <c r="G1484" s="2">
        <f t="shared" si="55"/>
        <v>46117</v>
      </c>
      <c r="H1484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46070</v>
      </c>
      <c r="I1484" s="95" t="s">
        <v>1000</v>
      </c>
    </row>
    <row r="1485" spans="1:9" x14ac:dyDescent="0.3">
      <c r="A1485" s="1" t="s">
        <v>999</v>
      </c>
      <c r="B1485" s="6"/>
      <c r="C1485" s="1">
        <v>-1</v>
      </c>
      <c r="D1485" s="105">
        <v>46112</v>
      </c>
      <c r="E1485" s="105">
        <f t="shared" si="56"/>
        <v>46117</v>
      </c>
      <c r="F1485" s="105">
        <v>46116</v>
      </c>
      <c r="G1485" s="2">
        <f t="shared" si="55"/>
        <v>46117</v>
      </c>
      <c r="H1485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46070</v>
      </c>
      <c r="I1485" s="95" t="s">
        <v>1000</v>
      </c>
    </row>
    <row r="1486" spans="1:9" x14ac:dyDescent="0.3">
      <c r="A1486" s="1" t="s">
        <v>66</v>
      </c>
      <c r="B1486" s="6"/>
      <c r="C1486" s="1">
        <v>-1</v>
      </c>
      <c r="D1486" s="105">
        <v>46107</v>
      </c>
      <c r="E1486" s="105">
        <f t="shared" si="56"/>
        <v>46123</v>
      </c>
      <c r="F1486" s="105">
        <v>46122</v>
      </c>
      <c r="G1486" s="2">
        <f t="shared" si="55"/>
        <v>46123</v>
      </c>
      <c r="H1486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46070</v>
      </c>
      <c r="I1486" s="95" t="s">
        <v>1001</v>
      </c>
    </row>
    <row r="1487" spans="1:9" x14ac:dyDescent="0.3">
      <c r="A1487" s="1" t="s">
        <v>160</v>
      </c>
      <c r="B1487" s="6"/>
      <c r="C1487" s="1">
        <v>-1</v>
      </c>
      <c r="D1487" s="105">
        <v>46093</v>
      </c>
      <c r="E1487" s="105">
        <f t="shared" si="56"/>
        <v>46105</v>
      </c>
      <c r="F1487" s="105">
        <v>46104</v>
      </c>
      <c r="G1487" s="2">
        <f t="shared" si="55"/>
        <v>46105</v>
      </c>
      <c r="H1487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46070</v>
      </c>
      <c r="I1487" s="95" t="s">
        <v>1002</v>
      </c>
    </row>
    <row r="1488" spans="1:9" x14ac:dyDescent="0.3">
      <c r="A1488" s="1" t="s">
        <v>92</v>
      </c>
      <c r="B1488" s="6"/>
      <c r="C1488" s="1">
        <v>-1</v>
      </c>
      <c r="D1488" s="105">
        <v>46078</v>
      </c>
      <c r="E1488" s="105">
        <f t="shared" si="56"/>
        <v>46079</v>
      </c>
      <c r="F1488" s="105">
        <v>46078</v>
      </c>
      <c r="G1488" s="2">
        <f t="shared" si="55"/>
        <v>46079</v>
      </c>
      <c r="H1488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46070</v>
      </c>
      <c r="I1488" s="95" t="s">
        <v>1003</v>
      </c>
    </row>
    <row r="1489" spans="1:9" x14ac:dyDescent="0.3">
      <c r="A1489" s="1" t="s">
        <v>308</v>
      </c>
      <c r="B1489" s="6"/>
      <c r="C1489" s="1">
        <v>-1</v>
      </c>
      <c r="D1489" s="105">
        <v>46102</v>
      </c>
      <c r="E1489" s="105">
        <f t="shared" si="56"/>
        <v>46108</v>
      </c>
      <c r="F1489" s="105">
        <v>46107</v>
      </c>
      <c r="G1489" s="2">
        <f t="shared" si="55"/>
        <v>46108</v>
      </c>
      <c r="H1489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46070</v>
      </c>
      <c r="I1489" s="95" t="s">
        <v>1004</v>
      </c>
    </row>
    <row r="1490" spans="1:9" x14ac:dyDescent="0.3">
      <c r="A1490" s="1" t="s">
        <v>108</v>
      </c>
      <c r="B1490" s="6"/>
      <c r="C1490" s="1">
        <v>-1</v>
      </c>
      <c r="D1490" s="105">
        <v>46146.041666666599</v>
      </c>
      <c r="E1490" s="105">
        <f t="shared" si="56"/>
        <v>46155.041666666599</v>
      </c>
      <c r="F1490" s="105">
        <v>46154.041666666599</v>
      </c>
      <c r="G1490" s="2">
        <f t="shared" si="55"/>
        <v>46155.041666666599</v>
      </c>
      <c r="H1490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46070</v>
      </c>
      <c r="I1490" s="95" t="s">
        <v>1004</v>
      </c>
    </row>
    <row r="1491" spans="1:9" x14ac:dyDescent="0.3">
      <c r="A1491" s="1" t="s">
        <v>67</v>
      </c>
      <c r="B1491" s="6"/>
      <c r="C1491" s="1">
        <v>-1</v>
      </c>
      <c r="D1491" s="105">
        <v>46102</v>
      </c>
      <c r="E1491" s="105">
        <f t="shared" si="56"/>
        <v>46103</v>
      </c>
      <c r="F1491" s="105">
        <v>46102</v>
      </c>
      <c r="G1491" s="2">
        <f t="shared" si="55"/>
        <v>46103</v>
      </c>
      <c r="H1491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46070</v>
      </c>
      <c r="I1491" s="95" t="s">
        <v>1005</v>
      </c>
    </row>
    <row r="1492" spans="1:9" x14ac:dyDescent="0.3">
      <c r="A1492" s="1" t="s">
        <v>104</v>
      </c>
      <c r="B1492" s="6"/>
      <c r="C1492" s="1">
        <v>-1</v>
      </c>
      <c r="D1492" s="105">
        <v>46107</v>
      </c>
      <c r="E1492" s="105">
        <f t="shared" si="56"/>
        <v>46111</v>
      </c>
      <c r="F1492" s="105">
        <v>46110</v>
      </c>
      <c r="G1492" s="2">
        <f t="shared" si="55"/>
        <v>46111</v>
      </c>
      <c r="H1492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46070</v>
      </c>
      <c r="I1492" s="95" t="s">
        <v>1006</v>
      </c>
    </row>
    <row r="1493" spans="1:9" x14ac:dyDescent="0.3">
      <c r="A1493" s="1" t="s">
        <v>104</v>
      </c>
      <c r="B1493" s="6"/>
      <c r="C1493" s="1">
        <v>-1</v>
      </c>
      <c r="D1493" s="105">
        <v>46117</v>
      </c>
      <c r="E1493" s="105">
        <f t="shared" si="56"/>
        <v>46119</v>
      </c>
      <c r="F1493" s="105">
        <v>46118</v>
      </c>
      <c r="G1493" s="2">
        <f t="shared" si="55"/>
        <v>46119</v>
      </c>
      <c r="H1493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46070</v>
      </c>
      <c r="I1493" s="95" t="s">
        <v>1006</v>
      </c>
    </row>
    <row r="1494" spans="1:9" x14ac:dyDescent="0.3">
      <c r="A1494" s="1" t="s">
        <v>103</v>
      </c>
      <c r="B1494" s="6"/>
      <c r="C1494" s="1">
        <v>-1</v>
      </c>
      <c r="D1494" s="105">
        <v>46114</v>
      </c>
      <c r="E1494" s="105">
        <f t="shared" si="56"/>
        <v>46118</v>
      </c>
      <c r="F1494" s="105">
        <v>46117</v>
      </c>
      <c r="G1494" s="2">
        <f t="shared" si="55"/>
        <v>46118</v>
      </c>
      <c r="H1494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46070</v>
      </c>
      <c r="I1494" s="95" t="s">
        <v>1007</v>
      </c>
    </row>
    <row r="1495" spans="1:9" x14ac:dyDescent="0.3">
      <c r="A1495" s="1" t="s">
        <v>103</v>
      </c>
      <c r="B1495" s="6"/>
      <c r="C1495" s="1">
        <v>-1</v>
      </c>
      <c r="D1495" s="105">
        <v>46125</v>
      </c>
      <c r="E1495" s="105">
        <f t="shared" si="56"/>
        <v>46132</v>
      </c>
      <c r="F1495" s="105">
        <v>46131</v>
      </c>
      <c r="G1495" s="2">
        <f t="shared" si="55"/>
        <v>46132</v>
      </c>
      <c r="H1495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46070</v>
      </c>
      <c r="I1495" s="95" t="s">
        <v>1007</v>
      </c>
    </row>
    <row r="1496" spans="1:9" x14ac:dyDescent="0.3">
      <c r="A1496" s="1" t="s">
        <v>71</v>
      </c>
      <c r="B1496" s="6"/>
      <c r="C1496" s="1">
        <v>-1</v>
      </c>
      <c r="D1496" s="105">
        <v>46084</v>
      </c>
      <c r="E1496" s="105">
        <f t="shared" si="56"/>
        <v>46091</v>
      </c>
      <c r="F1496" s="105">
        <v>46090</v>
      </c>
      <c r="G1496" s="2">
        <f t="shared" si="55"/>
        <v>46091</v>
      </c>
      <c r="H1496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46070</v>
      </c>
      <c r="I1496" s="95" t="s">
        <v>1008</v>
      </c>
    </row>
    <row r="1497" spans="1:9" x14ac:dyDescent="0.3">
      <c r="A1497" s="1" t="s">
        <v>71</v>
      </c>
      <c r="B1497" s="6"/>
      <c r="C1497" s="1">
        <v>-1</v>
      </c>
      <c r="D1497" s="105">
        <v>46103</v>
      </c>
      <c r="E1497" s="105">
        <f t="shared" si="56"/>
        <v>46105</v>
      </c>
      <c r="F1497" s="105">
        <v>46104</v>
      </c>
      <c r="G1497" s="2">
        <f t="shared" si="55"/>
        <v>46105</v>
      </c>
      <c r="H1497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46070</v>
      </c>
      <c r="I1497" s="95" t="s">
        <v>1008</v>
      </c>
    </row>
    <row r="1498" spans="1:9" x14ac:dyDescent="0.3">
      <c r="A1498" s="1" t="s">
        <v>67</v>
      </c>
      <c r="B1498" s="6"/>
      <c r="C1498" s="1">
        <v>-1</v>
      </c>
      <c r="D1498" s="105">
        <v>46149.041666666599</v>
      </c>
      <c r="E1498" s="105">
        <f t="shared" si="56"/>
        <v>46159.041666666599</v>
      </c>
      <c r="F1498" s="105">
        <v>46158.041666666599</v>
      </c>
      <c r="G1498" s="2">
        <f t="shared" si="55"/>
        <v>46159.041666666599</v>
      </c>
      <c r="H1498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46071</v>
      </c>
      <c r="I1498" s="95" t="s">
        <v>1009</v>
      </c>
    </row>
    <row r="1499" spans="1:9" x14ac:dyDescent="0.3">
      <c r="A1499" s="1" t="s">
        <v>623</v>
      </c>
      <c r="B1499" s="6"/>
      <c r="C1499" s="1">
        <v>-1</v>
      </c>
      <c r="D1499" s="105">
        <v>46100</v>
      </c>
      <c r="E1499" s="105">
        <f t="shared" si="56"/>
        <v>46101</v>
      </c>
      <c r="F1499" s="105">
        <v>46100</v>
      </c>
      <c r="G1499" s="2">
        <f t="shared" si="55"/>
        <v>46101</v>
      </c>
      <c r="H1499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46071</v>
      </c>
      <c r="I1499" s="95" t="s">
        <v>1010</v>
      </c>
    </row>
    <row r="1500" spans="1:9" x14ac:dyDescent="0.3">
      <c r="A1500" s="1" t="s">
        <v>623</v>
      </c>
      <c r="B1500" s="6"/>
      <c r="C1500" s="1">
        <v>-1</v>
      </c>
      <c r="D1500" s="105">
        <v>46104</v>
      </c>
      <c r="E1500" s="105">
        <f t="shared" si="56"/>
        <v>46105</v>
      </c>
      <c r="F1500" s="105">
        <v>46104</v>
      </c>
      <c r="G1500" s="2">
        <f t="shared" si="55"/>
        <v>46105</v>
      </c>
      <c r="H1500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46071</v>
      </c>
      <c r="I1500" s="95" t="s">
        <v>1010</v>
      </c>
    </row>
    <row r="1501" spans="1:9" x14ac:dyDescent="0.3">
      <c r="A1501" s="1" t="s">
        <v>623</v>
      </c>
      <c r="B1501" s="6"/>
      <c r="C1501" s="1">
        <v>-1</v>
      </c>
      <c r="D1501" s="105">
        <v>46119</v>
      </c>
      <c r="E1501" s="105">
        <f t="shared" si="56"/>
        <v>46121</v>
      </c>
      <c r="F1501" s="105">
        <v>46120</v>
      </c>
      <c r="G1501" s="2">
        <f t="shared" si="55"/>
        <v>46121</v>
      </c>
      <c r="H1501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46071</v>
      </c>
      <c r="I1501" s="95" t="s">
        <v>1010</v>
      </c>
    </row>
    <row r="1502" spans="1:9" x14ac:dyDescent="0.3">
      <c r="A1502" s="1" t="s">
        <v>623</v>
      </c>
      <c r="B1502" s="6"/>
      <c r="C1502" s="1">
        <v>-1</v>
      </c>
      <c r="D1502" s="105">
        <v>46137.041666666599</v>
      </c>
      <c r="E1502" s="105">
        <f t="shared" si="56"/>
        <v>46138.041666666599</v>
      </c>
      <c r="F1502" s="105">
        <v>46137.041666666599</v>
      </c>
      <c r="G1502" s="2">
        <f t="shared" si="55"/>
        <v>46138.041666666599</v>
      </c>
      <c r="H1502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46071</v>
      </c>
      <c r="I1502" s="95" t="s">
        <v>1010</v>
      </c>
    </row>
    <row r="1503" spans="1:9" x14ac:dyDescent="0.3">
      <c r="A1503" s="1" t="s">
        <v>121</v>
      </c>
      <c r="B1503" s="6"/>
      <c r="C1503" s="1">
        <v>-1</v>
      </c>
      <c r="D1503" s="105">
        <v>46101</v>
      </c>
      <c r="E1503" s="105">
        <f t="shared" si="56"/>
        <v>46105</v>
      </c>
      <c r="F1503" s="105">
        <v>46104</v>
      </c>
      <c r="G1503" s="2">
        <f t="shared" si="55"/>
        <v>46105</v>
      </c>
      <c r="H1503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46071</v>
      </c>
      <c r="I1503" s="95" t="s">
        <v>1011</v>
      </c>
    </row>
    <row r="1504" spans="1:9" x14ac:dyDescent="0.3">
      <c r="A1504" s="1" t="s">
        <v>121</v>
      </c>
      <c r="B1504" s="6"/>
      <c r="C1504" s="1">
        <v>-1</v>
      </c>
      <c r="D1504" s="105">
        <v>46115</v>
      </c>
      <c r="E1504" s="105">
        <f t="shared" si="56"/>
        <v>46119</v>
      </c>
      <c r="F1504" s="105">
        <v>46118</v>
      </c>
      <c r="G1504" s="2">
        <f t="shared" si="55"/>
        <v>46119</v>
      </c>
      <c r="H1504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46071</v>
      </c>
      <c r="I1504" s="95" t="s">
        <v>1011</v>
      </c>
    </row>
    <row r="1505" spans="1:9" x14ac:dyDescent="0.3">
      <c r="A1505" s="1" t="s">
        <v>62</v>
      </c>
      <c r="B1505" s="6"/>
      <c r="C1505" s="1">
        <v>-1</v>
      </c>
      <c r="D1505" s="105">
        <v>46114</v>
      </c>
      <c r="E1505" s="105">
        <f t="shared" si="56"/>
        <v>46118</v>
      </c>
      <c r="F1505" s="105">
        <v>46117</v>
      </c>
      <c r="G1505" s="2">
        <f t="shared" si="55"/>
        <v>46118</v>
      </c>
      <c r="H1505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46071</v>
      </c>
      <c r="I1505" s="95" t="s">
        <v>1012</v>
      </c>
    </row>
    <row r="1506" spans="1:9" x14ac:dyDescent="0.3">
      <c r="A1506" s="1" t="s">
        <v>62</v>
      </c>
      <c r="B1506" s="6"/>
      <c r="C1506" s="1">
        <v>-1</v>
      </c>
      <c r="D1506" s="105">
        <v>46087</v>
      </c>
      <c r="E1506" s="105">
        <f t="shared" si="56"/>
        <v>46089</v>
      </c>
      <c r="F1506" s="105">
        <v>46088</v>
      </c>
      <c r="G1506" s="2">
        <f t="shared" si="55"/>
        <v>46089</v>
      </c>
      <c r="H1506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46071</v>
      </c>
      <c r="I1506" s="95" t="s">
        <v>1013</v>
      </c>
    </row>
    <row r="1507" spans="1:9" x14ac:dyDescent="0.3">
      <c r="A1507" s="1" t="s">
        <v>62</v>
      </c>
      <c r="B1507" s="6"/>
      <c r="C1507" s="1">
        <v>-1</v>
      </c>
      <c r="D1507" s="105">
        <v>46092</v>
      </c>
      <c r="E1507" s="105">
        <f t="shared" si="56"/>
        <v>46093</v>
      </c>
      <c r="F1507" s="105">
        <v>46092</v>
      </c>
      <c r="G1507" s="2">
        <f t="shared" si="55"/>
        <v>46093</v>
      </c>
      <c r="H1507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46071</v>
      </c>
      <c r="I1507" s="95" t="s">
        <v>1013</v>
      </c>
    </row>
    <row r="1508" spans="1:9" x14ac:dyDescent="0.3">
      <c r="A1508" s="1" t="s">
        <v>140</v>
      </c>
      <c r="B1508" s="6"/>
      <c r="C1508" s="1">
        <v>-1</v>
      </c>
      <c r="D1508" s="105">
        <v>46090</v>
      </c>
      <c r="E1508" s="105">
        <f t="shared" si="56"/>
        <v>46103</v>
      </c>
      <c r="F1508" s="105">
        <v>46102</v>
      </c>
      <c r="G1508" s="2">
        <f t="shared" ref="G1508:G1571" si="57">F1508+1</f>
        <v>46103</v>
      </c>
      <c r="H1508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46071</v>
      </c>
      <c r="I1508" s="95" t="s">
        <v>1014</v>
      </c>
    </row>
    <row r="1509" spans="1:9" x14ac:dyDescent="0.3">
      <c r="A1509" s="1" t="s">
        <v>140</v>
      </c>
      <c r="B1509" s="6"/>
      <c r="C1509" s="1">
        <v>-1</v>
      </c>
      <c r="D1509" s="105">
        <v>46121</v>
      </c>
      <c r="E1509" s="105">
        <f t="shared" si="56"/>
        <v>46128</v>
      </c>
      <c r="F1509" s="105">
        <v>46127</v>
      </c>
      <c r="G1509" s="2">
        <f t="shared" si="57"/>
        <v>46128</v>
      </c>
      <c r="H1509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46071</v>
      </c>
      <c r="I1509" s="95" t="s">
        <v>1014</v>
      </c>
    </row>
    <row r="1510" spans="1:9" x14ac:dyDescent="0.3">
      <c r="A1510" s="1" t="s">
        <v>140</v>
      </c>
      <c r="B1510" s="6"/>
      <c r="C1510" s="1">
        <v>-1</v>
      </c>
      <c r="D1510" s="105">
        <v>46130</v>
      </c>
      <c r="E1510" s="105">
        <f t="shared" si="56"/>
        <v>46134</v>
      </c>
      <c r="F1510" s="105">
        <v>46133</v>
      </c>
      <c r="G1510" s="2">
        <f t="shared" si="57"/>
        <v>46134</v>
      </c>
      <c r="H1510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46071</v>
      </c>
      <c r="I1510" s="95" t="s">
        <v>1014</v>
      </c>
    </row>
    <row r="1511" spans="1:9" x14ac:dyDescent="0.3">
      <c r="A1511" s="1" t="s">
        <v>140</v>
      </c>
      <c r="B1511" s="6"/>
      <c r="C1511" s="1">
        <v>-1</v>
      </c>
      <c r="D1511" s="105">
        <v>46169.041666666599</v>
      </c>
      <c r="E1511" s="105">
        <f t="shared" si="56"/>
        <v>46172.041666666599</v>
      </c>
      <c r="F1511" s="105">
        <v>46171.041666666599</v>
      </c>
      <c r="G1511" s="2">
        <f t="shared" si="57"/>
        <v>46172.041666666599</v>
      </c>
      <c r="H1511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46071</v>
      </c>
      <c r="I1511" s="95" t="s">
        <v>1014</v>
      </c>
    </row>
    <row r="1512" spans="1:9" x14ac:dyDescent="0.3">
      <c r="A1512" s="1" t="s">
        <v>140</v>
      </c>
      <c r="B1512" s="6"/>
      <c r="C1512" s="1">
        <v>-1</v>
      </c>
      <c r="D1512" s="105">
        <v>46207</v>
      </c>
      <c r="E1512" s="105">
        <f t="shared" si="56"/>
        <v>46215</v>
      </c>
      <c r="F1512" s="105">
        <v>46214</v>
      </c>
      <c r="G1512" s="2">
        <f t="shared" si="57"/>
        <v>46215</v>
      </c>
      <c r="H1512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46071</v>
      </c>
      <c r="I1512" s="95" t="s">
        <v>1014</v>
      </c>
    </row>
    <row r="1513" spans="1:9" x14ac:dyDescent="0.3">
      <c r="A1513" s="1" t="s">
        <v>140</v>
      </c>
      <c r="B1513" s="6"/>
      <c r="C1513" s="1">
        <v>-1</v>
      </c>
      <c r="D1513" s="105">
        <v>46071</v>
      </c>
      <c r="E1513" s="105">
        <f t="shared" si="56"/>
        <v>46075</v>
      </c>
      <c r="F1513" s="105">
        <v>46074</v>
      </c>
      <c r="G1513" s="2">
        <f t="shared" si="57"/>
        <v>46075</v>
      </c>
      <c r="H1513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46071</v>
      </c>
      <c r="I1513" s="95" t="s">
        <v>1014</v>
      </c>
    </row>
    <row r="1514" spans="1:9" x14ac:dyDescent="0.3">
      <c r="A1514" s="1" t="s">
        <v>140</v>
      </c>
      <c r="B1514" s="6"/>
      <c r="C1514" s="1">
        <v>-1</v>
      </c>
      <c r="D1514" s="105">
        <v>46070</v>
      </c>
      <c r="E1514" s="105">
        <f t="shared" si="56"/>
        <v>46073</v>
      </c>
      <c r="F1514" s="105">
        <v>46072</v>
      </c>
      <c r="G1514" s="2">
        <f t="shared" si="57"/>
        <v>46073</v>
      </c>
      <c r="H1514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46071</v>
      </c>
      <c r="I1514" s="95" t="s">
        <v>1014</v>
      </c>
    </row>
    <row r="1515" spans="1:9" x14ac:dyDescent="0.3">
      <c r="A1515" s="1" t="s">
        <v>303</v>
      </c>
      <c r="B1515" s="6"/>
      <c r="C1515" s="1">
        <v>-1</v>
      </c>
      <c r="D1515" s="105">
        <v>46102</v>
      </c>
      <c r="E1515" s="105">
        <f t="shared" si="56"/>
        <v>46113</v>
      </c>
      <c r="F1515" s="105">
        <v>46112</v>
      </c>
      <c r="G1515" s="2">
        <f t="shared" si="57"/>
        <v>46113</v>
      </c>
      <c r="H1515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46071</v>
      </c>
      <c r="I1515" s="95" t="s">
        <v>1015</v>
      </c>
    </row>
    <row r="1516" spans="1:9" x14ac:dyDescent="0.3">
      <c r="A1516" s="1" t="s">
        <v>303</v>
      </c>
      <c r="B1516" s="6"/>
      <c r="C1516" s="1">
        <v>-1</v>
      </c>
      <c r="D1516" s="105">
        <v>46088</v>
      </c>
      <c r="E1516" s="105">
        <f t="shared" si="56"/>
        <v>46102</v>
      </c>
      <c r="F1516" s="105">
        <v>46101</v>
      </c>
      <c r="G1516" s="2">
        <f t="shared" si="57"/>
        <v>46102</v>
      </c>
      <c r="H1516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46071</v>
      </c>
      <c r="I1516" s="95" t="s">
        <v>1015</v>
      </c>
    </row>
    <row r="1517" spans="1:9" x14ac:dyDescent="0.3">
      <c r="A1517" s="1" t="s">
        <v>303</v>
      </c>
      <c r="B1517" s="6"/>
      <c r="C1517" s="1">
        <v>-1</v>
      </c>
      <c r="D1517" s="105">
        <v>46109</v>
      </c>
      <c r="E1517" s="105">
        <f t="shared" si="56"/>
        <v>46125</v>
      </c>
      <c r="F1517" s="105">
        <v>46124</v>
      </c>
      <c r="G1517" s="2">
        <f t="shared" si="57"/>
        <v>46125</v>
      </c>
      <c r="H1517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46071</v>
      </c>
      <c r="I1517" s="95" t="s">
        <v>1015</v>
      </c>
    </row>
    <row r="1518" spans="1:9" x14ac:dyDescent="0.3">
      <c r="A1518" s="1" t="s">
        <v>62</v>
      </c>
      <c r="B1518" s="6"/>
      <c r="C1518" s="1">
        <v>-1</v>
      </c>
      <c r="D1518" s="105">
        <v>46081</v>
      </c>
      <c r="E1518" s="105">
        <f t="shared" si="56"/>
        <v>46082</v>
      </c>
      <c r="F1518" s="105">
        <v>46081</v>
      </c>
      <c r="G1518" s="2">
        <f t="shared" si="57"/>
        <v>46082</v>
      </c>
      <c r="H1518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46071</v>
      </c>
      <c r="I1518" s="95" t="s">
        <v>1016</v>
      </c>
    </row>
    <row r="1519" spans="1:9" x14ac:dyDescent="0.3">
      <c r="A1519" s="1" t="s">
        <v>62</v>
      </c>
      <c r="B1519" s="6"/>
      <c r="C1519" s="1">
        <v>-1</v>
      </c>
      <c r="D1519" s="105">
        <v>46086</v>
      </c>
      <c r="E1519" s="105">
        <f t="shared" si="56"/>
        <v>46087</v>
      </c>
      <c r="F1519" s="105">
        <v>46086</v>
      </c>
      <c r="G1519" s="2">
        <f t="shared" si="57"/>
        <v>46087</v>
      </c>
      <c r="H1519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46071</v>
      </c>
      <c r="I1519" s="95" t="s">
        <v>1016</v>
      </c>
    </row>
    <row r="1520" spans="1:9" x14ac:dyDescent="0.3">
      <c r="A1520" s="1" t="s">
        <v>62</v>
      </c>
      <c r="B1520" s="6"/>
      <c r="C1520" s="1">
        <v>-1</v>
      </c>
      <c r="D1520" s="105">
        <v>46081</v>
      </c>
      <c r="E1520" s="105">
        <f t="shared" si="56"/>
        <v>46082</v>
      </c>
      <c r="F1520" s="105">
        <v>46081</v>
      </c>
      <c r="G1520" s="2">
        <f t="shared" si="57"/>
        <v>46082</v>
      </c>
      <c r="H1520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46071</v>
      </c>
      <c r="I1520" s="95" t="s">
        <v>1016</v>
      </c>
    </row>
    <row r="1521" spans="1:9" x14ac:dyDescent="0.3">
      <c r="A1521" s="1" t="s">
        <v>62</v>
      </c>
      <c r="B1521" s="6"/>
      <c r="C1521" s="1">
        <v>-1</v>
      </c>
      <c r="D1521" s="105">
        <v>46086</v>
      </c>
      <c r="E1521" s="105">
        <f t="shared" si="56"/>
        <v>46087</v>
      </c>
      <c r="F1521" s="105">
        <v>46086</v>
      </c>
      <c r="G1521" s="2">
        <f t="shared" si="57"/>
        <v>46087</v>
      </c>
      <c r="H1521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46071</v>
      </c>
      <c r="I1521" s="95" t="s">
        <v>1016</v>
      </c>
    </row>
    <row r="1522" spans="1:9" x14ac:dyDescent="0.3">
      <c r="A1522" s="1" t="s">
        <v>81</v>
      </c>
      <c r="B1522" s="6"/>
      <c r="C1522" s="1">
        <v>-1</v>
      </c>
      <c r="D1522" s="105">
        <v>46078</v>
      </c>
      <c r="E1522" s="105">
        <f t="shared" si="56"/>
        <v>46080</v>
      </c>
      <c r="F1522" s="105">
        <v>46079</v>
      </c>
      <c r="G1522" s="2">
        <f t="shared" si="57"/>
        <v>46080</v>
      </c>
      <c r="H1522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46071</v>
      </c>
      <c r="I1522" s="95" t="s">
        <v>1016</v>
      </c>
    </row>
    <row r="1523" spans="1:9" x14ac:dyDescent="0.3">
      <c r="A1523" s="1" t="s">
        <v>96</v>
      </c>
      <c r="B1523" s="6"/>
      <c r="C1523" s="1">
        <v>-1</v>
      </c>
      <c r="D1523" s="105">
        <v>46089</v>
      </c>
      <c r="E1523" s="105">
        <f t="shared" si="56"/>
        <v>46090</v>
      </c>
      <c r="F1523" s="105">
        <v>46089</v>
      </c>
      <c r="G1523" s="2">
        <f t="shared" si="57"/>
        <v>46090</v>
      </c>
      <c r="H1523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46071</v>
      </c>
      <c r="I1523" s="95" t="s">
        <v>1017</v>
      </c>
    </row>
    <row r="1524" spans="1:9" x14ac:dyDescent="0.3">
      <c r="A1524" s="1" t="s">
        <v>96</v>
      </c>
      <c r="B1524" s="6"/>
      <c r="C1524" s="1">
        <v>-1</v>
      </c>
      <c r="D1524" s="105">
        <v>46094</v>
      </c>
      <c r="E1524" s="105">
        <f t="shared" si="56"/>
        <v>46095</v>
      </c>
      <c r="F1524" s="105">
        <v>46094</v>
      </c>
      <c r="G1524" s="2">
        <f t="shared" si="57"/>
        <v>46095</v>
      </c>
      <c r="H1524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46071</v>
      </c>
      <c r="I1524" s="95" t="s">
        <v>1017</v>
      </c>
    </row>
    <row r="1525" spans="1:9" x14ac:dyDescent="0.3">
      <c r="A1525" s="1" t="s">
        <v>96</v>
      </c>
      <c r="B1525" s="6"/>
      <c r="C1525" s="1">
        <v>-1</v>
      </c>
      <c r="D1525" s="105">
        <v>46097</v>
      </c>
      <c r="E1525" s="105">
        <f t="shared" si="56"/>
        <v>46098</v>
      </c>
      <c r="F1525" s="105">
        <v>46097</v>
      </c>
      <c r="G1525" s="2">
        <f t="shared" si="57"/>
        <v>46098</v>
      </c>
      <c r="H1525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46071</v>
      </c>
      <c r="I1525" s="95" t="s">
        <v>1017</v>
      </c>
    </row>
    <row r="1526" spans="1:9" x14ac:dyDescent="0.3">
      <c r="A1526" s="1" t="s">
        <v>96</v>
      </c>
      <c r="B1526" s="6"/>
      <c r="C1526" s="1">
        <v>-1</v>
      </c>
      <c r="D1526" s="105">
        <v>46127</v>
      </c>
      <c r="E1526" s="105">
        <f t="shared" si="56"/>
        <v>46128</v>
      </c>
      <c r="F1526" s="105">
        <v>46127</v>
      </c>
      <c r="G1526" s="2">
        <f t="shared" si="57"/>
        <v>46128</v>
      </c>
      <c r="H1526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46071</v>
      </c>
      <c r="I1526" s="95" t="s">
        <v>1017</v>
      </c>
    </row>
    <row r="1527" spans="1:9" x14ac:dyDescent="0.3">
      <c r="A1527" s="1" t="s">
        <v>96</v>
      </c>
      <c r="B1527" s="6"/>
      <c r="C1527" s="1">
        <v>-1</v>
      </c>
      <c r="D1527" s="105">
        <v>46163</v>
      </c>
      <c r="E1527" s="105">
        <f t="shared" si="56"/>
        <v>46167.041666666599</v>
      </c>
      <c r="F1527" s="105">
        <v>46166.041666666599</v>
      </c>
      <c r="G1527" s="2">
        <f t="shared" si="57"/>
        <v>46167.041666666599</v>
      </c>
      <c r="H1527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46071</v>
      </c>
      <c r="I1527" s="95" t="s">
        <v>1017</v>
      </c>
    </row>
    <row r="1528" spans="1:9" x14ac:dyDescent="0.3">
      <c r="A1528" s="1" t="s">
        <v>96</v>
      </c>
      <c r="B1528" s="6"/>
      <c r="C1528" s="1">
        <v>-1</v>
      </c>
      <c r="D1528" s="105">
        <v>46163</v>
      </c>
      <c r="E1528" s="105">
        <f t="shared" si="56"/>
        <v>46167.041666666599</v>
      </c>
      <c r="F1528" s="105">
        <v>46166.041666666599</v>
      </c>
      <c r="G1528" s="2">
        <f t="shared" si="57"/>
        <v>46167.041666666599</v>
      </c>
      <c r="H1528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46071</v>
      </c>
      <c r="I1528" s="95" t="s">
        <v>1017</v>
      </c>
    </row>
    <row r="1529" spans="1:9" x14ac:dyDescent="0.3">
      <c r="A1529" s="1" t="s">
        <v>127</v>
      </c>
      <c r="B1529" s="6"/>
      <c r="C1529" s="1">
        <v>-1</v>
      </c>
      <c r="D1529" s="105">
        <v>46104</v>
      </c>
      <c r="E1529" s="105">
        <f t="shared" si="56"/>
        <v>46106</v>
      </c>
      <c r="F1529" s="105">
        <v>46105</v>
      </c>
      <c r="G1529" s="2">
        <f t="shared" si="57"/>
        <v>46106</v>
      </c>
      <c r="H1529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46071</v>
      </c>
      <c r="I1529" s="95" t="s">
        <v>1018</v>
      </c>
    </row>
    <row r="1530" spans="1:9" x14ac:dyDescent="0.3">
      <c r="A1530" s="1" t="s">
        <v>127</v>
      </c>
      <c r="B1530" s="6"/>
      <c r="C1530" s="1">
        <v>-1</v>
      </c>
      <c r="D1530" s="105">
        <v>46163</v>
      </c>
      <c r="E1530" s="105">
        <f t="shared" si="56"/>
        <v>46166.041666666599</v>
      </c>
      <c r="F1530" s="105">
        <v>46165.041666666599</v>
      </c>
      <c r="G1530" s="2">
        <f t="shared" si="57"/>
        <v>46166.041666666599</v>
      </c>
      <c r="H1530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46071</v>
      </c>
      <c r="I1530" s="95" t="s">
        <v>1018</v>
      </c>
    </row>
    <row r="1531" spans="1:9" x14ac:dyDescent="0.3">
      <c r="A1531" s="1" t="s">
        <v>127</v>
      </c>
      <c r="B1531" s="6"/>
      <c r="C1531" s="1">
        <v>-1</v>
      </c>
      <c r="D1531" s="105">
        <v>46171.041666666599</v>
      </c>
      <c r="E1531" s="105">
        <f t="shared" ref="E1531:E1594" si="58">G1531</f>
        <v>46175</v>
      </c>
      <c r="F1531" s="105">
        <v>46174</v>
      </c>
      <c r="G1531" s="2">
        <f t="shared" si="57"/>
        <v>46175</v>
      </c>
      <c r="H1531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46071</v>
      </c>
      <c r="I1531" s="95" t="s">
        <v>1018</v>
      </c>
    </row>
    <row r="1532" spans="1:9" x14ac:dyDescent="0.3">
      <c r="A1532" s="1" t="s">
        <v>127</v>
      </c>
      <c r="B1532" s="6"/>
      <c r="C1532" s="1">
        <v>-1</v>
      </c>
      <c r="D1532" s="105">
        <v>46210</v>
      </c>
      <c r="E1532" s="105">
        <f t="shared" si="58"/>
        <v>46219</v>
      </c>
      <c r="F1532" s="105">
        <v>46218</v>
      </c>
      <c r="G1532" s="2">
        <f t="shared" si="57"/>
        <v>46219</v>
      </c>
      <c r="H1532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46071</v>
      </c>
      <c r="I1532" s="95" t="s">
        <v>1018</v>
      </c>
    </row>
    <row r="1533" spans="1:9" x14ac:dyDescent="0.3">
      <c r="A1533" s="1" t="s">
        <v>127</v>
      </c>
      <c r="B1533" s="6"/>
      <c r="C1533" s="1">
        <v>-1</v>
      </c>
      <c r="D1533" s="105">
        <v>46225</v>
      </c>
      <c r="E1533" s="105">
        <f t="shared" si="58"/>
        <v>46232</v>
      </c>
      <c r="F1533" s="105">
        <v>46231</v>
      </c>
      <c r="G1533" s="2">
        <f t="shared" si="57"/>
        <v>46232</v>
      </c>
      <c r="H1533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46071</v>
      </c>
      <c r="I1533" s="95" t="s">
        <v>1018</v>
      </c>
    </row>
    <row r="1534" spans="1:9" x14ac:dyDescent="0.3">
      <c r="A1534" s="1" t="s">
        <v>127</v>
      </c>
      <c r="B1534" s="6"/>
      <c r="C1534" s="1">
        <v>-1</v>
      </c>
      <c r="D1534" s="105">
        <v>46237</v>
      </c>
      <c r="E1534" s="105">
        <f t="shared" si="58"/>
        <v>46244</v>
      </c>
      <c r="F1534" s="105">
        <v>46243</v>
      </c>
      <c r="G1534" s="2">
        <f t="shared" si="57"/>
        <v>46244</v>
      </c>
      <c r="H1534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46071</v>
      </c>
      <c r="I1534" s="95" t="s">
        <v>1018</v>
      </c>
    </row>
    <row r="1535" spans="1:9" x14ac:dyDescent="0.3">
      <c r="A1535" s="1" t="s">
        <v>127</v>
      </c>
      <c r="B1535" s="6"/>
      <c r="C1535" s="1">
        <v>-1</v>
      </c>
      <c r="D1535" s="105">
        <v>46250</v>
      </c>
      <c r="E1535" s="105">
        <f t="shared" si="58"/>
        <v>46258</v>
      </c>
      <c r="F1535" s="105">
        <v>46257</v>
      </c>
      <c r="G1535" s="2">
        <f t="shared" si="57"/>
        <v>46258</v>
      </c>
      <c r="H1535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46071</v>
      </c>
      <c r="I1535" s="95" t="s">
        <v>1018</v>
      </c>
    </row>
    <row r="1536" spans="1:9" x14ac:dyDescent="0.3">
      <c r="A1536" s="1" t="s">
        <v>127</v>
      </c>
      <c r="B1536" s="6"/>
      <c r="C1536" s="1">
        <v>-1</v>
      </c>
      <c r="D1536" s="105">
        <v>46083</v>
      </c>
      <c r="E1536" s="105">
        <f t="shared" si="58"/>
        <v>46084</v>
      </c>
      <c r="F1536" s="105">
        <v>46083</v>
      </c>
      <c r="G1536" s="2">
        <f t="shared" si="57"/>
        <v>46084</v>
      </c>
      <c r="H1536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46071</v>
      </c>
      <c r="I1536" s="95" t="s">
        <v>1018</v>
      </c>
    </row>
    <row r="1537" spans="1:9" x14ac:dyDescent="0.3">
      <c r="A1537" s="1" t="s">
        <v>127</v>
      </c>
      <c r="B1537" s="6"/>
      <c r="C1537" s="1">
        <v>-1</v>
      </c>
      <c r="D1537" s="105">
        <v>46177</v>
      </c>
      <c r="E1537" s="105">
        <f t="shared" si="58"/>
        <v>46178</v>
      </c>
      <c r="F1537" s="105">
        <v>46177</v>
      </c>
      <c r="G1537" s="2">
        <f t="shared" si="57"/>
        <v>46178</v>
      </c>
      <c r="H1537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46071</v>
      </c>
      <c r="I1537" s="95" t="s">
        <v>1018</v>
      </c>
    </row>
    <row r="1538" spans="1:9" x14ac:dyDescent="0.3">
      <c r="A1538" s="1" t="s">
        <v>127</v>
      </c>
      <c r="B1538" s="6"/>
      <c r="C1538" s="1">
        <v>-1</v>
      </c>
      <c r="D1538" s="105">
        <v>46159.041666666599</v>
      </c>
      <c r="E1538" s="105">
        <f t="shared" si="58"/>
        <v>46161.041666666599</v>
      </c>
      <c r="F1538" s="105">
        <v>46160.041666666599</v>
      </c>
      <c r="G1538" s="2">
        <f t="shared" si="57"/>
        <v>46161.041666666599</v>
      </c>
      <c r="H1538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46071</v>
      </c>
      <c r="I1538" s="95" t="s">
        <v>1018</v>
      </c>
    </row>
    <row r="1539" spans="1:9" x14ac:dyDescent="0.3">
      <c r="A1539" s="1" t="s">
        <v>301</v>
      </c>
      <c r="B1539" s="6"/>
      <c r="C1539" s="1">
        <v>-1</v>
      </c>
      <c r="D1539" s="105">
        <v>46082</v>
      </c>
      <c r="E1539" s="105">
        <f t="shared" si="58"/>
        <v>46113</v>
      </c>
      <c r="F1539" s="105">
        <v>46112</v>
      </c>
      <c r="G1539" s="2">
        <f t="shared" si="57"/>
        <v>46113</v>
      </c>
      <c r="H1539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46072</v>
      </c>
      <c r="I1539" s="95" t="s">
        <v>1019</v>
      </c>
    </row>
    <row r="1540" spans="1:9" x14ac:dyDescent="0.3">
      <c r="A1540" s="1" t="s">
        <v>528</v>
      </c>
      <c r="B1540" s="6"/>
      <c r="C1540" s="1">
        <v>-1</v>
      </c>
      <c r="D1540" s="105">
        <v>46101</v>
      </c>
      <c r="E1540" s="105">
        <f t="shared" si="58"/>
        <v>46105</v>
      </c>
      <c r="F1540" s="105">
        <v>46104</v>
      </c>
      <c r="G1540" s="2">
        <f t="shared" si="57"/>
        <v>46105</v>
      </c>
      <c r="H1540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46070</v>
      </c>
      <c r="I1540" s="95" t="s">
        <v>1020</v>
      </c>
    </row>
    <row r="1541" spans="1:9" x14ac:dyDescent="0.3">
      <c r="A1541" s="1" t="s">
        <v>997</v>
      </c>
      <c r="B1541" s="6"/>
      <c r="C1541" s="1">
        <v>-1</v>
      </c>
      <c r="D1541" s="105">
        <v>46113</v>
      </c>
      <c r="E1541" s="105">
        <f t="shared" si="58"/>
        <v>46116</v>
      </c>
      <c r="F1541" s="105">
        <v>46115</v>
      </c>
      <c r="G1541" s="2">
        <f t="shared" si="57"/>
        <v>46116</v>
      </c>
      <c r="H1541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46072</v>
      </c>
      <c r="I1541" s="95" t="s">
        <v>1021</v>
      </c>
    </row>
    <row r="1542" spans="1:9" x14ac:dyDescent="0.3">
      <c r="A1542" s="1" t="s">
        <v>997</v>
      </c>
      <c r="B1542" s="6"/>
      <c r="C1542" s="1">
        <v>-1</v>
      </c>
      <c r="D1542" s="105">
        <v>46138.041666666599</v>
      </c>
      <c r="E1542" s="105">
        <f t="shared" si="58"/>
        <v>46140.041666666599</v>
      </c>
      <c r="F1542" s="105">
        <v>46139.041666666599</v>
      </c>
      <c r="G1542" s="2">
        <f t="shared" si="57"/>
        <v>46140.041666666599</v>
      </c>
      <c r="H1542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46072</v>
      </c>
      <c r="I1542" s="95" t="s">
        <v>1021</v>
      </c>
    </row>
    <row r="1543" spans="1:9" x14ac:dyDescent="0.3">
      <c r="A1543" s="1" t="s">
        <v>997</v>
      </c>
      <c r="B1543" s="6"/>
      <c r="C1543" s="1">
        <v>-1</v>
      </c>
      <c r="D1543" s="105">
        <v>46152.041666666599</v>
      </c>
      <c r="E1543" s="105">
        <f t="shared" si="58"/>
        <v>46154.041666666599</v>
      </c>
      <c r="F1543" s="105">
        <v>46153.041666666599</v>
      </c>
      <c r="G1543" s="2">
        <f t="shared" si="57"/>
        <v>46154.041666666599</v>
      </c>
      <c r="H1543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46072</v>
      </c>
      <c r="I1543" s="95" t="s">
        <v>1021</v>
      </c>
    </row>
    <row r="1544" spans="1:9" x14ac:dyDescent="0.3">
      <c r="A1544" s="1" t="s">
        <v>999</v>
      </c>
      <c r="B1544" s="6"/>
      <c r="C1544" s="1">
        <v>-1</v>
      </c>
      <c r="D1544" s="105">
        <v>46084</v>
      </c>
      <c r="E1544" s="105">
        <f t="shared" si="58"/>
        <v>46102</v>
      </c>
      <c r="F1544" s="105">
        <v>46101</v>
      </c>
      <c r="G1544" s="2">
        <f t="shared" si="57"/>
        <v>46102</v>
      </c>
      <c r="H1544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46072</v>
      </c>
      <c r="I1544" s="95" t="s">
        <v>1022</v>
      </c>
    </row>
    <row r="1545" spans="1:9" x14ac:dyDescent="0.3">
      <c r="A1545" s="1" t="s">
        <v>999</v>
      </c>
      <c r="B1545" s="6"/>
      <c r="C1545" s="1">
        <v>-1</v>
      </c>
      <c r="D1545" s="105">
        <v>46096</v>
      </c>
      <c r="E1545" s="105">
        <f t="shared" si="58"/>
        <v>46098</v>
      </c>
      <c r="F1545" s="105">
        <v>46097</v>
      </c>
      <c r="G1545" s="2">
        <f t="shared" si="57"/>
        <v>46098</v>
      </c>
      <c r="H1545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46072</v>
      </c>
      <c r="I1545" s="95" t="s">
        <v>1022</v>
      </c>
    </row>
    <row r="1546" spans="1:9" x14ac:dyDescent="0.3">
      <c r="A1546" s="1" t="s">
        <v>999</v>
      </c>
      <c r="B1546" s="6"/>
      <c r="C1546" s="1">
        <v>-1</v>
      </c>
      <c r="D1546" s="105">
        <v>46132</v>
      </c>
      <c r="E1546" s="105">
        <f t="shared" si="58"/>
        <v>46143.041666666599</v>
      </c>
      <c r="F1546" s="105">
        <v>46142.041666666599</v>
      </c>
      <c r="G1546" s="2">
        <f t="shared" si="57"/>
        <v>46143.041666666599</v>
      </c>
      <c r="H1546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46072</v>
      </c>
      <c r="I1546" s="95" t="s">
        <v>1022</v>
      </c>
    </row>
    <row r="1547" spans="1:9" x14ac:dyDescent="0.3">
      <c r="A1547" s="1" t="s">
        <v>999</v>
      </c>
      <c r="B1547" s="6"/>
      <c r="C1547" s="1">
        <v>-1</v>
      </c>
      <c r="D1547" s="105">
        <v>46165.041666666599</v>
      </c>
      <c r="E1547" s="105">
        <f t="shared" si="58"/>
        <v>46172.041666666599</v>
      </c>
      <c r="F1547" s="105">
        <v>46171.041666666599</v>
      </c>
      <c r="G1547" s="2">
        <f t="shared" si="57"/>
        <v>46172.041666666599</v>
      </c>
      <c r="H1547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46072</v>
      </c>
      <c r="I1547" s="95" t="s">
        <v>1022</v>
      </c>
    </row>
    <row r="1548" spans="1:9" x14ac:dyDescent="0.3">
      <c r="A1548" s="1" t="s">
        <v>999</v>
      </c>
      <c r="B1548" s="6"/>
      <c r="C1548" s="1">
        <v>-1</v>
      </c>
      <c r="D1548" s="105">
        <v>46178</v>
      </c>
      <c r="E1548" s="105">
        <f t="shared" si="58"/>
        <v>46179</v>
      </c>
      <c r="F1548" s="105">
        <v>46178</v>
      </c>
      <c r="G1548" s="2">
        <f t="shared" si="57"/>
        <v>46179</v>
      </c>
      <c r="H1548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46072</v>
      </c>
      <c r="I1548" s="95" t="s">
        <v>1022</v>
      </c>
    </row>
    <row r="1549" spans="1:9" x14ac:dyDescent="0.3">
      <c r="A1549" s="1" t="s">
        <v>999</v>
      </c>
      <c r="B1549" s="6"/>
      <c r="C1549" s="1">
        <v>-1</v>
      </c>
      <c r="D1549" s="105">
        <v>46208</v>
      </c>
      <c r="E1549" s="105">
        <f t="shared" si="58"/>
        <v>46210</v>
      </c>
      <c r="F1549" s="105">
        <v>46209</v>
      </c>
      <c r="G1549" s="2">
        <f t="shared" si="57"/>
        <v>46210</v>
      </c>
      <c r="H1549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46072</v>
      </c>
      <c r="I1549" s="95" t="s">
        <v>1022</v>
      </c>
    </row>
    <row r="1550" spans="1:9" x14ac:dyDescent="0.3">
      <c r="A1550" s="1" t="s">
        <v>999</v>
      </c>
      <c r="B1550" s="6"/>
      <c r="C1550" s="1">
        <v>-1</v>
      </c>
      <c r="D1550" s="105">
        <v>46225</v>
      </c>
      <c r="E1550" s="105">
        <f t="shared" si="58"/>
        <v>46226</v>
      </c>
      <c r="F1550" s="105">
        <v>46225</v>
      </c>
      <c r="G1550" s="2">
        <f t="shared" si="57"/>
        <v>46226</v>
      </c>
      <c r="H1550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46072</v>
      </c>
      <c r="I1550" s="95" t="s">
        <v>1022</v>
      </c>
    </row>
    <row r="1551" spans="1:9" x14ac:dyDescent="0.3">
      <c r="A1551" s="1" t="s">
        <v>133</v>
      </c>
      <c r="B1551" s="6"/>
      <c r="C1551" s="1">
        <v>-1</v>
      </c>
      <c r="D1551" s="105">
        <v>46114</v>
      </c>
      <c r="E1551" s="105">
        <f t="shared" si="58"/>
        <v>46119</v>
      </c>
      <c r="F1551" s="105">
        <v>46118</v>
      </c>
      <c r="G1551" s="2">
        <f t="shared" si="57"/>
        <v>46119</v>
      </c>
      <c r="H1551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46072</v>
      </c>
      <c r="I1551" s="95" t="s">
        <v>1023</v>
      </c>
    </row>
    <row r="1552" spans="1:9" x14ac:dyDescent="0.3">
      <c r="A1552" s="1" t="s">
        <v>96</v>
      </c>
      <c r="B1552" s="6"/>
      <c r="C1552" s="1">
        <v>-1</v>
      </c>
      <c r="D1552" s="105">
        <v>46167.041666666599</v>
      </c>
      <c r="E1552" s="105">
        <f t="shared" si="58"/>
        <v>46107</v>
      </c>
      <c r="F1552" s="105">
        <v>46106</v>
      </c>
      <c r="G1552" s="2">
        <f t="shared" si="57"/>
        <v>46107</v>
      </c>
      <c r="H1552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46072</v>
      </c>
      <c r="I1552" s="95" t="s">
        <v>1024</v>
      </c>
    </row>
    <row r="1553" spans="1:9" x14ac:dyDescent="0.3">
      <c r="A1553" s="1" t="s">
        <v>96</v>
      </c>
      <c r="B1553" s="6"/>
      <c r="C1553" s="1">
        <v>-1</v>
      </c>
      <c r="D1553" s="105">
        <v>46186</v>
      </c>
      <c r="E1553" s="105">
        <f t="shared" si="58"/>
        <v>46193</v>
      </c>
      <c r="F1553" s="105">
        <v>46192</v>
      </c>
      <c r="G1553" s="2">
        <f t="shared" si="57"/>
        <v>46193</v>
      </c>
      <c r="H1553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46072</v>
      </c>
      <c r="I1553" s="95" t="s">
        <v>1024</v>
      </c>
    </row>
    <row r="1554" spans="1:9" x14ac:dyDescent="0.3">
      <c r="A1554" s="1" t="s">
        <v>96</v>
      </c>
      <c r="B1554" s="6"/>
      <c r="C1554" s="1">
        <v>-1</v>
      </c>
      <c r="D1554" s="105">
        <v>46289</v>
      </c>
      <c r="E1554" s="105">
        <f t="shared" si="58"/>
        <v>46294</v>
      </c>
      <c r="F1554" s="105">
        <v>46293</v>
      </c>
      <c r="G1554" s="2">
        <f t="shared" si="57"/>
        <v>46294</v>
      </c>
      <c r="H1554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46072</v>
      </c>
      <c r="I1554" s="95" t="s">
        <v>1024</v>
      </c>
    </row>
    <row r="1555" spans="1:9" x14ac:dyDescent="0.3">
      <c r="A1555" s="1" t="s">
        <v>96</v>
      </c>
      <c r="B1555" s="6"/>
      <c r="C1555" s="1">
        <v>-1</v>
      </c>
      <c r="D1555" s="105">
        <v>46277</v>
      </c>
      <c r="E1555" s="105">
        <f t="shared" si="58"/>
        <v>46286</v>
      </c>
      <c r="F1555" s="105">
        <v>46285</v>
      </c>
      <c r="G1555" s="2">
        <f t="shared" si="57"/>
        <v>46286</v>
      </c>
      <c r="H1555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46072</v>
      </c>
      <c r="I1555" s="95" t="s">
        <v>1024</v>
      </c>
    </row>
    <row r="1556" spans="1:9" x14ac:dyDescent="0.3">
      <c r="A1556" s="1" t="s">
        <v>95</v>
      </c>
      <c r="B1556" s="6"/>
      <c r="C1556" s="1">
        <v>-1</v>
      </c>
      <c r="D1556" s="105">
        <v>46134</v>
      </c>
      <c r="E1556" s="105">
        <f t="shared" si="58"/>
        <v>46138.041666666599</v>
      </c>
      <c r="F1556" s="105">
        <v>46137.041666666599</v>
      </c>
      <c r="G1556" s="2">
        <f t="shared" si="57"/>
        <v>46138.041666666599</v>
      </c>
      <c r="H1556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46072</v>
      </c>
      <c r="I1556" s="95" t="s">
        <v>1025</v>
      </c>
    </row>
    <row r="1557" spans="1:9" x14ac:dyDescent="0.3">
      <c r="A1557" s="1" t="s">
        <v>95</v>
      </c>
      <c r="B1557" s="6"/>
      <c r="C1557" s="1">
        <v>-1</v>
      </c>
      <c r="D1557" s="105">
        <v>46134</v>
      </c>
      <c r="E1557" s="105">
        <f t="shared" si="58"/>
        <v>46138.041666666599</v>
      </c>
      <c r="F1557" s="105">
        <v>46137.041666666599</v>
      </c>
      <c r="G1557" s="2">
        <f t="shared" si="57"/>
        <v>46138.041666666599</v>
      </c>
      <c r="H1557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46072</v>
      </c>
      <c r="I1557" s="95" t="s">
        <v>1025</v>
      </c>
    </row>
    <row r="1558" spans="1:9" x14ac:dyDescent="0.3">
      <c r="A1558" s="1" t="s">
        <v>321</v>
      </c>
      <c r="B1558" s="6"/>
      <c r="C1558" s="1">
        <v>-1</v>
      </c>
      <c r="D1558" s="105">
        <v>46100</v>
      </c>
      <c r="E1558" s="105">
        <f t="shared" si="58"/>
        <v>46103</v>
      </c>
      <c r="F1558" s="105">
        <v>46102</v>
      </c>
      <c r="G1558" s="2">
        <f t="shared" si="57"/>
        <v>46103</v>
      </c>
      <c r="H1558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46072</v>
      </c>
      <c r="I1558" s="95" t="s">
        <v>1026</v>
      </c>
    </row>
    <row r="1559" spans="1:9" x14ac:dyDescent="0.3">
      <c r="A1559" s="1" t="s">
        <v>93</v>
      </c>
      <c r="B1559" s="6"/>
      <c r="C1559" s="1">
        <v>-1</v>
      </c>
      <c r="D1559" s="105">
        <v>46093</v>
      </c>
      <c r="E1559" s="105">
        <f t="shared" si="58"/>
        <v>46121</v>
      </c>
      <c r="F1559" s="105">
        <v>46120</v>
      </c>
      <c r="G1559" s="2">
        <f t="shared" si="57"/>
        <v>46121</v>
      </c>
      <c r="H1559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46072</v>
      </c>
      <c r="I1559" s="95" t="s">
        <v>1027</v>
      </c>
    </row>
    <row r="1560" spans="1:9" x14ac:dyDescent="0.3">
      <c r="A1560" s="1" t="s">
        <v>93</v>
      </c>
      <c r="B1560" s="6"/>
      <c r="C1560" s="1">
        <v>-1</v>
      </c>
      <c r="D1560" s="105">
        <v>46127</v>
      </c>
      <c r="E1560" s="105">
        <f t="shared" si="58"/>
        <v>46139.041666666599</v>
      </c>
      <c r="F1560" s="105">
        <v>46138.041666666599</v>
      </c>
      <c r="G1560" s="2">
        <f t="shared" si="57"/>
        <v>46139.041666666599</v>
      </c>
      <c r="H1560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46072</v>
      </c>
      <c r="I1560" s="95" t="s">
        <v>1027</v>
      </c>
    </row>
    <row r="1561" spans="1:9" x14ac:dyDescent="0.3">
      <c r="A1561" s="1" t="s">
        <v>93</v>
      </c>
      <c r="B1561" s="6"/>
      <c r="C1561" s="1">
        <v>-1</v>
      </c>
      <c r="D1561" s="105">
        <v>46094</v>
      </c>
      <c r="E1561" s="105">
        <f t="shared" si="58"/>
        <v>46114</v>
      </c>
      <c r="F1561" s="105">
        <v>46113</v>
      </c>
      <c r="G1561" s="2">
        <f t="shared" si="57"/>
        <v>46114</v>
      </c>
      <c r="H1561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46072</v>
      </c>
      <c r="I1561" s="95" t="s">
        <v>1027</v>
      </c>
    </row>
    <row r="1562" spans="1:9" x14ac:dyDescent="0.3">
      <c r="A1562" s="1" t="s">
        <v>93</v>
      </c>
      <c r="B1562" s="6"/>
      <c r="C1562" s="1">
        <v>-1</v>
      </c>
      <c r="D1562" s="105">
        <v>46126</v>
      </c>
      <c r="E1562" s="105">
        <f t="shared" si="58"/>
        <v>46137.041666666599</v>
      </c>
      <c r="F1562" s="105">
        <v>46136.041666666599</v>
      </c>
      <c r="G1562" s="2">
        <f t="shared" si="57"/>
        <v>46137.041666666599</v>
      </c>
      <c r="H1562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46072</v>
      </c>
      <c r="I1562" s="95" t="s">
        <v>1027</v>
      </c>
    </row>
    <row r="1563" spans="1:9" x14ac:dyDescent="0.3">
      <c r="A1563" s="1" t="s">
        <v>93</v>
      </c>
      <c r="B1563" s="6"/>
      <c r="C1563" s="1">
        <v>-1</v>
      </c>
      <c r="D1563" s="105">
        <v>46104</v>
      </c>
      <c r="E1563" s="105">
        <f t="shared" si="58"/>
        <v>46117</v>
      </c>
      <c r="F1563" s="105">
        <v>46116</v>
      </c>
      <c r="G1563" s="2">
        <f t="shared" si="57"/>
        <v>46117</v>
      </c>
      <c r="H1563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46072</v>
      </c>
      <c r="I1563" s="95" t="s">
        <v>1027</v>
      </c>
    </row>
    <row r="1564" spans="1:9" x14ac:dyDescent="0.3">
      <c r="A1564" s="1" t="s">
        <v>93</v>
      </c>
      <c r="B1564" s="6"/>
      <c r="C1564" s="1">
        <v>-1</v>
      </c>
      <c r="D1564" s="105">
        <v>46110</v>
      </c>
      <c r="E1564" s="105">
        <f t="shared" si="58"/>
        <v>46114</v>
      </c>
      <c r="F1564" s="105">
        <v>46113</v>
      </c>
      <c r="G1564" s="2">
        <f t="shared" si="57"/>
        <v>46114</v>
      </c>
      <c r="H1564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46072</v>
      </c>
      <c r="I1564" s="95" t="s">
        <v>1027</v>
      </c>
    </row>
    <row r="1565" spans="1:9" x14ac:dyDescent="0.3">
      <c r="A1565" s="1" t="s">
        <v>172</v>
      </c>
      <c r="B1565" s="6"/>
      <c r="C1565" s="1">
        <v>-1</v>
      </c>
      <c r="D1565" s="105">
        <v>46116</v>
      </c>
      <c r="E1565" s="105">
        <f t="shared" si="58"/>
        <v>46118</v>
      </c>
      <c r="F1565" s="105">
        <v>46117</v>
      </c>
      <c r="G1565" s="2">
        <f t="shared" si="57"/>
        <v>46118</v>
      </c>
      <c r="H1565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46072</v>
      </c>
      <c r="I1565" s="95" t="s">
        <v>1028</v>
      </c>
    </row>
    <row r="1566" spans="1:9" x14ac:dyDescent="0.3">
      <c r="A1566" s="1" t="s">
        <v>78</v>
      </c>
      <c r="B1566" s="6"/>
      <c r="C1566" s="1">
        <v>-1</v>
      </c>
      <c r="D1566" s="105">
        <v>46079</v>
      </c>
      <c r="E1566" s="105">
        <f t="shared" si="58"/>
        <v>46085</v>
      </c>
      <c r="F1566" s="105">
        <v>46084</v>
      </c>
      <c r="G1566" s="2">
        <f t="shared" si="57"/>
        <v>46085</v>
      </c>
      <c r="H1566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46073</v>
      </c>
      <c r="I1566" s="95" t="s">
        <v>1029</v>
      </c>
    </row>
    <row r="1567" spans="1:9" x14ac:dyDescent="0.3">
      <c r="A1567" s="1" t="s">
        <v>66</v>
      </c>
      <c r="B1567" s="6"/>
      <c r="C1567" s="1">
        <v>-1</v>
      </c>
      <c r="D1567" s="105">
        <v>46116</v>
      </c>
      <c r="E1567" s="105">
        <f t="shared" si="58"/>
        <v>46119</v>
      </c>
      <c r="F1567" s="105">
        <v>46118</v>
      </c>
      <c r="G1567" s="2">
        <f t="shared" si="57"/>
        <v>46119</v>
      </c>
      <c r="H1567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46073</v>
      </c>
      <c r="I1567" s="95" t="s">
        <v>1030</v>
      </c>
    </row>
    <row r="1568" spans="1:9" x14ac:dyDescent="0.3">
      <c r="A1568" s="1" t="s">
        <v>66</v>
      </c>
      <c r="B1568" s="6"/>
      <c r="C1568" s="1">
        <v>-1</v>
      </c>
      <c r="D1568" s="105">
        <v>46107</v>
      </c>
      <c r="E1568" s="105">
        <f t="shared" si="58"/>
        <v>46123</v>
      </c>
      <c r="F1568" s="105">
        <v>46122</v>
      </c>
      <c r="G1568" s="2">
        <f t="shared" si="57"/>
        <v>46123</v>
      </c>
      <c r="H1568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46073</v>
      </c>
      <c r="I1568" s="95" t="s">
        <v>1030</v>
      </c>
    </row>
    <row r="1569" spans="1:9" x14ac:dyDescent="0.3">
      <c r="A1569" s="1" t="s">
        <v>140</v>
      </c>
      <c r="B1569" s="6"/>
      <c r="C1569" s="1">
        <v>-1</v>
      </c>
      <c r="D1569" s="105">
        <v>46103</v>
      </c>
      <c r="E1569" s="105">
        <f t="shared" si="58"/>
        <v>46120</v>
      </c>
      <c r="F1569" s="105">
        <v>46119</v>
      </c>
      <c r="G1569" s="2">
        <f t="shared" si="57"/>
        <v>46120</v>
      </c>
      <c r="H1569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46073</v>
      </c>
      <c r="I1569" s="95" t="s">
        <v>1031</v>
      </c>
    </row>
    <row r="1570" spans="1:9" x14ac:dyDescent="0.3">
      <c r="A1570" s="1" t="s">
        <v>96</v>
      </c>
      <c r="B1570" s="6"/>
      <c r="C1570" s="1">
        <v>-1</v>
      </c>
      <c r="D1570" s="105">
        <v>46106</v>
      </c>
      <c r="E1570" s="105">
        <f t="shared" si="58"/>
        <v>46169.041666666599</v>
      </c>
      <c r="F1570" s="105">
        <v>46168.041666666599</v>
      </c>
      <c r="G1570" s="2">
        <f t="shared" si="57"/>
        <v>46169.041666666599</v>
      </c>
      <c r="H1570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46073</v>
      </c>
      <c r="I1570" s="95" t="s">
        <v>1032</v>
      </c>
    </row>
    <row r="1571" spans="1:9" x14ac:dyDescent="0.3">
      <c r="A1571" s="1" t="s">
        <v>96</v>
      </c>
      <c r="B1571" s="6"/>
      <c r="C1571" s="1">
        <v>-1</v>
      </c>
      <c r="D1571" s="105">
        <v>46182</v>
      </c>
      <c r="E1571" s="105">
        <f t="shared" si="58"/>
        <v>46186</v>
      </c>
      <c r="F1571" s="105">
        <v>46185</v>
      </c>
      <c r="G1571" s="2">
        <f t="shared" si="57"/>
        <v>46186</v>
      </c>
      <c r="H1571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46073</v>
      </c>
      <c r="I1571" s="95" t="s">
        <v>1032</v>
      </c>
    </row>
    <row r="1572" spans="1:9" x14ac:dyDescent="0.3">
      <c r="A1572" s="1" t="s">
        <v>96</v>
      </c>
      <c r="B1572" s="6"/>
      <c r="C1572" s="1">
        <v>-1</v>
      </c>
      <c r="D1572" s="105">
        <v>46231</v>
      </c>
      <c r="E1572" s="105">
        <f t="shared" si="58"/>
        <v>46234</v>
      </c>
      <c r="F1572" s="105">
        <v>46233</v>
      </c>
      <c r="G1572" s="2">
        <f t="shared" ref="G1572:G1635" si="59">F1572+1</f>
        <v>46234</v>
      </c>
      <c r="H1572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46073</v>
      </c>
      <c r="I1572" s="95" t="s">
        <v>1032</v>
      </c>
    </row>
    <row r="1573" spans="1:9" x14ac:dyDescent="0.3">
      <c r="A1573" s="1" t="s">
        <v>96</v>
      </c>
      <c r="B1573" s="6"/>
      <c r="C1573" s="1">
        <v>-1</v>
      </c>
      <c r="D1573" s="105">
        <v>46271</v>
      </c>
      <c r="E1573" s="105">
        <f t="shared" si="58"/>
        <v>46279</v>
      </c>
      <c r="F1573" s="105">
        <v>46278</v>
      </c>
      <c r="G1573" s="2">
        <f t="shared" si="59"/>
        <v>46279</v>
      </c>
      <c r="H1573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46073</v>
      </c>
      <c r="I1573" s="95" t="s">
        <v>1032</v>
      </c>
    </row>
    <row r="1574" spans="1:9" x14ac:dyDescent="0.3">
      <c r="A1574" s="1" t="s">
        <v>96</v>
      </c>
      <c r="B1574" s="6"/>
      <c r="C1574" s="1">
        <v>-1</v>
      </c>
      <c r="D1574" s="105">
        <v>46283</v>
      </c>
      <c r="E1574" s="105">
        <f t="shared" si="58"/>
        <v>46289</v>
      </c>
      <c r="F1574" s="105">
        <v>46288</v>
      </c>
      <c r="G1574" s="2">
        <f t="shared" si="59"/>
        <v>46289</v>
      </c>
      <c r="H1574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46073</v>
      </c>
      <c r="I1574" s="95" t="s">
        <v>1032</v>
      </c>
    </row>
    <row r="1575" spans="1:9" x14ac:dyDescent="0.3">
      <c r="A1575" s="1" t="s">
        <v>96</v>
      </c>
      <c r="B1575" s="6"/>
      <c r="C1575" s="1">
        <v>-1</v>
      </c>
      <c r="D1575" s="105">
        <v>46289</v>
      </c>
      <c r="E1575" s="105">
        <f t="shared" si="58"/>
        <v>46294</v>
      </c>
      <c r="F1575" s="105">
        <v>46293</v>
      </c>
      <c r="G1575" s="2">
        <f t="shared" si="59"/>
        <v>46294</v>
      </c>
      <c r="H1575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46073</v>
      </c>
      <c r="I1575" s="95" t="s">
        <v>1032</v>
      </c>
    </row>
    <row r="1576" spans="1:9" x14ac:dyDescent="0.3">
      <c r="A1576" s="1" t="s">
        <v>66</v>
      </c>
      <c r="B1576" s="6"/>
      <c r="C1576" s="1">
        <v>-1</v>
      </c>
      <c r="D1576" s="105">
        <v>46127</v>
      </c>
      <c r="E1576" s="105">
        <f t="shared" si="58"/>
        <v>46136</v>
      </c>
      <c r="F1576" s="105">
        <v>46135</v>
      </c>
      <c r="G1576" s="2">
        <f t="shared" si="59"/>
        <v>46136</v>
      </c>
      <c r="H1576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46074</v>
      </c>
      <c r="I1576" s="95" t="s">
        <v>1033</v>
      </c>
    </row>
    <row r="1577" spans="1:9" x14ac:dyDescent="0.3">
      <c r="A1577" s="1" t="s">
        <v>294</v>
      </c>
      <c r="B1577" s="6"/>
      <c r="C1577" s="1">
        <v>-1</v>
      </c>
      <c r="D1577" s="105">
        <v>46109</v>
      </c>
      <c r="E1577" s="105">
        <f t="shared" si="58"/>
        <v>46113</v>
      </c>
      <c r="F1577" s="105">
        <v>46112</v>
      </c>
      <c r="G1577" s="2">
        <f t="shared" si="59"/>
        <v>46113</v>
      </c>
      <c r="H1577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46074</v>
      </c>
      <c r="I1577" s="95" t="s">
        <v>1034</v>
      </c>
    </row>
    <row r="1578" spans="1:9" x14ac:dyDescent="0.3">
      <c r="A1578" s="1" t="s">
        <v>124</v>
      </c>
      <c r="B1578" s="6"/>
      <c r="C1578" s="1">
        <v>-1</v>
      </c>
      <c r="D1578" s="105">
        <v>46124</v>
      </c>
      <c r="E1578" s="105">
        <f t="shared" si="58"/>
        <v>46132</v>
      </c>
      <c r="F1578" s="105">
        <v>46131</v>
      </c>
      <c r="G1578" s="2">
        <f t="shared" si="59"/>
        <v>46132</v>
      </c>
      <c r="H1578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46074</v>
      </c>
      <c r="I1578" s="95" t="s">
        <v>1035</v>
      </c>
    </row>
    <row r="1579" spans="1:9" x14ac:dyDescent="0.3">
      <c r="A1579" s="1" t="s">
        <v>124</v>
      </c>
      <c r="B1579" s="6"/>
      <c r="C1579" s="1">
        <v>-1</v>
      </c>
      <c r="D1579" s="105">
        <v>46103</v>
      </c>
      <c r="E1579" s="105">
        <f t="shared" si="58"/>
        <v>46106</v>
      </c>
      <c r="F1579" s="105">
        <v>46105</v>
      </c>
      <c r="G1579" s="2">
        <f t="shared" si="59"/>
        <v>46106</v>
      </c>
      <c r="H1579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46074</v>
      </c>
      <c r="I1579" s="95" t="s">
        <v>1035</v>
      </c>
    </row>
    <row r="1580" spans="1:9" x14ac:dyDescent="0.3">
      <c r="A1580" s="1" t="s">
        <v>124</v>
      </c>
      <c r="B1580" s="6"/>
      <c r="C1580" s="1">
        <v>-1</v>
      </c>
      <c r="D1580" s="105">
        <v>46310</v>
      </c>
      <c r="E1580" s="105">
        <f t="shared" si="58"/>
        <v>46326</v>
      </c>
      <c r="F1580" s="105">
        <v>46325</v>
      </c>
      <c r="G1580" s="2">
        <f t="shared" si="59"/>
        <v>46326</v>
      </c>
      <c r="H1580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46074</v>
      </c>
      <c r="I1580" s="95" t="s">
        <v>1035</v>
      </c>
    </row>
    <row r="1581" spans="1:9" x14ac:dyDescent="0.3">
      <c r="A1581" s="1" t="s">
        <v>123</v>
      </c>
      <c r="B1581" s="6"/>
      <c r="C1581" s="1">
        <v>-1</v>
      </c>
      <c r="D1581" s="105">
        <v>46135</v>
      </c>
      <c r="E1581" s="105">
        <f t="shared" si="58"/>
        <v>46141.041666666599</v>
      </c>
      <c r="F1581" s="105">
        <v>46140.041666666599</v>
      </c>
      <c r="G1581" s="2">
        <f t="shared" si="59"/>
        <v>46141.041666666599</v>
      </c>
      <c r="H1581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46074</v>
      </c>
      <c r="I1581" s="95" t="s">
        <v>1036</v>
      </c>
    </row>
    <row r="1582" spans="1:9" x14ac:dyDescent="0.3">
      <c r="A1582" s="1" t="s">
        <v>123</v>
      </c>
      <c r="B1582" s="6"/>
      <c r="C1582" s="1">
        <v>-1</v>
      </c>
      <c r="D1582" s="105">
        <v>46148.041666666599</v>
      </c>
      <c r="E1582" s="105">
        <f t="shared" si="58"/>
        <v>46154.041666666599</v>
      </c>
      <c r="F1582" s="105">
        <v>46153.041666666599</v>
      </c>
      <c r="G1582" s="2">
        <f t="shared" si="59"/>
        <v>46154.041666666599</v>
      </c>
      <c r="H1582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46074</v>
      </c>
      <c r="I1582" s="95" t="s">
        <v>1036</v>
      </c>
    </row>
    <row r="1583" spans="1:9" x14ac:dyDescent="0.3">
      <c r="A1583" s="1" t="s">
        <v>123</v>
      </c>
      <c r="B1583" s="6"/>
      <c r="C1583" s="1">
        <v>-1</v>
      </c>
      <c r="D1583" s="105">
        <v>46245</v>
      </c>
      <c r="E1583" s="105">
        <f t="shared" si="58"/>
        <v>46247</v>
      </c>
      <c r="F1583" s="105">
        <v>46246</v>
      </c>
      <c r="G1583" s="2">
        <f t="shared" si="59"/>
        <v>46247</v>
      </c>
      <c r="H1583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46074</v>
      </c>
      <c r="I1583" s="95" t="s">
        <v>1036</v>
      </c>
    </row>
    <row r="1584" spans="1:9" x14ac:dyDescent="0.3">
      <c r="A1584" s="1" t="s">
        <v>123</v>
      </c>
      <c r="B1584" s="6"/>
      <c r="C1584" s="1">
        <v>-1</v>
      </c>
      <c r="D1584" s="105">
        <v>46096</v>
      </c>
      <c r="E1584" s="105">
        <f t="shared" si="58"/>
        <v>46102</v>
      </c>
      <c r="F1584" s="105">
        <v>46101</v>
      </c>
      <c r="G1584" s="2">
        <f t="shared" si="59"/>
        <v>46102</v>
      </c>
      <c r="H1584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46074</v>
      </c>
      <c r="I1584" s="95" t="s">
        <v>1036</v>
      </c>
    </row>
    <row r="1585" spans="1:9" x14ac:dyDescent="0.3">
      <c r="A1585" s="1" t="s">
        <v>303</v>
      </c>
      <c r="B1585" s="6"/>
      <c r="C1585" s="1">
        <v>-1</v>
      </c>
      <c r="D1585" s="105">
        <v>46107</v>
      </c>
      <c r="E1585" s="105">
        <f t="shared" si="58"/>
        <v>46116</v>
      </c>
      <c r="F1585" s="105">
        <v>46115</v>
      </c>
      <c r="G1585" s="2">
        <f t="shared" si="59"/>
        <v>46116</v>
      </c>
      <c r="H1585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46074</v>
      </c>
      <c r="I1585" s="95" t="s">
        <v>1037</v>
      </c>
    </row>
    <row r="1586" spans="1:9" x14ac:dyDescent="0.3">
      <c r="A1586" s="1" t="s">
        <v>62</v>
      </c>
      <c r="B1586" s="6"/>
      <c r="C1586" s="1">
        <v>-1</v>
      </c>
      <c r="D1586" s="105">
        <v>46107</v>
      </c>
      <c r="E1586" s="105">
        <f t="shared" si="58"/>
        <v>46108</v>
      </c>
      <c r="F1586" s="105">
        <v>46107</v>
      </c>
      <c r="G1586" s="2">
        <f t="shared" si="59"/>
        <v>46108</v>
      </c>
      <c r="H1586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46074</v>
      </c>
      <c r="I1586" s="95" t="s">
        <v>1038</v>
      </c>
    </row>
    <row r="1587" spans="1:9" x14ac:dyDescent="0.3">
      <c r="A1587" s="1" t="s">
        <v>623</v>
      </c>
      <c r="B1587" s="6"/>
      <c r="C1587" s="1">
        <v>-1</v>
      </c>
      <c r="D1587" s="105">
        <v>46138.041666666599</v>
      </c>
      <c r="E1587" s="105">
        <f t="shared" si="58"/>
        <v>46141.041666666599</v>
      </c>
      <c r="F1587" s="105">
        <v>46140.041666666599</v>
      </c>
      <c r="G1587" s="2">
        <f t="shared" si="59"/>
        <v>46141.041666666599</v>
      </c>
      <c r="H1587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46074</v>
      </c>
      <c r="I1587" s="95" t="s">
        <v>1039</v>
      </c>
    </row>
    <row r="1588" spans="1:9" x14ac:dyDescent="0.3">
      <c r="A1588" s="1" t="s">
        <v>623</v>
      </c>
      <c r="B1588" s="6"/>
      <c r="C1588" s="1">
        <v>-1</v>
      </c>
      <c r="D1588" s="105">
        <v>46142.041666666599</v>
      </c>
      <c r="E1588" s="105">
        <f t="shared" si="58"/>
        <v>46143.041666666599</v>
      </c>
      <c r="F1588" s="105">
        <v>46142.041666666599</v>
      </c>
      <c r="G1588" s="2">
        <f t="shared" si="59"/>
        <v>46143.041666666599</v>
      </c>
      <c r="H1588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46074</v>
      </c>
      <c r="I1588" s="95" t="s">
        <v>1039</v>
      </c>
    </row>
    <row r="1589" spans="1:9" x14ac:dyDescent="0.3">
      <c r="A1589" s="1" t="s">
        <v>104</v>
      </c>
      <c r="B1589" s="6"/>
      <c r="C1589" s="1">
        <v>-1</v>
      </c>
      <c r="D1589" s="105">
        <v>46114</v>
      </c>
      <c r="E1589" s="105">
        <f t="shared" si="58"/>
        <v>46121</v>
      </c>
      <c r="F1589" s="105">
        <v>46120</v>
      </c>
      <c r="G1589" s="2">
        <f t="shared" si="59"/>
        <v>46121</v>
      </c>
      <c r="H1589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46074</v>
      </c>
      <c r="I1589" s="95" t="s">
        <v>1040</v>
      </c>
    </row>
    <row r="1590" spans="1:9" x14ac:dyDescent="0.3">
      <c r="A1590" s="1" t="s">
        <v>104</v>
      </c>
      <c r="B1590" s="6"/>
      <c r="C1590" s="1">
        <v>-1</v>
      </c>
      <c r="D1590" s="105">
        <v>46121</v>
      </c>
      <c r="E1590" s="105">
        <f t="shared" si="58"/>
        <v>46125</v>
      </c>
      <c r="F1590" s="105">
        <v>46124</v>
      </c>
      <c r="G1590" s="2">
        <f t="shared" si="59"/>
        <v>46125</v>
      </c>
      <c r="H1590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46074</v>
      </c>
      <c r="I1590" s="95" t="s">
        <v>1040</v>
      </c>
    </row>
    <row r="1591" spans="1:9" x14ac:dyDescent="0.3">
      <c r="A1591" s="1" t="s">
        <v>104</v>
      </c>
      <c r="B1591" s="6"/>
      <c r="C1591" s="1">
        <v>-1</v>
      </c>
      <c r="D1591" s="105">
        <v>46096</v>
      </c>
      <c r="E1591" s="105">
        <f t="shared" si="58"/>
        <v>46098</v>
      </c>
      <c r="F1591" s="105">
        <v>46097</v>
      </c>
      <c r="G1591" s="2">
        <f t="shared" si="59"/>
        <v>46098</v>
      </c>
      <c r="H1591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46074</v>
      </c>
      <c r="I1591" s="95" t="s">
        <v>1040</v>
      </c>
    </row>
    <row r="1592" spans="1:9" x14ac:dyDescent="0.3">
      <c r="A1592" s="1" t="s">
        <v>301</v>
      </c>
      <c r="B1592" s="6"/>
      <c r="C1592" s="1">
        <v>-1</v>
      </c>
      <c r="D1592" s="105">
        <v>46204</v>
      </c>
      <c r="E1592" s="105">
        <f t="shared" si="58"/>
        <v>46235</v>
      </c>
      <c r="F1592" s="105">
        <v>46234</v>
      </c>
      <c r="G1592" s="2">
        <f t="shared" si="59"/>
        <v>46235</v>
      </c>
      <c r="H1592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46074</v>
      </c>
      <c r="I1592" s="95" t="s">
        <v>1041</v>
      </c>
    </row>
    <row r="1593" spans="1:9" x14ac:dyDescent="0.3">
      <c r="A1593" s="1" t="s">
        <v>528</v>
      </c>
      <c r="B1593" s="6"/>
      <c r="C1593" s="1">
        <v>-1</v>
      </c>
      <c r="D1593" s="105">
        <v>46102</v>
      </c>
      <c r="E1593" s="105">
        <f t="shared" si="58"/>
        <v>46103</v>
      </c>
      <c r="F1593" s="105">
        <v>46102</v>
      </c>
      <c r="G1593" s="2">
        <f t="shared" si="59"/>
        <v>46103</v>
      </c>
      <c r="H1593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46074</v>
      </c>
      <c r="I1593" s="95" t="s">
        <v>1042</v>
      </c>
    </row>
    <row r="1594" spans="1:9" x14ac:dyDescent="0.3">
      <c r="A1594" s="1" t="s">
        <v>623</v>
      </c>
      <c r="B1594" s="6"/>
      <c r="C1594" s="1">
        <v>-1</v>
      </c>
      <c r="D1594" s="105">
        <v>46138.041666666599</v>
      </c>
      <c r="E1594" s="105">
        <f t="shared" si="58"/>
        <v>46139.041666666599</v>
      </c>
      <c r="F1594" s="105">
        <v>46138.041666666599</v>
      </c>
      <c r="G1594" s="2">
        <f t="shared" si="59"/>
        <v>46139.041666666599</v>
      </c>
      <c r="H1594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46074</v>
      </c>
      <c r="I1594" s="95" t="s">
        <v>1043</v>
      </c>
    </row>
    <row r="1595" spans="1:9" x14ac:dyDescent="0.3">
      <c r="A1595" s="1" t="s">
        <v>893</v>
      </c>
      <c r="B1595" s="6"/>
      <c r="C1595" s="1">
        <v>-1</v>
      </c>
      <c r="D1595" s="105">
        <v>46113</v>
      </c>
      <c r="E1595" s="105">
        <f t="shared" ref="E1595:E1658" si="60">G1595</f>
        <v>46116</v>
      </c>
      <c r="F1595" s="105">
        <v>46115</v>
      </c>
      <c r="G1595" s="2">
        <f t="shared" si="59"/>
        <v>46116</v>
      </c>
      <c r="H1595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46074</v>
      </c>
      <c r="I1595" s="95" t="s">
        <v>1043</v>
      </c>
    </row>
    <row r="1596" spans="1:9" x14ac:dyDescent="0.3">
      <c r="A1596" s="1" t="s">
        <v>623</v>
      </c>
      <c r="B1596" s="6"/>
      <c r="C1596" s="1">
        <v>-1</v>
      </c>
      <c r="D1596" s="105">
        <v>46107</v>
      </c>
      <c r="E1596" s="105">
        <f t="shared" si="60"/>
        <v>46108</v>
      </c>
      <c r="F1596" s="105">
        <v>46107</v>
      </c>
      <c r="G1596" s="2">
        <f t="shared" si="59"/>
        <v>46108</v>
      </c>
      <c r="H1596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46074</v>
      </c>
      <c r="I1596" s="95" t="s">
        <v>1044</v>
      </c>
    </row>
    <row r="1597" spans="1:9" x14ac:dyDescent="0.3">
      <c r="A1597" s="1" t="s">
        <v>972</v>
      </c>
      <c r="B1597" s="6"/>
      <c r="C1597" s="1">
        <v>-1</v>
      </c>
      <c r="D1597" s="105">
        <v>46142.041666666599</v>
      </c>
      <c r="E1597" s="105">
        <f t="shared" si="60"/>
        <v>46144.041666666599</v>
      </c>
      <c r="F1597" s="105">
        <v>46143.041666666599</v>
      </c>
      <c r="G1597" s="2">
        <f t="shared" si="59"/>
        <v>46144.041666666599</v>
      </c>
      <c r="H1597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46074</v>
      </c>
      <c r="I1597" s="95" t="s">
        <v>1045</v>
      </c>
    </row>
    <row r="1598" spans="1:9" x14ac:dyDescent="0.3">
      <c r="A1598" s="1" t="s">
        <v>321</v>
      </c>
      <c r="B1598" s="6"/>
      <c r="C1598" s="1">
        <v>-1</v>
      </c>
      <c r="D1598" s="105">
        <v>46082</v>
      </c>
      <c r="E1598" s="105">
        <f t="shared" si="60"/>
        <v>46089</v>
      </c>
      <c r="F1598" s="105">
        <v>46088</v>
      </c>
      <c r="G1598" s="2">
        <f t="shared" si="59"/>
        <v>46089</v>
      </c>
      <c r="H1598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46075</v>
      </c>
      <c r="I1598" s="95" t="s">
        <v>1046</v>
      </c>
    </row>
    <row r="1599" spans="1:9" x14ac:dyDescent="0.3">
      <c r="A1599" s="1" t="s">
        <v>321</v>
      </c>
      <c r="B1599" s="6"/>
      <c r="C1599" s="1">
        <v>-1</v>
      </c>
      <c r="D1599" s="105">
        <v>46094</v>
      </c>
      <c r="E1599" s="105">
        <f t="shared" si="60"/>
        <v>46100</v>
      </c>
      <c r="F1599" s="105">
        <v>46099</v>
      </c>
      <c r="G1599" s="2">
        <f t="shared" si="59"/>
        <v>46100</v>
      </c>
      <c r="H1599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46075</v>
      </c>
      <c r="I1599" s="95" t="s">
        <v>1046</v>
      </c>
    </row>
    <row r="1600" spans="1:9" x14ac:dyDescent="0.3">
      <c r="A1600" s="1" t="s">
        <v>118</v>
      </c>
      <c r="B1600" s="6"/>
      <c r="C1600" s="1">
        <v>-1</v>
      </c>
      <c r="D1600" s="105">
        <v>46102</v>
      </c>
      <c r="E1600" s="105">
        <f t="shared" si="60"/>
        <v>46106</v>
      </c>
      <c r="F1600" s="105">
        <v>46105</v>
      </c>
      <c r="G1600" s="2">
        <f t="shared" si="59"/>
        <v>46106</v>
      </c>
      <c r="H1600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46075</v>
      </c>
      <c r="I1600" s="95" t="s">
        <v>1047</v>
      </c>
    </row>
    <row r="1601" spans="1:9" x14ac:dyDescent="0.3">
      <c r="A1601" s="1" t="s">
        <v>110</v>
      </c>
      <c r="B1601" s="6"/>
      <c r="C1601" s="1">
        <v>-1</v>
      </c>
      <c r="D1601" s="105">
        <v>46118</v>
      </c>
      <c r="E1601" s="105">
        <f t="shared" si="60"/>
        <v>46128</v>
      </c>
      <c r="F1601" s="105">
        <v>46127</v>
      </c>
      <c r="G1601" s="2">
        <f t="shared" si="59"/>
        <v>46128</v>
      </c>
      <c r="H1601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46075</v>
      </c>
      <c r="I1601" s="95" t="s">
        <v>1048</v>
      </c>
    </row>
    <row r="1602" spans="1:9" x14ac:dyDescent="0.3">
      <c r="A1602" s="1" t="s">
        <v>110</v>
      </c>
      <c r="B1602" s="6"/>
      <c r="C1602" s="1">
        <v>-1</v>
      </c>
      <c r="D1602" s="105">
        <v>46130</v>
      </c>
      <c r="E1602" s="105">
        <f t="shared" si="60"/>
        <v>46132</v>
      </c>
      <c r="F1602" s="105">
        <v>46131</v>
      </c>
      <c r="G1602" s="2">
        <f t="shared" si="59"/>
        <v>46132</v>
      </c>
      <c r="H1602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46075</v>
      </c>
      <c r="I1602" s="95" t="s">
        <v>1048</v>
      </c>
    </row>
    <row r="1603" spans="1:9" x14ac:dyDescent="0.3">
      <c r="A1603" s="1" t="s">
        <v>110</v>
      </c>
      <c r="B1603" s="6"/>
      <c r="C1603" s="1">
        <v>-1</v>
      </c>
      <c r="D1603" s="105">
        <v>46139.041666666599</v>
      </c>
      <c r="E1603" s="105">
        <f t="shared" si="60"/>
        <v>46142.041666666599</v>
      </c>
      <c r="F1603" s="105">
        <v>46141.041666666599</v>
      </c>
      <c r="G1603" s="2">
        <f t="shared" si="59"/>
        <v>46142.041666666599</v>
      </c>
      <c r="H1603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46075</v>
      </c>
      <c r="I1603" s="95" t="s">
        <v>1048</v>
      </c>
    </row>
    <row r="1604" spans="1:9" x14ac:dyDescent="0.3">
      <c r="A1604" s="1" t="s">
        <v>110</v>
      </c>
      <c r="B1604" s="6"/>
      <c r="C1604" s="1">
        <v>-1</v>
      </c>
      <c r="D1604" s="105">
        <v>46148</v>
      </c>
      <c r="E1604" s="105">
        <f t="shared" si="60"/>
        <v>46151</v>
      </c>
      <c r="F1604" s="105">
        <v>46150</v>
      </c>
      <c r="G1604" s="2">
        <f t="shared" si="59"/>
        <v>46151</v>
      </c>
      <c r="H1604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46075</v>
      </c>
      <c r="I1604" s="95" t="s">
        <v>1048</v>
      </c>
    </row>
    <row r="1605" spans="1:9" x14ac:dyDescent="0.3">
      <c r="A1605" s="1" t="s">
        <v>92</v>
      </c>
      <c r="B1605" s="6"/>
      <c r="C1605" s="1">
        <v>-1</v>
      </c>
      <c r="D1605" s="105">
        <v>46097</v>
      </c>
      <c r="E1605" s="105">
        <f t="shared" si="60"/>
        <v>46099</v>
      </c>
      <c r="F1605" s="105">
        <v>46098</v>
      </c>
      <c r="G1605" s="2">
        <f t="shared" si="59"/>
        <v>46099</v>
      </c>
      <c r="H1605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46075</v>
      </c>
      <c r="I1605" s="95" t="s">
        <v>1049</v>
      </c>
    </row>
    <row r="1606" spans="1:9" x14ac:dyDescent="0.3">
      <c r="A1606" s="1" t="s">
        <v>92</v>
      </c>
      <c r="B1606" s="6"/>
      <c r="C1606" s="1">
        <v>-1</v>
      </c>
      <c r="D1606" s="105">
        <v>46100</v>
      </c>
      <c r="E1606" s="105">
        <f t="shared" si="60"/>
        <v>46101</v>
      </c>
      <c r="F1606" s="105">
        <v>46100</v>
      </c>
      <c r="G1606" s="2">
        <f t="shared" si="59"/>
        <v>46101</v>
      </c>
      <c r="H1606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46075</v>
      </c>
      <c r="I1606" s="95" t="s">
        <v>1049</v>
      </c>
    </row>
    <row r="1607" spans="1:9" x14ac:dyDescent="0.3">
      <c r="A1607" s="1" t="s">
        <v>118</v>
      </c>
      <c r="B1607" s="6"/>
      <c r="C1607" s="1">
        <v>-1</v>
      </c>
      <c r="D1607" s="105">
        <v>46102</v>
      </c>
      <c r="E1607" s="105">
        <f t="shared" si="60"/>
        <v>46106</v>
      </c>
      <c r="F1607" s="105">
        <v>46105</v>
      </c>
      <c r="G1607" s="2">
        <f t="shared" si="59"/>
        <v>46106</v>
      </c>
      <c r="H1607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46075</v>
      </c>
      <c r="I1607" s="95" t="s">
        <v>1050</v>
      </c>
    </row>
    <row r="1608" spans="1:9" x14ac:dyDescent="0.3">
      <c r="A1608" s="1" t="s">
        <v>95</v>
      </c>
      <c r="B1608" s="6"/>
      <c r="C1608" s="1">
        <v>-1</v>
      </c>
      <c r="D1608" s="105">
        <v>46158.041666666599</v>
      </c>
      <c r="E1608" s="105">
        <f t="shared" si="60"/>
        <v>46169.041666666599</v>
      </c>
      <c r="F1608" s="105">
        <v>46168.041666666599</v>
      </c>
      <c r="G1608" s="2">
        <f t="shared" si="59"/>
        <v>46169.041666666599</v>
      </c>
      <c r="H1608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46075</v>
      </c>
      <c r="I1608" s="95" t="s">
        <v>1051</v>
      </c>
    </row>
    <row r="1609" spans="1:9" x14ac:dyDescent="0.3">
      <c r="A1609" s="1" t="s">
        <v>129</v>
      </c>
      <c r="B1609" s="6"/>
      <c r="C1609" s="1">
        <v>-1</v>
      </c>
      <c r="D1609" s="105">
        <v>46101</v>
      </c>
      <c r="E1609" s="105">
        <f t="shared" si="60"/>
        <v>46104</v>
      </c>
      <c r="F1609" s="105">
        <v>46103</v>
      </c>
      <c r="G1609" s="2">
        <f t="shared" si="59"/>
        <v>46104</v>
      </c>
      <c r="H1609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46076</v>
      </c>
      <c r="I1609" s="95" t="s">
        <v>1052</v>
      </c>
    </row>
    <row r="1610" spans="1:9" x14ac:dyDescent="0.3">
      <c r="A1610" s="1" t="s">
        <v>123</v>
      </c>
      <c r="B1610" s="6"/>
      <c r="C1610" s="1">
        <v>-1</v>
      </c>
      <c r="D1610" s="105">
        <v>46150.041666666599</v>
      </c>
      <c r="E1610" s="105">
        <v>46150.041666666599</v>
      </c>
      <c r="F1610" s="105">
        <v>46150.041666666599</v>
      </c>
      <c r="G1610" s="2">
        <f t="shared" si="59"/>
        <v>46151.041666666599</v>
      </c>
      <c r="H1610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46076</v>
      </c>
      <c r="I1610" s="95" t="s">
        <v>1053</v>
      </c>
    </row>
    <row r="1611" spans="1:9" x14ac:dyDescent="0.3">
      <c r="A1611" s="1" t="s">
        <v>123</v>
      </c>
      <c r="B1611" s="6"/>
      <c r="C1611" s="1">
        <v>-1</v>
      </c>
      <c r="D1611" s="105">
        <v>46119</v>
      </c>
      <c r="E1611" s="105">
        <f t="shared" si="60"/>
        <v>46132</v>
      </c>
      <c r="F1611" s="105">
        <v>46131</v>
      </c>
      <c r="G1611" s="2">
        <f t="shared" si="59"/>
        <v>46132</v>
      </c>
      <c r="H1611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46076</v>
      </c>
      <c r="I1611" s="95" t="s">
        <v>1053</v>
      </c>
    </row>
    <row r="1612" spans="1:9" x14ac:dyDescent="0.3">
      <c r="A1612" s="1" t="s">
        <v>123</v>
      </c>
      <c r="B1612" s="6"/>
      <c r="C1612" s="1">
        <v>-1</v>
      </c>
      <c r="D1612" s="105">
        <v>46141.041666666599</v>
      </c>
      <c r="E1612" s="105">
        <f t="shared" si="60"/>
        <v>46147.041666666599</v>
      </c>
      <c r="F1612" s="105">
        <v>46146.041666666599</v>
      </c>
      <c r="G1612" s="2">
        <f t="shared" si="59"/>
        <v>46147.041666666599</v>
      </c>
      <c r="H1612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46076</v>
      </c>
      <c r="I1612" s="95" t="s">
        <v>1053</v>
      </c>
    </row>
    <row r="1613" spans="1:9" x14ac:dyDescent="0.3">
      <c r="A1613" s="1" t="s">
        <v>123</v>
      </c>
      <c r="B1613" s="6"/>
      <c r="C1613" s="1">
        <v>-1</v>
      </c>
      <c r="D1613" s="105">
        <v>46107</v>
      </c>
      <c r="E1613" s="105">
        <f t="shared" si="60"/>
        <v>46108</v>
      </c>
      <c r="F1613" s="105">
        <v>46107</v>
      </c>
      <c r="G1613" s="2">
        <f t="shared" si="59"/>
        <v>46108</v>
      </c>
      <c r="H1613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46076</v>
      </c>
      <c r="I1613" s="95" t="s">
        <v>1053</v>
      </c>
    </row>
    <row r="1614" spans="1:9" x14ac:dyDescent="0.3">
      <c r="A1614" s="1" t="s">
        <v>123</v>
      </c>
      <c r="B1614" s="6"/>
      <c r="C1614" s="1">
        <v>-1</v>
      </c>
      <c r="D1614" s="105">
        <v>46115</v>
      </c>
      <c r="E1614" s="105">
        <f t="shared" si="60"/>
        <v>46117</v>
      </c>
      <c r="F1614" s="105">
        <v>46116</v>
      </c>
      <c r="G1614" s="2">
        <f t="shared" si="59"/>
        <v>46117</v>
      </c>
      <c r="H1614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46076</v>
      </c>
      <c r="I1614" s="95" t="s">
        <v>1053</v>
      </c>
    </row>
    <row r="1615" spans="1:9" x14ac:dyDescent="0.3">
      <c r="A1615" s="1" t="s">
        <v>123</v>
      </c>
      <c r="B1615" s="6"/>
      <c r="C1615" s="1">
        <v>-1</v>
      </c>
      <c r="D1615" s="105">
        <v>46149.041666666599</v>
      </c>
      <c r="E1615" s="105">
        <f t="shared" si="60"/>
        <v>46150.041666666599</v>
      </c>
      <c r="F1615" s="105">
        <v>46149.041666666599</v>
      </c>
      <c r="G1615" s="2">
        <f t="shared" si="59"/>
        <v>46150.041666666599</v>
      </c>
      <c r="H1615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46076</v>
      </c>
      <c r="I1615" s="95" t="s">
        <v>1053</v>
      </c>
    </row>
    <row r="1616" spans="1:9" x14ac:dyDescent="0.3">
      <c r="A1616" s="1" t="s">
        <v>123</v>
      </c>
      <c r="B1616" s="6"/>
      <c r="C1616" s="1">
        <v>-1</v>
      </c>
      <c r="D1616" s="105">
        <v>46137.041666666599</v>
      </c>
      <c r="E1616" s="105">
        <f t="shared" si="60"/>
        <v>46145.041666666599</v>
      </c>
      <c r="F1616" s="105">
        <v>46144.041666666599</v>
      </c>
      <c r="G1616" s="2">
        <f t="shared" si="59"/>
        <v>46145.041666666599</v>
      </c>
      <c r="H1616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46076</v>
      </c>
      <c r="I1616" s="95" t="s">
        <v>1053</v>
      </c>
    </row>
    <row r="1617" spans="1:9" x14ac:dyDescent="0.3">
      <c r="A1617" s="1" t="s">
        <v>71</v>
      </c>
      <c r="B1617" s="6"/>
      <c r="C1617" s="1">
        <v>-1</v>
      </c>
      <c r="D1617" s="105">
        <v>46080</v>
      </c>
      <c r="E1617" s="105">
        <f t="shared" si="60"/>
        <v>46084</v>
      </c>
      <c r="F1617" s="105">
        <v>46083</v>
      </c>
      <c r="G1617" s="2">
        <f t="shared" si="59"/>
        <v>46084</v>
      </c>
      <c r="H1617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46076</v>
      </c>
      <c r="I1617" s="95" t="s">
        <v>1054</v>
      </c>
    </row>
    <row r="1618" spans="1:9" x14ac:dyDescent="0.3">
      <c r="A1618" s="1" t="s">
        <v>301</v>
      </c>
      <c r="B1618" s="6"/>
      <c r="C1618" s="1">
        <v>-1</v>
      </c>
      <c r="D1618" s="105">
        <v>46220</v>
      </c>
      <c r="E1618" s="105">
        <f t="shared" si="60"/>
        <v>46233</v>
      </c>
      <c r="F1618" s="105">
        <v>46232</v>
      </c>
      <c r="G1618" s="2">
        <f t="shared" si="59"/>
        <v>46233</v>
      </c>
      <c r="H1618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46077</v>
      </c>
      <c r="I1618" s="95" t="s">
        <v>1055</v>
      </c>
    </row>
    <row r="1619" spans="1:9" x14ac:dyDescent="0.3">
      <c r="A1619" s="1" t="s">
        <v>71</v>
      </c>
      <c r="B1619" s="6"/>
      <c r="C1619" s="1">
        <v>-1</v>
      </c>
      <c r="D1619" s="105">
        <v>46210</v>
      </c>
      <c r="E1619" s="105">
        <f t="shared" si="60"/>
        <v>46160.041666666599</v>
      </c>
      <c r="F1619" s="105">
        <v>46159.041666666599</v>
      </c>
      <c r="G1619" s="2">
        <f t="shared" si="59"/>
        <v>46160.041666666599</v>
      </c>
      <c r="H1619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46077</v>
      </c>
      <c r="I1619" s="95" t="s">
        <v>1056</v>
      </c>
    </row>
    <row r="1620" spans="1:9" x14ac:dyDescent="0.3">
      <c r="A1620" s="1" t="s">
        <v>67</v>
      </c>
      <c r="B1620" s="6"/>
      <c r="C1620" s="1">
        <v>-1</v>
      </c>
      <c r="D1620" s="105">
        <v>46146.041666666599</v>
      </c>
      <c r="E1620" s="105">
        <f t="shared" si="60"/>
        <v>46148.041666666599</v>
      </c>
      <c r="F1620" s="105">
        <v>46147.041666666599</v>
      </c>
      <c r="G1620" s="2">
        <f t="shared" si="59"/>
        <v>46148.041666666599</v>
      </c>
      <c r="H1620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46077</v>
      </c>
      <c r="I1620" s="95" t="s">
        <v>1057</v>
      </c>
    </row>
    <row r="1621" spans="1:9" x14ac:dyDescent="0.3">
      <c r="A1621" s="1" t="s">
        <v>67</v>
      </c>
      <c r="B1621" s="6"/>
      <c r="C1621" s="1">
        <v>-1</v>
      </c>
      <c r="D1621" s="105">
        <v>46313</v>
      </c>
      <c r="E1621" s="105">
        <f t="shared" si="60"/>
        <v>46317</v>
      </c>
      <c r="F1621" s="105">
        <v>46316</v>
      </c>
      <c r="G1621" s="2">
        <f t="shared" si="59"/>
        <v>46317</v>
      </c>
      <c r="H1621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46077</v>
      </c>
      <c r="I1621" s="95" t="s">
        <v>1057</v>
      </c>
    </row>
    <row r="1622" spans="1:9" x14ac:dyDescent="0.3">
      <c r="A1622" s="1" t="s">
        <v>528</v>
      </c>
      <c r="B1622" s="6"/>
      <c r="C1622" s="1">
        <v>-1</v>
      </c>
      <c r="D1622" s="105">
        <v>46116</v>
      </c>
      <c r="E1622" s="105">
        <f t="shared" si="60"/>
        <v>46126</v>
      </c>
      <c r="F1622" s="105">
        <v>46125</v>
      </c>
      <c r="G1622" s="2">
        <f t="shared" si="59"/>
        <v>46126</v>
      </c>
      <c r="H1622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46077</v>
      </c>
      <c r="I1622" s="95" t="s">
        <v>1058</v>
      </c>
    </row>
    <row r="1623" spans="1:9" x14ac:dyDescent="0.3">
      <c r="A1623" s="1" t="s">
        <v>92</v>
      </c>
      <c r="B1623" s="6"/>
      <c r="C1623" s="1">
        <v>-1</v>
      </c>
      <c r="D1623" s="105">
        <v>46091</v>
      </c>
      <c r="E1623" s="105">
        <f t="shared" si="60"/>
        <v>46092</v>
      </c>
      <c r="F1623" s="105">
        <v>46091</v>
      </c>
      <c r="G1623" s="2">
        <f t="shared" si="59"/>
        <v>46092</v>
      </c>
      <c r="H1623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46078</v>
      </c>
      <c r="I1623" s="95" t="s">
        <v>1059</v>
      </c>
    </row>
    <row r="1624" spans="1:9" x14ac:dyDescent="0.3">
      <c r="A1624" s="1" t="s">
        <v>101</v>
      </c>
      <c r="B1624" s="6"/>
      <c r="C1624" s="1">
        <v>-1</v>
      </c>
      <c r="D1624" s="105">
        <v>46084</v>
      </c>
      <c r="E1624" s="105">
        <f t="shared" si="60"/>
        <v>46085</v>
      </c>
      <c r="F1624" s="105">
        <v>46084</v>
      </c>
      <c r="G1624" s="2">
        <f t="shared" si="59"/>
        <v>46085</v>
      </c>
      <c r="H1624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46078</v>
      </c>
      <c r="I1624" s="95" t="s">
        <v>1060</v>
      </c>
    </row>
    <row r="1625" spans="1:9" x14ac:dyDescent="0.3">
      <c r="A1625" s="1" t="s">
        <v>303</v>
      </c>
      <c r="B1625" s="6"/>
      <c r="C1625" s="1">
        <v>-1</v>
      </c>
      <c r="D1625" s="105">
        <v>46105</v>
      </c>
      <c r="E1625" s="105">
        <f t="shared" si="60"/>
        <v>46109</v>
      </c>
      <c r="F1625" s="105">
        <v>46108</v>
      </c>
      <c r="G1625" s="2">
        <f t="shared" si="59"/>
        <v>46109</v>
      </c>
      <c r="H1625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46078</v>
      </c>
      <c r="I1625" s="95" t="s">
        <v>1060</v>
      </c>
    </row>
    <row r="1626" spans="1:9" x14ac:dyDescent="0.3">
      <c r="A1626" s="1" t="s">
        <v>303</v>
      </c>
      <c r="B1626" s="6"/>
      <c r="C1626" s="1">
        <v>-1</v>
      </c>
      <c r="D1626" s="105">
        <v>46112</v>
      </c>
      <c r="E1626" s="105">
        <f t="shared" si="60"/>
        <v>46116</v>
      </c>
      <c r="F1626" s="105">
        <v>46115</v>
      </c>
      <c r="G1626" s="2">
        <f t="shared" si="59"/>
        <v>46116</v>
      </c>
      <c r="H1626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46078</v>
      </c>
      <c r="I1626" s="95" t="s">
        <v>1060</v>
      </c>
    </row>
    <row r="1627" spans="1:9" x14ac:dyDescent="0.3">
      <c r="A1627" s="1" t="s">
        <v>123</v>
      </c>
      <c r="B1627" s="6"/>
      <c r="C1627" s="1">
        <v>-1</v>
      </c>
      <c r="D1627" s="105">
        <v>46128</v>
      </c>
      <c r="E1627" s="105">
        <f t="shared" si="60"/>
        <v>46132</v>
      </c>
      <c r="F1627" s="105">
        <v>46131</v>
      </c>
      <c r="G1627" s="2">
        <f t="shared" si="59"/>
        <v>46132</v>
      </c>
      <c r="H1627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46078</v>
      </c>
      <c r="I1627" s="95" t="s">
        <v>1061</v>
      </c>
    </row>
    <row r="1628" spans="1:9" x14ac:dyDescent="0.3">
      <c r="A1628" s="1" t="s">
        <v>78</v>
      </c>
      <c r="B1628" s="6"/>
      <c r="C1628" s="1">
        <v>-1</v>
      </c>
      <c r="D1628" s="105">
        <v>46091</v>
      </c>
      <c r="E1628" s="105">
        <f t="shared" si="60"/>
        <v>46092</v>
      </c>
      <c r="F1628" s="105">
        <v>46091</v>
      </c>
      <c r="G1628" s="2">
        <f t="shared" si="59"/>
        <v>46092</v>
      </c>
      <c r="H1628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46079</v>
      </c>
      <c r="I1628" s="95" t="s">
        <v>1062</v>
      </c>
    </row>
    <row r="1629" spans="1:9" x14ac:dyDescent="0.3">
      <c r="A1629" s="1" t="s">
        <v>306</v>
      </c>
      <c r="B1629" s="6"/>
      <c r="C1629" s="1">
        <v>-1</v>
      </c>
      <c r="D1629" s="105">
        <v>46091</v>
      </c>
      <c r="E1629" s="105">
        <f t="shared" si="60"/>
        <v>46092</v>
      </c>
      <c r="F1629" s="105">
        <v>46091</v>
      </c>
      <c r="G1629" s="2">
        <f t="shared" si="59"/>
        <v>46092</v>
      </c>
      <c r="H1629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46079</v>
      </c>
      <c r="I1629" s="95" t="s">
        <v>1062</v>
      </c>
    </row>
    <row r="1630" spans="1:9" x14ac:dyDescent="0.3">
      <c r="A1630" s="1" t="s">
        <v>93</v>
      </c>
      <c r="B1630" s="6"/>
      <c r="C1630" s="1">
        <v>-1</v>
      </c>
      <c r="D1630" s="105">
        <v>46104</v>
      </c>
      <c r="E1630" s="105">
        <f t="shared" si="60"/>
        <v>46113</v>
      </c>
      <c r="F1630" s="105">
        <v>46112</v>
      </c>
      <c r="G1630" s="2">
        <f t="shared" si="59"/>
        <v>46113</v>
      </c>
      <c r="H1630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46079</v>
      </c>
      <c r="I1630" s="95" t="s">
        <v>1063</v>
      </c>
    </row>
    <row r="1631" spans="1:9" x14ac:dyDescent="0.3">
      <c r="A1631" s="1" t="s">
        <v>92</v>
      </c>
      <c r="B1631" s="6"/>
      <c r="C1631" s="1">
        <v>-1</v>
      </c>
      <c r="D1631" s="105">
        <v>46104</v>
      </c>
      <c r="E1631" s="105">
        <f t="shared" si="60"/>
        <v>46111</v>
      </c>
      <c r="F1631" s="105">
        <v>46110</v>
      </c>
      <c r="G1631" s="2">
        <f t="shared" si="59"/>
        <v>46111</v>
      </c>
      <c r="H1631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46080</v>
      </c>
      <c r="I1631" s="95" t="s">
        <v>1064</v>
      </c>
    </row>
    <row r="1632" spans="1:9" x14ac:dyDescent="0.3">
      <c r="A1632" s="1" t="s">
        <v>76</v>
      </c>
      <c r="B1632" s="6"/>
      <c r="C1632" s="1">
        <v>-1</v>
      </c>
      <c r="D1632" s="105">
        <v>46098</v>
      </c>
      <c r="E1632" s="105">
        <f t="shared" si="60"/>
        <v>46104</v>
      </c>
      <c r="F1632" s="105">
        <v>46103</v>
      </c>
      <c r="G1632" s="2">
        <f t="shared" si="59"/>
        <v>46104</v>
      </c>
      <c r="H1632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46079</v>
      </c>
      <c r="I1632" s="95" t="s">
        <v>1065</v>
      </c>
    </row>
    <row r="1633" spans="1:9" x14ac:dyDescent="0.3">
      <c r="A1633" s="1" t="s">
        <v>66</v>
      </c>
      <c r="B1633" s="6"/>
      <c r="C1633" s="1">
        <v>-1</v>
      </c>
      <c r="D1633" s="105">
        <v>46100</v>
      </c>
      <c r="E1633" s="105">
        <f t="shared" si="60"/>
        <v>46103</v>
      </c>
      <c r="F1633" s="105">
        <v>46102</v>
      </c>
      <c r="G1633" s="2">
        <f t="shared" si="59"/>
        <v>46103</v>
      </c>
      <c r="H1633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46080</v>
      </c>
      <c r="I1633" s="95" t="s">
        <v>1066</v>
      </c>
    </row>
    <row r="1634" spans="1:9" x14ac:dyDescent="0.3">
      <c r="A1634" s="1" t="s">
        <v>110</v>
      </c>
      <c r="B1634" s="6"/>
      <c r="C1634" s="1">
        <v>-1</v>
      </c>
      <c r="D1634" s="105">
        <v>46144.041666666599</v>
      </c>
      <c r="E1634" s="105">
        <f t="shared" si="60"/>
        <v>46148.041666666599</v>
      </c>
      <c r="F1634" s="105">
        <v>46147.041666666599</v>
      </c>
      <c r="G1634" s="2">
        <f t="shared" si="59"/>
        <v>46148.041666666599</v>
      </c>
      <c r="H1634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46079</v>
      </c>
      <c r="I1634" s="95" t="s">
        <v>1067</v>
      </c>
    </row>
    <row r="1635" spans="1:9" x14ac:dyDescent="0.3">
      <c r="A1635" s="1" t="s">
        <v>303</v>
      </c>
      <c r="B1635" s="6"/>
      <c r="C1635" s="1">
        <v>-1</v>
      </c>
      <c r="D1635" s="105">
        <v>46212</v>
      </c>
      <c r="E1635" s="105">
        <f t="shared" si="60"/>
        <v>46223</v>
      </c>
      <c r="F1635" s="105">
        <v>46222</v>
      </c>
      <c r="G1635" s="2">
        <f t="shared" si="59"/>
        <v>46223</v>
      </c>
      <c r="H1635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46079</v>
      </c>
      <c r="I1635" s="95" t="s">
        <v>1068</v>
      </c>
    </row>
    <row r="1636" spans="1:9" x14ac:dyDescent="0.3">
      <c r="A1636" s="1" t="s">
        <v>66</v>
      </c>
      <c r="B1636" s="6"/>
      <c r="C1636" s="1">
        <v>-1</v>
      </c>
      <c r="D1636" s="105">
        <v>46103</v>
      </c>
      <c r="E1636" s="105">
        <f t="shared" si="60"/>
        <v>46104</v>
      </c>
      <c r="F1636" s="105">
        <v>46103</v>
      </c>
      <c r="G1636" s="2">
        <f t="shared" ref="G1636:G1699" si="61">F1636+1</f>
        <v>46104</v>
      </c>
      <c r="H1636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46079</v>
      </c>
      <c r="I1636" s="95" t="s">
        <v>1069</v>
      </c>
    </row>
    <row r="1637" spans="1:9" x14ac:dyDescent="0.3">
      <c r="A1637" s="1" t="s">
        <v>71</v>
      </c>
      <c r="B1637" s="6"/>
      <c r="C1637" s="1">
        <v>-1</v>
      </c>
      <c r="D1637" s="105">
        <v>46099</v>
      </c>
      <c r="E1637" s="105">
        <f t="shared" si="60"/>
        <v>46100</v>
      </c>
      <c r="F1637" s="105">
        <v>46099</v>
      </c>
      <c r="G1637" s="2">
        <f t="shared" si="61"/>
        <v>46100</v>
      </c>
      <c r="H1637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46079</v>
      </c>
      <c r="I1637" s="95" t="s">
        <v>1070</v>
      </c>
    </row>
    <row r="1638" spans="1:9" x14ac:dyDescent="0.3">
      <c r="A1638" s="1" t="s">
        <v>127</v>
      </c>
      <c r="B1638" s="6"/>
      <c r="C1638" s="1">
        <v>-1</v>
      </c>
      <c r="D1638" s="105">
        <v>46181</v>
      </c>
      <c r="E1638" s="105">
        <f t="shared" si="60"/>
        <v>46182</v>
      </c>
      <c r="F1638" s="105">
        <v>46181</v>
      </c>
      <c r="G1638" s="2">
        <f t="shared" si="61"/>
        <v>46182</v>
      </c>
      <c r="H1638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46077</v>
      </c>
      <c r="I1638" s="95" t="s">
        <v>1071</v>
      </c>
    </row>
    <row r="1639" spans="1:9" x14ac:dyDescent="0.3">
      <c r="A1639" s="1" t="s">
        <v>127</v>
      </c>
      <c r="B1639" s="6"/>
      <c r="C1639" s="1">
        <v>-1</v>
      </c>
      <c r="D1639" s="105">
        <v>46190</v>
      </c>
      <c r="E1639" s="105">
        <f t="shared" si="60"/>
        <v>46193</v>
      </c>
      <c r="F1639" s="105">
        <v>46192</v>
      </c>
      <c r="G1639" s="2">
        <f t="shared" si="61"/>
        <v>46193</v>
      </c>
      <c r="H1639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46077</v>
      </c>
      <c r="I1639" s="95" t="s">
        <v>1071</v>
      </c>
    </row>
    <row r="1640" spans="1:9" x14ac:dyDescent="0.3">
      <c r="A1640" s="1" t="s">
        <v>127</v>
      </c>
      <c r="B1640" s="6"/>
      <c r="C1640" s="1">
        <v>-1</v>
      </c>
      <c r="D1640" s="105">
        <v>46199</v>
      </c>
      <c r="E1640" s="105">
        <f t="shared" si="60"/>
        <v>46201</v>
      </c>
      <c r="F1640" s="105">
        <v>46200</v>
      </c>
      <c r="G1640" s="2">
        <f t="shared" si="61"/>
        <v>46201</v>
      </c>
      <c r="H1640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46077</v>
      </c>
      <c r="I1640" s="95" t="s">
        <v>1071</v>
      </c>
    </row>
    <row r="1641" spans="1:9" x14ac:dyDescent="0.3">
      <c r="A1641" s="1" t="s">
        <v>127</v>
      </c>
      <c r="B1641" s="6"/>
      <c r="C1641" s="1">
        <v>-1</v>
      </c>
      <c r="D1641" s="105">
        <v>46252</v>
      </c>
      <c r="E1641" s="105">
        <f t="shared" si="60"/>
        <v>46258</v>
      </c>
      <c r="F1641" s="105">
        <v>46257</v>
      </c>
      <c r="G1641" s="2">
        <f t="shared" si="61"/>
        <v>46258</v>
      </c>
      <c r="H1641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46077</v>
      </c>
      <c r="I1641" s="95" t="s">
        <v>1071</v>
      </c>
    </row>
    <row r="1642" spans="1:9" x14ac:dyDescent="0.3">
      <c r="A1642" s="1" t="s">
        <v>127</v>
      </c>
      <c r="B1642" s="6"/>
      <c r="C1642" s="1">
        <v>-1</v>
      </c>
      <c r="D1642" s="105">
        <v>46288</v>
      </c>
      <c r="E1642" s="105">
        <f t="shared" si="60"/>
        <v>46295</v>
      </c>
      <c r="F1642" s="105">
        <v>46294</v>
      </c>
      <c r="G1642" s="2">
        <f t="shared" si="61"/>
        <v>46295</v>
      </c>
      <c r="H1642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46077</v>
      </c>
      <c r="I1642" s="95" t="s">
        <v>1071</v>
      </c>
    </row>
    <row r="1643" spans="1:9" x14ac:dyDescent="0.3">
      <c r="A1643" s="1" t="s">
        <v>127</v>
      </c>
      <c r="B1643" s="6"/>
      <c r="C1643" s="1">
        <v>-1</v>
      </c>
      <c r="D1643" s="105">
        <v>46147.041666666599</v>
      </c>
      <c r="E1643" s="105">
        <f t="shared" si="60"/>
        <v>46151.041666666599</v>
      </c>
      <c r="F1643" s="105">
        <v>46150.041666666599</v>
      </c>
      <c r="G1643" s="2">
        <f t="shared" si="61"/>
        <v>46151.041666666599</v>
      </c>
      <c r="H1643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46077</v>
      </c>
      <c r="I1643" s="95" t="s">
        <v>1071</v>
      </c>
    </row>
    <row r="1644" spans="1:9" x14ac:dyDescent="0.3">
      <c r="A1644" s="1" t="s">
        <v>127</v>
      </c>
      <c r="B1644" s="6"/>
      <c r="C1644" s="1">
        <v>-1</v>
      </c>
      <c r="D1644" s="105">
        <v>46156.041666666599</v>
      </c>
      <c r="E1644" s="105">
        <f t="shared" si="60"/>
        <v>46157.041666666599</v>
      </c>
      <c r="F1644" s="105">
        <v>46156.041666666599</v>
      </c>
      <c r="G1644" s="2">
        <f t="shared" si="61"/>
        <v>46157.041666666599</v>
      </c>
      <c r="H1644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46077</v>
      </c>
      <c r="I1644" s="95" t="s">
        <v>1071</v>
      </c>
    </row>
    <row r="1645" spans="1:9" x14ac:dyDescent="0.3">
      <c r="A1645" s="1" t="s">
        <v>101</v>
      </c>
      <c r="B1645" s="6"/>
      <c r="C1645" s="1">
        <v>-1</v>
      </c>
      <c r="D1645" s="105">
        <v>46102</v>
      </c>
      <c r="E1645" s="105">
        <f t="shared" si="60"/>
        <v>46103</v>
      </c>
      <c r="F1645" s="105">
        <v>46102</v>
      </c>
      <c r="G1645" s="2">
        <f t="shared" si="61"/>
        <v>46103</v>
      </c>
      <c r="H1645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46080</v>
      </c>
      <c r="I1645" s="95" t="s">
        <v>1072</v>
      </c>
    </row>
    <row r="1646" spans="1:9" x14ac:dyDescent="0.3">
      <c r="A1646" s="1" t="s">
        <v>67</v>
      </c>
      <c r="B1646" s="6"/>
      <c r="C1646" s="1">
        <v>-1</v>
      </c>
      <c r="D1646" s="105">
        <v>46101</v>
      </c>
      <c r="E1646" s="105">
        <f t="shared" si="60"/>
        <v>46102</v>
      </c>
      <c r="F1646" s="105">
        <v>46101</v>
      </c>
      <c r="G1646" s="2">
        <f t="shared" si="61"/>
        <v>46102</v>
      </c>
      <c r="H1646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46079</v>
      </c>
      <c r="I1646" s="95" t="s">
        <v>1073</v>
      </c>
    </row>
    <row r="1647" spans="1:9" x14ac:dyDescent="0.3">
      <c r="A1647" s="1" t="s">
        <v>101</v>
      </c>
      <c r="B1647" s="6"/>
      <c r="C1647" s="1">
        <v>-1</v>
      </c>
      <c r="D1647" s="105">
        <v>46095</v>
      </c>
      <c r="E1647" s="105">
        <f t="shared" si="60"/>
        <v>46096</v>
      </c>
      <c r="F1647" s="105">
        <v>46095</v>
      </c>
      <c r="G1647" s="2">
        <f t="shared" si="61"/>
        <v>46096</v>
      </c>
      <c r="H1647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46081</v>
      </c>
      <c r="I1647" s="95" t="s">
        <v>1074</v>
      </c>
    </row>
    <row r="1648" spans="1:9" x14ac:dyDescent="0.3">
      <c r="A1648" s="1" t="s">
        <v>296</v>
      </c>
      <c r="B1648" s="6"/>
      <c r="C1648" s="1">
        <v>-1</v>
      </c>
      <c r="D1648" s="105">
        <v>46089</v>
      </c>
      <c r="E1648" s="105"/>
      <c r="F1648" s="105">
        <v>46093</v>
      </c>
      <c r="G1648" s="2">
        <f t="shared" si="61"/>
        <v>46094</v>
      </c>
      <c r="H1648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46081</v>
      </c>
      <c r="I1648" s="95" t="s">
        <v>1075</v>
      </c>
    </row>
    <row r="1649" spans="1:9" x14ac:dyDescent="0.3">
      <c r="A1649" s="1" t="s">
        <v>296</v>
      </c>
      <c r="B1649" s="6"/>
      <c r="C1649" s="1">
        <v>-1</v>
      </c>
      <c r="D1649" s="105">
        <v>46100</v>
      </c>
      <c r="E1649" s="105">
        <f t="shared" si="60"/>
        <v>46101</v>
      </c>
      <c r="F1649" s="105">
        <v>46100</v>
      </c>
      <c r="G1649" s="2">
        <f t="shared" si="61"/>
        <v>46101</v>
      </c>
      <c r="H1649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46081</v>
      </c>
      <c r="I1649" s="95" t="s">
        <v>1075</v>
      </c>
    </row>
    <row r="1650" spans="1:9" x14ac:dyDescent="0.3">
      <c r="A1650" s="1" t="s">
        <v>296</v>
      </c>
      <c r="B1650" s="6"/>
      <c r="C1650" s="1">
        <v>-1</v>
      </c>
      <c r="D1650" s="105">
        <v>46124</v>
      </c>
      <c r="E1650" s="105">
        <f t="shared" si="60"/>
        <v>46125</v>
      </c>
      <c r="F1650" s="105">
        <v>46124</v>
      </c>
      <c r="G1650" s="2">
        <f t="shared" si="61"/>
        <v>46125</v>
      </c>
      <c r="H1650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46081</v>
      </c>
      <c r="I1650" s="95" t="s">
        <v>1075</v>
      </c>
    </row>
    <row r="1651" spans="1:9" x14ac:dyDescent="0.3">
      <c r="A1651" s="1" t="s">
        <v>296</v>
      </c>
      <c r="B1651" s="6"/>
      <c r="C1651" s="1">
        <v>-1</v>
      </c>
      <c r="D1651" s="105">
        <v>46125</v>
      </c>
      <c r="E1651" s="105">
        <f t="shared" si="60"/>
        <v>46138.041666666599</v>
      </c>
      <c r="F1651" s="105">
        <v>46137.041666666599</v>
      </c>
      <c r="G1651" s="2">
        <f t="shared" si="61"/>
        <v>46138.041666666599</v>
      </c>
      <c r="H1651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46081</v>
      </c>
      <c r="I1651" s="95" t="s">
        <v>1075</v>
      </c>
    </row>
    <row r="1652" spans="1:9" x14ac:dyDescent="0.3">
      <c r="A1652" s="1" t="s">
        <v>296</v>
      </c>
      <c r="B1652" s="6"/>
      <c r="C1652" s="1">
        <v>-1</v>
      </c>
      <c r="D1652" s="105">
        <v>46089</v>
      </c>
      <c r="E1652" s="105">
        <f t="shared" si="60"/>
        <v>46095</v>
      </c>
      <c r="F1652" s="105">
        <v>46094</v>
      </c>
      <c r="G1652" s="2">
        <f t="shared" si="61"/>
        <v>46095</v>
      </c>
      <c r="H1652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46081</v>
      </c>
      <c r="I1652" s="95" t="s">
        <v>1076</v>
      </c>
    </row>
    <row r="1653" spans="1:9" x14ac:dyDescent="0.3">
      <c r="A1653" s="1" t="s">
        <v>296</v>
      </c>
      <c r="B1653" s="6"/>
      <c r="C1653" s="1">
        <v>-1</v>
      </c>
      <c r="D1653" s="105">
        <v>46100</v>
      </c>
      <c r="E1653" s="105">
        <f t="shared" si="60"/>
        <v>46104</v>
      </c>
      <c r="F1653" s="105">
        <v>46103</v>
      </c>
      <c r="G1653" s="2">
        <f t="shared" si="61"/>
        <v>46104</v>
      </c>
      <c r="H1653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46081</v>
      </c>
      <c r="I1653" s="95" t="s">
        <v>1076</v>
      </c>
    </row>
    <row r="1654" spans="1:9" x14ac:dyDescent="0.3">
      <c r="A1654" s="1" t="s">
        <v>296</v>
      </c>
      <c r="B1654" s="6"/>
      <c r="C1654" s="1">
        <v>-1</v>
      </c>
      <c r="D1654" s="105">
        <v>46125</v>
      </c>
      <c r="E1654" s="105">
        <f t="shared" si="60"/>
        <v>46129</v>
      </c>
      <c r="F1654" s="105">
        <v>46128</v>
      </c>
      <c r="G1654" s="2">
        <f t="shared" si="61"/>
        <v>46129</v>
      </c>
      <c r="H1654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46081</v>
      </c>
      <c r="I1654" s="95" t="s">
        <v>1076</v>
      </c>
    </row>
    <row r="1655" spans="1:9" x14ac:dyDescent="0.3">
      <c r="A1655" s="1" t="s">
        <v>296</v>
      </c>
      <c r="B1655" s="6"/>
      <c r="C1655" s="1">
        <v>-1</v>
      </c>
      <c r="D1655" s="105">
        <v>46125</v>
      </c>
      <c r="E1655" s="105">
        <f t="shared" si="60"/>
        <v>46138.041666666599</v>
      </c>
      <c r="F1655" s="105">
        <v>46137.041666666599</v>
      </c>
      <c r="G1655" s="2">
        <f t="shared" si="61"/>
        <v>46138.041666666599</v>
      </c>
      <c r="H1655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46081</v>
      </c>
      <c r="I1655" s="95" t="s">
        <v>1076</v>
      </c>
    </row>
    <row r="1656" spans="1:9" x14ac:dyDescent="0.3">
      <c r="A1656" s="1" t="s">
        <v>590</v>
      </c>
      <c r="B1656" s="6"/>
      <c r="C1656" s="1">
        <v>-1</v>
      </c>
      <c r="D1656" s="105">
        <v>46113</v>
      </c>
      <c r="E1656" s="105">
        <f t="shared" si="60"/>
        <v>46123</v>
      </c>
      <c r="F1656" s="105">
        <v>46122</v>
      </c>
      <c r="G1656" s="2">
        <f t="shared" si="61"/>
        <v>46123</v>
      </c>
      <c r="H1656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46080</v>
      </c>
      <c r="I1656" s="95" t="s">
        <v>1077</v>
      </c>
    </row>
    <row r="1657" spans="1:9" x14ac:dyDescent="0.3">
      <c r="A1657" s="1" t="s">
        <v>590</v>
      </c>
      <c r="B1657" s="6"/>
      <c r="C1657" s="1">
        <v>-1</v>
      </c>
      <c r="D1657" s="105">
        <v>46092</v>
      </c>
      <c r="E1657" s="105">
        <f t="shared" si="60"/>
        <v>46096</v>
      </c>
      <c r="F1657" s="105">
        <v>46095</v>
      </c>
      <c r="G1657" s="2">
        <f t="shared" si="61"/>
        <v>46096</v>
      </c>
      <c r="H1657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46080</v>
      </c>
      <c r="I1657" s="95" t="s">
        <v>1077</v>
      </c>
    </row>
    <row r="1658" spans="1:9" x14ac:dyDescent="0.3">
      <c r="A1658" s="1" t="s">
        <v>590</v>
      </c>
      <c r="B1658" s="6"/>
      <c r="C1658" s="1">
        <v>-1</v>
      </c>
      <c r="D1658" s="105">
        <v>46113</v>
      </c>
      <c r="E1658" s="105">
        <f t="shared" si="60"/>
        <v>46116</v>
      </c>
      <c r="F1658" s="105">
        <v>46115</v>
      </c>
      <c r="G1658" s="2">
        <f t="shared" si="61"/>
        <v>46116</v>
      </c>
      <c r="H1658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46080</v>
      </c>
      <c r="I1658" s="95" t="s">
        <v>1077</v>
      </c>
    </row>
    <row r="1659" spans="1:9" x14ac:dyDescent="0.3">
      <c r="A1659" s="1" t="s">
        <v>590</v>
      </c>
      <c r="B1659" s="6"/>
      <c r="C1659" s="1">
        <v>-1</v>
      </c>
      <c r="D1659" s="105">
        <v>46092</v>
      </c>
      <c r="E1659" s="105">
        <f t="shared" ref="E1659:E1722" si="62">G1659</f>
        <v>46096</v>
      </c>
      <c r="F1659" s="105">
        <v>46095</v>
      </c>
      <c r="G1659" s="2">
        <f t="shared" si="61"/>
        <v>46096</v>
      </c>
      <c r="H1659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46080</v>
      </c>
      <c r="I1659" s="95" t="s">
        <v>1077</v>
      </c>
    </row>
    <row r="1660" spans="1:9" x14ac:dyDescent="0.3">
      <c r="A1660" s="1" t="s">
        <v>590</v>
      </c>
      <c r="B1660" s="6"/>
      <c r="C1660" s="1">
        <v>-1</v>
      </c>
      <c r="D1660" s="105">
        <v>46099</v>
      </c>
      <c r="E1660" s="105">
        <f t="shared" si="62"/>
        <v>46101</v>
      </c>
      <c r="F1660" s="105">
        <v>46100</v>
      </c>
      <c r="G1660" s="2">
        <f t="shared" si="61"/>
        <v>46101</v>
      </c>
      <c r="H1660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46080</v>
      </c>
      <c r="I1660" s="95" t="s">
        <v>1077</v>
      </c>
    </row>
    <row r="1661" spans="1:9" x14ac:dyDescent="0.3">
      <c r="A1661" s="1" t="s">
        <v>590</v>
      </c>
      <c r="B1661" s="6"/>
      <c r="C1661" s="1">
        <v>-1</v>
      </c>
      <c r="D1661" s="105">
        <v>46113</v>
      </c>
      <c r="E1661" s="105">
        <f t="shared" si="62"/>
        <v>46123</v>
      </c>
      <c r="F1661" s="105">
        <v>46122</v>
      </c>
      <c r="G1661" s="2">
        <f t="shared" si="61"/>
        <v>46123</v>
      </c>
      <c r="H1661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46080</v>
      </c>
      <c r="I1661" s="95" t="s">
        <v>1077</v>
      </c>
    </row>
    <row r="1662" spans="1:9" x14ac:dyDescent="0.3">
      <c r="A1662" s="1" t="s">
        <v>590</v>
      </c>
      <c r="B1662" s="6"/>
      <c r="C1662" s="1">
        <v>-1</v>
      </c>
      <c r="D1662" s="105">
        <v>46139.041666666599</v>
      </c>
      <c r="E1662" s="105">
        <f t="shared" si="62"/>
        <v>46143.041666666599</v>
      </c>
      <c r="F1662" s="105">
        <v>46142.041666666599</v>
      </c>
      <c r="G1662" s="2">
        <f t="shared" si="61"/>
        <v>46143.041666666599</v>
      </c>
      <c r="H1662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46077</v>
      </c>
      <c r="I1662" s="95" t="s">
        <v>1078</v>
      </c>
    </row>
    <row r="1663" spans="1:9" x14ac:dyDescent="0.3">
      <c r="A1663" s="1" t="s">
        <v>590</v>
      </c>
      <c r="B1663" s="6"/>
      <c r="C1663" s="1">
        <v>-1</v>
      </c>
      <c r="D1663" s="105">
        <v>46082</v>
      </c>
      <c r="E1663" s="105">
        <f t="shared" si="62"/>
        <v>46091</v>
      </c>
      <c r="F1663" s="105">
        <v>46090</v>
      </c>
      <c r="G1663" s="2">
        <f t="shared" si="61"/>
        <v>46091</v>
      </c>
      <c r="H1663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46077</v>
      </c>
      <c r="I1663" s="95" t="s">
        <v>1078</v>
      </c>
    </row>
    <row r="1664" spans="1:9" x14ac:dyDescent="0.3">
      <c r="A1664" s="1" t="s">
        <v>590</v>
      </c>
      <c r="B1664" s="6"/>
      <c r="C1664" s="1">
        <v>-1</v>
      </c>
      <c r="D1664" s="105">
        <v>46103</v>
      </c>
      <c r="E1664" s="105">
        <f t="shared" si="62"/>
        <v>46105</v>
      </c>
      <c r="F1664" s="105">
        <v>46104</v>
      </c>
      <c r="G1664" s="2">
        <f t="shared" si="61"/>
        <v>46105</v>
      </c>
      <c r="H1664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46077</v>
      </c>
      <c r="I1664" s="95" t="s">
        <v>1078</v>
      </c>
    </row>
    <row r="1665" spans="1:9" x14ac:dyDescent="0.3">
      <c r="A1665" s="1" t="s">
        <v>590</v>
      </c>
      <c r="B1665" s="6"/>
      <c r="C1665" s="1">
        <v>-1</v>
      </c>
      <c r="D1665" s="105">
        <v>46132</v>
      </c>
      <c r="E1665" s="105">
        <f t="shared" si="62"/>
        <v>46133</v>
      </c>
      <c r="F1665" s="105">
        <v>46132</v>
      </c>
      <c r="G1665" s="2">
        <f t="shared" si="61"/>
        <v>46133</v>
      </c>
      <c r="H1665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46077</v>
      </c>
      <c r="I1665" s="95" t="s">
        <v>1078</v>
      </c>
    </row>
    <row r="1666" spans="1:9" x14ac:dyDescent="0.3">
      <c r="A1666" s="1" t="s">
        <v>590</v>
      </c>
      <c r="B1666" s="6"/>
      <c r="C1666" s="1">
        <v>-1</v>
      </c>
      <c r="D1666" s="105">
        <v>46089</v>
      </c>
      <c r="E1666" s="105">
        <f t="shared" si="62"/>
        <v>46096</v>
      </c>
      <c r="F1666" s="105">
        <v>46095</v>
      </c>
      <c r="G1666" s="2">
        <f t="shared" si="61"/>
        <v>46096</v>
      </c>
      <c r="H1666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46077</v>
      </c>
      <c r="I1666" s="95" t="s">
        <v>1078</v>
      </c>
    </row>
    <row r="1667" spans="1:9" x14ac:dyDescent="0.3">
      <c r="A1667" s="1" t="s">
        <v>590</v>
      </c>
      <c r="B1667" s="6"/>
      <c r="C1667" s="1">
        <v>-1</v>
      </c>
      <c r="D1667" s="105">
        <v>46098</v>
      </c>
      <c r="E1667" s="105">
        <f t="shared" si="62"/>
        <v>46103</v>
      </c>
      <c r="F1667" s="105">
        <v>46102</v>
      </c>
      <c r="G1667" s="2">
        <f t="shared" si="61"/>
        <v>46103</v>
      </c>
      <c r="H1667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46077</v>
      </c>
      <c r="I1667" s="95" t="s">
        <v>1078</v>
      </c>
    </row>
    <row r="1668" spans="1:9" x14ac:dyDescent="0.3">
      <c r="A1668" s="1" t="s">
        <v>590</v>
      </c>
      <c r="B1668" s="6"/>
      <c r="C1668" s="1">
        <v>-1</v>
      </c>
      <c r="D1668" s="105">
        <v>46101</v>
      </c>
      <c r="E1668" s="105">
        <f t="shared" si="62"/>
        <v>46113</v>
      </c>
      <c r="F1668" s="105">
        <v>46112</v>
      </c>
      <c r="G1668" s="2">
        <f t="shared" si="61"/>
        <v>46113</v>
      </c>
      <c r="H1668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46077</v>
      </c>
      <c r="I1668" s="95" t="s">
        <v>1078</v>
      </c>
    </row>
    <row r="1669" spans="1:9" x14ac:dyDescent="0.3">
      <c r="A1669" s="1" t="s">
        <v>590</v>
      </c>
      <c r="B1669" s="6"/>
      <c r="C1669" s="1">
        <v>-1</v>
      </c>
      <c r="D1669" s="105">
        <v>46130</v>
      </c>
      <c r="E1669" s="105">
        <f t="shared" si="62"/>
        <v>46133</v>
      </c>
      <c r="F1669" s="105">
        <v>46132</v>
      </c>
      <c r="G1669" s="2">
        <f t="shared" si="61"/>
        <v>46133</v>
      </c>
      <c r="H1669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46077</v>
      </c>
      <c r="I1669" s="95" t="s">
        <v>1078</v>
      </c>
    </row>
    <row r="1670" spans="1:9" x14ac:dyDescent="0.3">
      <c r="A1670" s="1" t="s">
        <v>134</v>
      </c>
      <c r="B1670" s="6"/>
      <c r="C1670" s="1">
        <v>-1</v>
      </c>
      <c r="D1670" s="105">
        <v>46101</v>
      </c>
      <c r="E1670" s="105">
        <f t="shared" si="62"/>
        <v>46103</v>
      </c>
      <c r="F1670" s="105">
        <v>46102</v>
      </c>
      <c r="G1670" s="2">
        <f t="shared" si="61"/>
        <v>46103</v>
      </c>
      <c r="H1670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46078</v>
      </c>
      <c r="I1670" s="95" t="s">
        <v>1079</v>
      </c>
    </row>
    <row r="1671" spans="1:9" x14ac:dyDescent="0.3">
      <c r="A1671" s="1" t="s">
        <v>108</v>
      </c>
      <c r="B1671" s="6"/>
      <c r="C1671" s="1">
        <v>-1</v>
      </c>
      <c r="D1671" s="105">
        <v>46102</v>
      </c>
      <c r="E1671" s="105">
        <f t="shared" si="62"/>
        <v>46107</v>
      </c>
      <c r="F1671" s="105">
        <v>46106</v>
      </c>
      <c r="G1671" s="2">
        <f t="shared" si="61"/>
        <v>46107</v>
      </c>
      <c r="H1671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46078</v>
      </c>
      <c r="I1671" s="95" t="s">
        <v>1080</v>
      </c>
    </row>
    <row r="1672" spans="1:9" x14ac:dyDescent="0.3">
      <c r="A1672" s="1" t="s">
        <v>127</v>
      </c>
      <c r="B1672" s="6"/>
      <c r="C1672" s="1">
        <v>-1</v>
      </c>
      <c r="D1672" s="105">
        <v>46080</v>
      </c>
      <c r="E1672" s="105">
        <f t="shared" si="62"/>
        <v>46081</v>
      </c>
      <c r="F1672" s="105">
        <v>46080</v>
      </c>
      <c r="G1672" s="2">
        <f t="shared" si="61"/>
        <v>46081</v>
      </c>
      <c r="H1672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46078</v>
      </c>
      <c r="I1672" s="95" t="s">
        <v>1081</v>
      </c>
    </row>
    <row r="1673" spans="1:9" x14ac:dyDescent="0.3">
      <c r="A1673" s="1" t="s">
        <v>623</v>
      </c>
      <c r="B1673" s="6"/>
      <c r="C1673" s="1">
        <v>-1</v>
      </c>
      <c r="D1673" s="105">
        <v>46101</v>
      </c>
      <c r="E1673" s="105">
        <f t="shared" si="62"/>
        <v>46102</v>
      </c>
      <c r="F1673" s="105">
        <v>46101</v>
      </c>
      <c r="G1673" s="2">
        <f t="shared" si="61"/>
        <v>46102</v>
      </c>
      <c r="H1673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46078</v>
      </c>
      <c r="I1673" s="95" t="s">
        <v>1082</v>
      </c>
    </row>
    <row r="1674" spans="1:9" x14ac:dyDescent="0.3">
      <c r="A1674" s="1" t="s">
        <v>623</v>
      </c>
      <c r="B1674" s="6"/>
      <c r="C1674" s="1">
        <v>-1</v>
      </c>
      <c r="D1674" s="105">
        <v>46107</v>
      </c>
      <c r="E1674" s="105">
        <f t="shared" si="62"/>
        <v>46118</v>
      </c>
      <c r="F1674" s="105">
        <v>46117</v>
      </c>
      <c r="G1674" s="2">
        <f t="shared" si="61"/>
        <v>46118</v>
      </c>
      <c r="H1674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46078</v>
      </c>
      <c r="I1674" s="95" t="s">
        <v>1082</v>
      </c>
    </row>
    <row r="1675" spans="1:9" x14ac:dyDescent="0.3">
      <c r="A1675" s="1" t="s">
        <v>623</v>
      </c>
      <c r="B1675" s="6"/>
      <c r="C1675" s="1">
        <v>-1</v>
      </c>
      <c r="D1675" s="105">
        <v>46124</v>
      </c>
      <c r="E1675" s="105">
        <f t="shared" si="62"/>
        <v>46125</v>
      </c>
      <c r="F1675" s="105">
        <v>46124</v>
      </c>
      <c r="G1675" s="2">
        <f t="shared" si="61"/>
        <v>46125</v>
      </c>
      <c r="H1675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46078</v>
      </c>
      <c r="I1675" s="95" t="s">
        <v>1082</v>
      </c>
    </row>
    <row r="1676" spans="1:9" x14ac:dyDescent="0.3">
      <c r="A1676" s="1" t="s">
        <v>113</v>
      </c>
      <c r="B1676" s="6"/>
      <c r="C1676" s="1">
        <v>-1</v>
      </c>
      <c r="D1676" s="105">
        <v>46120</v>
      </c>
      <c r="E1676" s="105">
        <f t="shared" si="62"/>
        <v>46103</v>
      </c>
      <c r="F1676" s="105">
        <v>46102</v>
      </c>
      <c r="G1676" s="2">
        <f t="shared" si="61"/>
        <v>46103</v>
      </c>
      <c r="H1676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46078</v>
      </c>
      <c r="I1676" s="95" t="s">
        <v>1083</v>
      </c>
    </row>
    <row r="1677" spans="1:9" x14ac:dyDescent="0.3">
      <c r="A1677" s="1" t="s">
        <v>113</v>
      </c>
      <c r="B1677" s="6"/>
      <c r="C1677" s="1">
        <v>-1</v>
      </c>
      <c r="D1677" s="105">
        <v>46066</v>
      </c>
      <c r="E1677" s="105">
        <f t="shared" si="62"/>
        <v>46096</v>
      </c>
      <c r="F1677" s="105">
        <v>46095</v>
      </c>
      <c r="G1677" s="2">
        <f t="shared" si="61"/>
        <v>46096</v>
      </c>
      <c r="H1677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46078</v>
      </c>
      <c r="I1677" s="95" t="s">
        <v>1083</v>
      </c>
    </row>
    <row r="1678" spans="1:9" x14ac:dyDescent="0.3">
      <c r="A1678" s="1" t="s">
        <v>113</v>
      </c>
      <c r="B1678" s="6"/>
      <c r="C1678" s="1">
        <v>-1</v>
      </c>
      <c r="D1678" s="105">
        <v>46090</v>
      </c>
      <c r="E1678" s="105">
        <f t="shared" si="62"/>
        <v>46100</v>
      </c>
      <c r="F1678" s="105">
        <v>46099</v>
      </c>
      <c r="G1678" s="2">
        <f t="shared" si="61"/>
        <v>46100</v>
      </c>
      <c r="H1678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46078</v>
      </c>
      <c r="I1678" s="95" t="s">
        <v>1083</v>
      </c>
    </row>
    <row r="1679" spans="1:9" x14ac:dyDescent="0.3">
      <c r="A1679" s="1" t="s">
        <v>113</v>
      </c>
      <c r="B1679" s="6"/>
      <c r="C1679" s="1">
        <v>-1</v>
      </c>
      <c r="D1679" s="105">
        <v>46122</v>
      </c>
      <c r="E1679" s="105">
        <f t="shared" si="62"/>
        <v>46137.041666666599</v>
      </c>
      <c r="F1679" s="105">
        <v>46136.041666666599</v>
      </c>
      <c r="G1679" s="2">
        <f t="shared" si="61"/>
        <v>46137.041666666599</v>
      </c>
      <c r="H1679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46078</v>
      </c>
      <c r="I1679" s="95" t="s">
        <v>1083</v>
      </c>
    </row>
    <row r="1680" spans="1:9" x14ac:dyDescent="0.3">
      <c r="A1680" s="1" t="s">
        <v>113</v>
      </c>
      <c r="B1680" s="6"/>
      <c r="C1680" s="1">
        <v>-1</v>
      </c>
      <c r="D1680" s="105">
        <v>46102</v>
      </c>
      <c r="E1680" s="105">
        <f t="shared" si="62"/>
        <v>46104</v>
      </c>
      <c r="F1680" s="105">
        <v>46103</v>
      </c>
      <c r="G1680" s="2">
        <f t="shared" si="61"/>
        <v>46104</v>
      </c>
      <c r="H1680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46078</v>
      </c>
      <c r="I1680" s="95" t="s">
        <v>1083</v>
      </c>
    </row>
    <row r="1681" spans="1:9" x14ac:dyDescent="0.3">
      <c r="A1681" s="1" t="s">
        <v>113</v>
      </c>
      <c r="B1681" s="6"/>
      <c r="C1681" s="1">
        <v>-1</v>
      </c>
      <c r="D1681" s="105">
        <v>46106</v>
      </c>
      <c r="E1681" s="105">
        <f t="shared" si="62"/>
        <v>46107</v>
      </c>
      <c r="F1681" s="105">
        <v>46106</v>
      </c>
      <c r="G1681" s="2">
        <f t="shared" si="61"/>
        <v>46107</v>
      </c>
      <c r="H1681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46078</v>
      </c>
      <c r="I1681" s="95" t="s">
        <v>1083</v>
      </c>
    </row>
    <row r="1682" spans="1:9" x14ac:dyDescent="0.3">
      <c r="A1682" s="1" t="s">
        <v>113</v>
      </c>
      <c r="B1682" s="6"/>
      <c r="C1682" s="1">
        <v>-1</v>
      </c>
      <c r="D1682" s="105">
        <v>46109</v>
      </c>
      <c r="E1682" s="105">
        <f t="shared" si="62"/>
        <v>46111</v>
      </c>
      <c r="F1682" s="105">
        <v>46110</v>
      </c>
      <c r="G1682" s="2">
        <f t="shared" si="61"/>
        <v>46111</v>
      </c>
      <c r="H1682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46078</v>
      </c>
      <c r="I1682" s="95" t="s">
        <v>1083</v>
      </c>
    </row>
    <row r="1683" spans="1:9" x14ac:dyDescent="0.3">
      <c r="A1683" s="1" t="s">
        <v>113</v>
      </c>
      <c r="B1683" s="6"/>
      <c r="C1683" s="1">
        <v>-1</v>
      </c>
      <c r="D1683" s="105">
        <v>46112</v>
      </c>
      <c r="E1683" s="105">
        <f t="shared" si="62"/>
        <v>46114</v>
      </c>
      <c r="F1683" s="105">
        <v>46113</v>
      </c>
      <c r="G1683" s="2">
        <f t="shared" si="61"/>
        <v>46114</v>
      </c>
      <c r="H1683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46078</v>
      </c>
      <c r="I1683" s="95" t="s">
        <v>1083</v>
      </c>
    </row>
    <row r="1684" spans="1:9" x14ac:dyDescent="0.3">
      <c r="A1684" s="1" t="s">
        <v>118</v>
      </c>
      <c r="B1684" s="6"/>
      <c r="C1684" s="1">
        <v>-1</v>
      </c>
      <c r="D1684" s="105">
        <v>46151.041666666599</v>
      </c>
      <c r="E1684" s="105">
        <f t="shared" si="62"/>
        <v>46167.041666666599</v>
      </c>
      <c r="F1684" s="105">
        <v>46166.041666666599</v>
      </c>
      <c r="G1684" s="2">
        <f t="shared" si="61"/>
        <v>46167.041666666599</v>
      </c>
      <c r="H1684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46078</v>
      </c>
      <c r="I1684" s="95" t="s">
        <v>1084</v>
      </c>
    </row>
    <row r="1685" spans="1:9" x14ac:dyDescent="0.3">
      <c r="A1685" s="1" t="s">
        <v>303</v>
      </c>
      <c r="B1685" s="6"/>
      <c r="C1685" s="1">
        <v>-1</v>
      </c>
      <c r="D1685" s="105">
        <v>46105</v>
      </c>
      <c r="E1685" s="105">
        <f t="shared" si="62"/>
        <v>46109</v>
      </c>
      <c r="F1685" s="105">
        <v>46108</v>
      </c>
      <c r="G1685" s="2">
        <f t="shared" si="61"/>
        <v>46109</v>
      </c>
      <c r="H1685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46081</v>
      </c>
      <c r="I1685" s="95" t="s">
        <v>1085</v>
      </c>
    </row>
    <row r="1686" spans="1:9" x14ac:dyDescent="0.3">
      <c r="A1686" s="1" t="s">
        <v>66</v>
      </c>
      <c r="B1686" s="6"/>
      <c r="C1686" s="1">
        <v>-1</v>
      </c>
      <c r="D1686" s="105">
        <v>46093</v>
      </c>
      <c r="E1686" s="105">
        <f t="shared" si="62"/>
        <v>46096</v>
      </c>
      <c r="F1686" s="105">
        <v>46095</v>
      </c>
      <c r="G1686" s="2">
        <f t="shared" si="61"/>
        <v>46096</v>
      </c>
      <c r="H1686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46081</v>
      </c>
      <c r="I1686" s="95" t="s">
        <v>1085</v>
      </c>
    </row>
    <row r="1687" spans="1:9" x14ac:dyDescent="0.3">
      <c r="A1687" s="1" t="s">
        <v>96</v>
      </c>
      <c r="B1687" s="6"/>
      <c r="C1687" s="1">
        <v>-1</v>
      </c>
      <c r="D1687" s="105">
        <v>46109</v>
      </c>
      <c r="E1687" s="105">
        <f t="shared" si="62"/>
        <v>46110</v>
      </c>
      <c r="F1687" s="105">
        <v>46109</v>
      </c>
      <c r="G1687" s="2">
        <f t="shared" si="61"/>
        <v>46110</v>
      </c>
      <c r="H1687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46081</v>
      </c>
      <c r="I1687" s="95" t="s">
        <v>1086</v>
      </c>
    </row>
    <row r="1688" spans="1:9" x14ac:dyDescent="0.3">
      <c r="A1688" s="1" t="s">
        <v>96</v>
      </c>
      <c r="B1688" s="6"/>
      <c r="C1688" s="1">
        <v>-1</v>
      </c>
      <c r="D1688" s="105">
        <v>46113</v>
      </c>
      <c r="E1688" s="105">
        <f t="shared" si="62"/>
        <v>46116</v>
      </c>
      <c r="F1688" s="105">
        <v>46115</v>
      </c>
      <c r="G1688" s="2">
        <f t="shared" si="61"/>
        <v>46116</v>
      </c>
      <c r="H1688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46081</v>
      </c>
      <c r="I1688" s="95" t="s">
        <v>1086</v>
      </c>
    </row>
    <row r="1689" spans="1:9" x14ac:dyDescent="0.3">
      <c r="A1689" s="1" t="s">
        <v>96</v>
      </c>
      <c r="B1689" s="6"/>
      <c r="C1689" s="1">
        <v>-1</v>
      </c>
      <c r="D1689" s="105">
        <v>46121</v>
      </c>
      <c r="E1689" s="105">
        <f t="shared" si="62"/>
        <v>46126</v>
      </c>
      <c r="F1689" s="105">
        <v>46125</v>
      </c>
      <c r="G1689" s="2">
        <f t="shared" si="61"/>
        <v>46126</v>
      </c>
      <c r="H1689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46081</v>
      </c>
      <c r="I1689" s="95" t="s">
        <v>1086</v>
      </c>
    </row>
    <row r="1690" spans="1:9" x14ac:dyDescent="0.3">
      <c r="A1690" s="1" t="s">
        <v>96</v>
      </c>
      <c r="B1690" s="6"/>
      <c r="C1690" s="1">
        <v>-1</v>
      </c>
      <c r="D1690" s="105">
        <v>46128</v>
      </c>
      <c r="E1690" s="105">
        <f t="shared" si="62"/>
        <v>46129</v>
      </c>
      <c r="F1690" s="105">
        <v>46128</v>
      </c>
      <c r="G1690" s="2">
        <f t="shared" si="61"/>
        <v>46129</v>
      </c>
      <c r="H1690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46081</v>
      </c>
      <c r="I1690" s="95" t="s">
        <v>1086</v>
      </c>
    </row>
    <row r="1691" spans="1:9" x14ac:dyDescent="0.3">
      <c r="A1691" s="1" t="s">
        <v>92</v>
      </c>
      <c r="B1691" s="6"/>
      <c r="C1691" s="1">
        <v>-1</v>
      </c>
      <c r="D1691" s="105">
        <v>46088</v>
      </c>
      <c r="E1691" s="105">
        <f t="shared" si="62"/>
        <v>46089</v>
      </c>
      <c r="F1691" s="105">
        <v>46088</v>
      </c>
      <c r="G1691" s="2">
        <f t="shared" si="61"/>
        <v>46089</v>
      </c>
      <c r="H1691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46079</v>
      </c>
      <c r="I1691" s="95" t="s">
        <v>1087</v>
      </c>
    </row>
    <row r="1692" spans="1:9" x14ac:dyDescent="0.3">
      <c r="A1692" s="1" t="s">
        <v>87</v>
      </c>
      <c r="B1692" s="6"/>
      <c r="C1692" s="1">
        <v>-1</v>
      </c>
      <c r="D1692" s="105">
        <v>46085</v>
      </c>
      <c r="E1692" s="105">
        <f t="shared" si="62"/>
        <v>46098</v>
      </c>
      <c r="F1692" s="105">
        <v>46097</v>
      </c>
      <c r="G1692" s="2">
        <f t="shared" si="61"/>
        <v>46098</v>
      </c>
      <c r="H1692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46079</v>
      </c>
      <c r="I1692" s="95" t="s">
        <v>1088</v>
      </c>
    </row>
    <row r="1693" spans="1:9" x14ac:dyDescent="0.3">
      <c r="A1693" s="1" t="s">
        <v>301</v>
      </c>
      <c r="B1693" s="6"/>
      <c r="C1693" s="1">
        <v>-1</v>
      </c>
      <c r="D1693" s="105">
        <v>46100</v>
      </c>
      <c r="E1693" s="105">
        <f t="shared" si="62"/>
        <v>46109</v>
      </c>
      <c r="F1693" s="105">
        <v>46108</v>
      </c>
      <c r="G1693" s="2">
        <f t="shared" si="61"/>
        <v>46109</v>
      </c>
      <c r="H1693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46079</v>
      </c>
      <c r="I1693" s="95" t="s">
        <v>1089</v>
      </c>
    </row>
    <row r="1694" spans="1:9" x14ac:dyDescent="0.3">
      <c r="A1694" s="1" t="s">
        <v>294</v>
      </c>
      <c r="B1694" s="6"/>
      <c r="C1694" s="1">
        <v>-1</v>
      </c>
      <c r="D1694" s="105">
        <v>46155.041666666599</v>
      </c>
      <c r="E1694" s="105">
        <f t="shared" si="62"/>
        <v>46158.041666666599</v>
      </c>
      <c r="F1694" s="105">
        <v>46157.041666666599</v>
      </c>
      <c r="G1694" s="2">
        <f t="shared" si="61"/>
        <v>46158.041666666599</v>
      </c>
      <c r="H1694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46079</v>
      </c>
      <c r="I1694" s="95" t="s">
        <v>1090</v>
      </c>
    </row>
    <row r="1695" spans="1:9" x14ac:dyDescent="0.3">
      <c r="A1695" s="1" t="s">
        <v>294</v>
      </c>
      <c r="B1695" s="6"/>
      <c r="C1695" s="1">
        <v>-1</v>
      </c>
      <c r="D1695" s="105">
        <v>46109</v>
      </c>
      <c r="E1695" s="105">
        <f t="shared" si="62"/>
        <v>46110</v>
      </c>
      <c r="F1695" s="105">
        <v>46109</v>
      </c>
      <c r="G1695" s="2">
        <f t="shared" si="61"/>
        <v>46110</v>
      </c>
      <c r="H1695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46079</v>
      </c>
      <c r="I1695" s="95" t="s">
        <v>1090</v>
      </c>
    </row>
    <row r="1696" spans="1:9" x14ac:dyDescent="0.3">
      <c r="A1696" s="1" t="s">
        <v>93</v>
      </c>
      <c r="B1696" s="6"/>
      <c r="C1696" s="1">
        <v>-1</v>
      </c>
      <c r="D1696" s="105">
        <v>46104</v>
      </c>
      <c r="E1696" s="105">
        <f t="shared" si="62"/>
        <v>46105</v>
      </c>
      <c r="F1696" s="105">
        <v>46104</v>
      </c>
      <c r="G1696" s="2">
        <f t="shared" si="61"/>
        <v>46105</v>
      </c>
      <c r="H1696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46079</v>
      </c>
      <c r="I1696" s="95" t="s">
        <v>1091</v>
      </c>
    </row>
    <row r="1697" spans="1:9" x14ac:dyDescent="0.3">
      <c r="A1697" s="1" t="s">
        <v>95</v>
      </c>
      <c r="B1697" s="6"/>
      <c r="C1697" s="1">
        <v>-1</v>
      </c>
      <c r="D1697" s="105">
        <v>46085</v>
      </c>
      <c r="E1697" s="105">
        <f t="shared" si="62"/>
        <v>46089</v>
      </c>
      <c r="F1697" s="105">
        <v>46088</v>
      </c>
      <c r="G1697" s="2">
        <f t="shared" si="61"/>
        <v>46089</v>
      </c>
      <c r="H1697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46079</v>
      </c>
      <c r="I1697" s="95" t="s">
        <v>1092</v>
      </c>
    </row>
    <row r="1698" spans="1:9" x14ac:dyDescent="0.3">
      <c r="A1698" s="1" t="s">
        <v>78</v>
      </c>
      <c r="B1698" s="6"/>
      <c r="C1698" s="1">
        <v>-1</v>
      </c>
      <c r="D1698" s="105">
        <v>46085</v>
      </c>
      <c r="E1698" s="105">
        <f t="shared" si="62"/>
        <v>46093</v>
      </c>
      <c r="F1698" s="105">
        <v>46092</v>
      </c>
      <c r="G1698" s="2">
        <f t="shared" si="61"/>
        <v>46093</v>
      </c>
      <c r="H1698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46079</v>
      </c>
      <c r="I1698" s="95" t="s">
        <v>1093</v>
      </c>
    </row>
    <row r="1699" spans="1:9" x14ac:dyDescent="0.3">
      <c r="A1699" s="1" t="s">
        <v>85</v>
      </c>
      <c r="B1699" s="6"/>
      <c r="C1699" s="1">
        <v>-1</v>
      </c>
      <c r="D1699" s="105">
        <v>46165.041666666599</v>
      </c>
      <c r="E1699" s="105">
        <f t="shared" si="62"/>
        <v>46171.041666666599</v>
      </c>
      <c r="F1699" s="105">
        <v>46170.041666666599</v>
      </c>
      <c r="G1699" s="2">
        <f t="shared" si="61"/>
        <v>46171.041666666599</v>
      </c>
      <c r="H1699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46079</v>
      </c>
      <c r="I1699" s="95" t="s">
        <v>1094</v>
      </c>
    </row>
    <row r="1700" spans="1:9" x14ac:dyDescent="0.3">
      <c r="A1700" s="1" t="s">
        <v>66</v>
      </c>
      <c r="B1700" s="6"/>
      <c r="C1700" s="1">
        <v>-1</v>
      </c>
      <c r="D1700" s="105">
        <v>46104</v>
      </c>
      <c r="E1700" s="105">
        <f t="shared" si="62"/>
        <v>46105</v>
      </c>
      <c r="F1700" s="105">
        <v>46104</v>
      </c>
      <c r="G1700" s="2">
        <f t="shared" ref="G1700:G1763" si="63">F1700+1</f>
        <v>46105</v>
      </c>
      <c r="H1700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46078</v>
      </c>
      <c r="I1700" s="95" t="s">
        <v>1095</v>
      </c>
    </row>
    <row r="1701" spans="1:9" x14ac:dyDescent="0.3">
      <c r="A1701" s="1" t="s">
        <v>301</v>
      </c>
      <c r="B1701" s="6"/>
      <c r="C1701" s="1">
        <v>-1</v>
      </c>
      <c r="D1701" s="105">
        <v>46113</v>
      </c>
      <c r="E1701" s="105">
        <f t="shared" si="62"/>
        <v>46123</v>
      </c>
      <c r="F1701" s="105">
        <v>46122</v>
      </c>
      <c r="G1701" s="2">
        <f t="shared" si="63"/>
        <v>46123</v>
      </c>
      <c r="H1701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46078</v>
      </c>
      <c r="I1701" s="95" t="s">
        <v>1096</v>
      </c>
    </row>
    <row r="1702" spans="1:9" x14ac:dyDescent="0.3">
      <c r="A1702" s="1" t="s">
        <v>303</v>
      </c>
      <c r="B1702" s="6"/>
      <c r="C1702" s="1">
        <v>-1</v>
      </c>
      <c r="D1702" s="105">
        <v>46105</v>
      </c>
      <c r="E1702" s="105">
        <f t="shared" si="62"/>
        <v>46109</v>
      </c>
      <c r="F1702" s="105">
        <v>46108</v>
      </c>
      <c r="G1702" s="2">
        <f t="shared" si="63"/>
        <v>46109</v>
      </c>
      <c r="H1702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46078</v>
      </c>
      <c r="I1702" s="95" t="s">
        <v>1097</v>
      </c>
    </row>
    <row r="1703" spans="1:9" x14ac:dyDescent="0.3">
      <c r="A1703" s="1" t="s">
        <v>303</v>
      </c>
      <c r="B1703" s="6"/>
      <c r="C1703" s="1">
        <v>-1</v>
      </c>
      <c r="D1703" s="105">
        <v>46112</v>
      </c>
      <c r="E1703" s="105">
        <f t="shared" si="62"/>
        <v>46116</v>
      </c>
      <c r="F1703" s="105">
        <v>46115</v>
      </c>
      <c r="G1703" s="2">
        <f t="shared" si="63"/>
        <v>46116</v>
      </c>
      <c r="H1703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46078</v>
      </c>
      <c r="I1703" s="95" t="s">
        <v>1097</v>
      </c>
    </row>
    <row r="1704" spans="1:9" x14ac:dyDescent="0.3">
      <c r="A1704" s="1" t="s">
        <v>303</v>
      </c>
      <c r="B1704" s="6"/>
      <c r="C1704" s="1">
        <v>-1</v>
      </c>
      <c r="D1704" s="105">
        <v>46079</v>
      </c>
      <c r="E1704" s="105">
        <f t="shared" si="62"/>
        <v>46082</v>
      </c>
      <c r="F1704" s="105">
        <v>46081</v>
      </c>
      <c r="G1704" s="2">
        <f t="shared" si="63"/>
        <v>46082</v>
      </c>
      <c r="H1704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46078</v>
      </c>
      <c r="I1704" s="95" t="s">
        <v>1097</v>
      </c>
    </row>
    <row r="1705" spans="1:9" x14ac:dyDescent="0.3">
      <c r="A1705" s="1" t="s">
        <v>303</v>
      </c>
      <c r="B1705" s="6"/>
      <c r="C1705" s="1">
        <v>-1</v>
      </c>
      <c r="D1705" s="105">
        <v>46111</v>
      </c>
      <c r="E1705" s="105">
        <f t="shared" si="62"/>
        <v>46119</v>
      </c>
      <c r="F1705" s="105">
        <v>46118</v>
      </c>
      <c r="G1705" s="2">
        <f t="shared" si="63"/>
        <v>46119</v>
      </c>
      <c r="H1705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46078</v>
      </c>
      <c r="I1705" s="95" t="s">
        <v>1097</v>
      </c>
    </row>
    <row r="1706" spans="1:9" x14ac:dyDescent="0.3">
      <c r="A1706" s="1" t="s">
        <v>303</v>
      </c>
      <c r="B1706" s="6"/>
      <c r="C1706" s="1">
        <v>-1</v>
      </c>
      <c r="D1706" s="105">
        <v>46142.041666666599</v>
      </c>
      <c r="E1706" s="105">
        <f t="shared" si="62"/>
        <v>46144.041666666599</v>
      </c>
      <c r="F1706" s="105">
        <v>46143.041666666599</v>
      </c>
      <c r="G1706" s="2">
        <f t="shared" si="63"/>
        <v>46144.041666666599</v>
      </c>
      <c r="H1706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46078</v>
      </c>
      <c r="I1706" s="95" t="s">
        <v>1097</v>
      </c>
    </row>
    <row r="1707" spans="1:9" x14ac:dyDescent="0.3">
      <c r="A1707" s="1" t="s">
        <v>303</v>
      </c>
      <c r="B1707" s="6"/>
      <c r="C1707" s="1">
        <v>-1</v>
      </c>
      <c r="D1707" s="105">
        <v>46107</v>
      </c>
      <c r="E1707" s="105">
        <f t="shared" si="62"/>
        <v>46116</v>
      </c>
      <c r="F1707" s="105">
        <v>46115</v>
      </c>
      <c r="G1707" s="2">
        <f t="shared" si="63"/>
        <v>46116</v>
      </c>
      <c r="H1707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46078</v>
      </c>
      <c r="I1707" s="95" t="s">
        <v>1097</v>
      </c>
    </row>
    <row r="1708" spans="1:9" x14ac:dyDescent="0.3">
      <c r="A1708" s="1" t="s">
        <v>96</v>
      </c>
      <c r="B1708" s="6"/>
      <c r="C1708" s="1">
        <v>-1</v>
      </c>
      <c r="D1708" s="105">
        <v>46109</v>
      </c>
      <c r="E1708" s="105">
        <f t="shared" si="62"/>
        <v>46110</v>
      </c>
      <c r="F1708" s="105">
        <v>46109</v>
      </c>
      <c r="G1708" s="2">
        <f t="shared" si="63"/>
        <v>46110</v>
      </c>
      <c r="H1708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46081</v>
      </c>
      <c r="I1708" s="95" t="s">
        <v>1098</v>
      </c>
    </row>
    <row r="1709" spans="1:9" x14ac:dyDescent="0.3">
      <c r="A1709" s="1" t="s">
        <v>96</v>
      </c>
      <c r="B1709" s="6"/>
      <c r="C1709" s="1">
        <v>-1</v>
      </c>
      <c r="D1709" s="105">
        <v>46113</v>
      </c>
      <c r="E1709" s="105">
        <f t="shared" si="62"/>
        <v>46129</v>
      </c>
      <c r="F1709" s="105">
        <v>46128</v>
      </c>
      <c r="G1709" s="2">
        <f t="shared" si="63"/>
        <v>46129</v>
      </c>
      <c r="H1709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46081</v>
      </c>
      <c r="I1709" s="95" t="s">
        <v>1098</v>
      </c>
    </row>
    <row r="1710" spans="1:9" x14ac:dyDescent="0.3">
      <c r="A1710" s="1" t="s">
        <v>96</v>
      </c>
      <c r="B1710" s="6"/>
      <c r="C1710" s="1">
        <v>-1</v>
      </c>
      <c r="D1710" s="105">
        <v>46175</v>
      </c>
      <c r="E1710" s="105">
        <f t="shared" si="62"/>
        <v>46202</v>
      </c>
      <c r="F1710" s="105">
        <v>46201</v>
      </c>
      <c r="G1710" s="2">
        <f t="shared" si="63"/>
        <v>46202</v>
      </c>
      <c r="H1710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46081</v>
      </c>
      <c r="I1710" s="95" t="s">
        <v>1098</v>
      </c>
    </row>
    <row r="1711" spans="1:9" x14ac:dyDescent="0.3">
      <c r="A1711" s="1" t="s">
        <v>96</v>
      </c>
      <c r="B1711" s="6"/>
      <c r="C1711" s="1">
        <v>-1</v>
      </c>
      <c r="D1711" s="105">
        <v>46159.041666666599</v>
      </c>
      <c r="E1711" s="105">
        <f t="shared" si="62"/>
        <v>46171.041666666599</v>
      </c>
      <c r="F1711" s="105">
        <v>46170.041666666599</v>
      </c>
      <c r="G1711" s="2">
        <f t="shared" si="63"/>
        <v>46171.041666666599</v>
      </c>
      <c r="H1711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46081</v>
      </c>
      <c r="I1711" s="95" t="s">
        <v>1098</v>
      </c>
    </row>
    <row r="1712" spans="1:9" x14ac:dyDescent="0.3">
      <c r="A1712" s="1" t="s">
        <v>96</v>
      </c>
      <c r="B1712" s="6"/>
      <c r="C1712" s="1">
        <v>-1</v>
      </c>
      <c r="D1712" s="105">
        <v>46227</v>
      </c>
      <c r="E1712" s="105">
        <f t="shared" si="62"/>
        <v>46231</v>
      </c>
      <c r="F1712" s="105">
        <v>46230</v>
      </c>
      <c r="G1712" s="2">
        <f t="shared" si="63"/>
        <v>46231</v>
      </c>
      <c r="H1712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46081</v>
      </c>
      <c r="I1712" s="95" t="s">
        <v>1098</v>
      </c>
    </row>
    <row r="1713" spans="1:9" x14ac:dyDescent="0.3">
      <c r="A1713" s="1" t="s">
        <v>172</v>
      </c>
      <c r="B1713" s="6"/>
      <c r="C1713" s="1">
        <v>-1</v>
      </c>
      <c r="D1713" s="105">
        <v>46109</v>
      </c>
      <c r="E1713" s="105">
        <f t="shared" si="62"/>
        <v>46123</v>
      </c>
      <c r="F1713" s="105">
        <v>46122</v>
      </c>
      <c r="G1713" s="2">
        <f t="shared" si="63"/>
        <v>46123</v>
      </c>
      <c r="H1713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46081</v>
      </c>
      <c r="I1713" s="95" t="s">
        <v>1099</v>
      </c>
    </row>
    <row r="1714" spans="1:9" x14ac:dyDescent="0.3">
      <c r="A1714" s="1" t="s">
        <v>76</v>
      </c>
      <c r="B1714" s="6"/>
      <c r="C1714" s="1">
        <v>-1</v>
      </c>
      <c r="D1714" s="105">
        <v>46204</v>
      </c>
      <c r="E1714" s="105">
        <f t="shared" si="62"/>
        <v>46235</v>
      </c>
      <c r="F1714" s="105">
        <v>46234</v>
      </c>
      <c r="G1714" s="2">
        <f t="shared" si="63"/>
        <v>46235</v>
      </c>
      <c r="H1714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46081</v>
      </c>
      <c r="I1714" s="95" t="s">
        <v>1100</v>
      </c>
    </row>
    <row r="1715" spans="1:9" x14ac:dyDescent="0.3">
      <c r="A1715" s="1" t="s">
        <v>125</v>
      </c>
      <c r="B1715" s="6"/>
      <c r="C1715" s="1">
        <v>-1</v>
      </c>
      <c r="D1715" s="105">
        <v>46087</v>
      </c>
      <c r="E1715" s="105">
        <f t="shared" si="62"/>
        <v>46090</v>
      </c>
      <c r="F1715" s="105">
        <v>46089</v>
      </c>
      <c r="G1715" s="2">
        <f t="shared" si="63"/>
        <v>46090</v>
      </c>
      <c r="H1715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46081</v>
      </c>
      <c r="I1715" s="95" t="s">
        <v>1101</v>
      </c>
    </row>
    <row r="1716" spans="1:9" x14ac:dyDescent="0.3">
      <c r="A1716" s="1" t="s">
        <v>66</v>
      </c>
      <c r="B1716" s="6"/>
      <c r="C1716" s="1">
        <v>-1</v>
      </c>
      <c r="D1716" s="105">
        <v>46091</v>
      </c>
      <c r="E1716" s="105">
        <f t="shared" si="62"/>
        <v>46092</v>
      </c>
      <c r="F1716" s="105">
        <v>46091</v>
      </c>
      <c r="G1716" s="2">
        <f t="shared" si="63"/>
        <v>46092</v>
      </c>
      <c r="H1716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46081</v>
      </c>
      <c r="I1716" s="95" t="s">
        <v>1102</v>
      </c>
    </row>
    <row r="1717" spans="1:9" x14ac:dyDescent="0.3">
      <c r="A1717" s="1" t="s">
        <v>172</v>
      </c>
      <c r="B1717" s="6"/>
      <c r="C1717" s="1">
        <v>-1</v>
      </c>
      <c r="D1717" s="105">
        <v>46116</v>
      </c>
      <c r="E1717" s="105">
        <f t="shared" si="62"/>
        <v>46118</v>
      </c>
      <c r="F1717" s="105">
        <v>46117</v>
      </c>
      <c r="G1717" s="2">
        <f t="shared" si="63"/>
        <v>46118</v>
      </c>
      <c r="H1717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46082</v>
      </c>
      <c r="I1717" s="95" t="s">
        <v>1103</v>
      </c>
    </row>
    <row r="1718" spans="1:9" x14ac:dyDescent="0.3">
      <c r="A1718" s="1" t="s">
        <v>172</v>
      </c>
      <c r="B1718" s="6"/>
      <c r="C1718" s="1">
        <v>-1</v>
      </c>
      <c r="D1718" s="105">
        <v>46121</v>
      </c>
      <c r="E1718" s="105">
        <f t="shared" si="62"/>
        <v>46122</v>
      </c>
      <c r="F1718" s="105">
        <v>46121</v>
      </c>
      <c r="G1718" s="2">
        <f t="shared" si="63"/>
        <v>46122</v>
      </c>
      <c r="H1718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46082</v>
      </c>
      <c r="I1718" s="95" t="s">
        <v>1103</v>
      </c>
    </row>
    <row r="1719" spans="1:9" x14ac:dyDescent="0.3">
      <c r="A1719" s="1" t="s">
        <v>104</v>
      </c>
      <c r="B1719" s="6"/>
      <c r="C1719" s="1">
        <v>-1</v>
      </c>
      <c r="D1719" s="105">
        <v>46123</v>
      </c>
      <c r="E1719" s="105">
        <f t="shared" si="62"/>
        <v>46130</v>
      </c>
      <c r="F1719" s="105">
        <v>46129</v>
      </c>
      <c r="G1719" s="2">
        <f t="shared" si="63"/>
        <v>46130</v>
      </c>
      <c r="H1719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46082</v>
      </c>
      <c r="I1719" s="95" t="s">
        <v>1104</v>
      </c>
    </row>
    <row r="1720" spans="1:9" x14ac:dyDescent="0.3">
      <c r="A1720" s="1" t="s">
        <v>109</v>
      </c>
      <c r="B1720" s="6"/>
      <c r="C1720" s="1">
        <v>-1</v>
      </c>
      <c r="D1720" s="105">
        <v>46096</v>
      </c>
      <c r="E1720" s="105">
        <f t="shared" si="62"/>
        <v>46113</v>
      </c>
      <c r="F1720" s="105">
        <v>46112</v>
      </c>
      <c r="G1720" s="2">
        <f t="shared" si="63"/>
        <v>46113</v>
      </c>
      <c r="H1720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46082</v>
      </c>
      <c r="I1720" s="95" t="s">
        <v>1105</v>
      </c>
    </row>
    <row r="1721" spans="1:9" x14ac:dyDescent="0.3">
      <c r="A1721" s="1" t="s">
        <v>109</v>
      </c>
      <c r="B1721" s="6"/>
      <c r="C1721" s="1">
        <v>-1</v>
      </c>
      <c r="D1721" s="105">
        <v>46113</v>
      </c>
      <c r="E1721" s="105">
        <f t="shared" si="62"/>
        <v>46148.041666666599</v>
      </c>
      <c r="F1721" s="105">
        <v>46147.041666666599</v>
      </c>
      <c r="G1721" s="2">
        <f t="shared" si="63"/>
        <v>46148.041666666599</v>
      </c>
      <c r="H1721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46082</v>
      </c>
      <c r="I1721" s="95" t="s">
        <v>1105</v>
      </c>
    </row>
    <row r="1722" spans="1:9" x14ac:dyDescent="0.3">
      <c r="A1722" s="1" t="s">
        <v>109</v>
      </c>
      <c r="B1722" s="6"/>
      <c r="C1722" s="1">
        <v>-1</v>
      </c>
      <c r="D1722" s="105">
        <v>46204</v>
      </c>
      <c r="E1722" s="105">
        <f t="shared" si="62"/>
        <v>46250</v>
      </c>
      <c r="F1722" s="105">
        <v>46249</v>
      </c>
      <c r="G1722" s="2">
        <f t="shared" si="63"/>
        <v>46250</v>
      </c>
      <c r="H1722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46082</v>
      </c>
      <c r="I1722" s="95" t="s">
        <v>1105</v>
      </c>
    </row>
    <row r="1723" spans="1:9" x14ac:dyDescent="0.3">
      <c r="A1723" s="1" t="s">
        <v>123</v>
      </c>
      <c r="B1723" s="6"/>
      <c r="C1723" s="1">
        <v>-1</v>
      </c>
      <c r="D1723" s="105">
        <v>46141.041666666599</v>
      </c>
      <c r="E1723" s="105">
        <f t="shared" ref="E1723:E1786" si="64">G1723</f>
        <v>46148.041666666599</v>
      </c>
      <c r="F1723" s="105">
        <v>46147.041666666599</v>
      </c>
      <c r="G1723" s="2">
        <f t="shared" si="63"/>
        <v>46148.041666666599</v>
      </c>
      <c r="H1723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46082</v>
      </c>
      <c r="I1723" s="95" t="s">
        <v>1106</v>
      </c>
    </row>
    <row r="1724" spans="1:9" x14ac:dyDescent="0.3">
      <c r="A1724" s="1" t="s">
        <v>123</v>
      </c>
      <c r="B1724" s="6"/>
      <c r="C1724" s="1">
        <v>-1</v>
      </c>
      <c r="D1724" s="105">
        <v>46160.041666666599</v>
      </c>
      <c r="E1724" s="105">
        <f t="shared" si="64"/>
        <v>46167.041666666599</v>
      </c>
      <c r="F1724" s="105">
        <v>46166.041666666599</v>
      </c>
      <c r="G1724" s="2">
        <f t="shared" si="63"/>
        <v>46167.041666666599</v>
      </c>
      <c r="H1724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46082</v>
      </c>
      <c r="I1724" s="95" t="s">
        <v>1106</v>
      </c>
    </row>
    <row r="1725" spans="1:9" x14ac:dyDescent="0.3">
      <c r="A1725" s="1" t="s">
        <v>123</v>
      </c>
      <c r="B1725" s="6"/>
      <c r="C1725" s="1">
        <v>-1</v>
      </c>
      <c r="D1725" s="105">
        <v>46243</v>
      </c>
      <c r="E1725" s="105">
        <f t="shared" si="64"/>
        <v>46245</v>
      </c>
      <c r="F1725" s="105">
        <v>46244</v>
      </c>
      <c r="G1725" s="2">
        <f t="shared" si="63"/>
        <v>46245</v>
      </c>
      <c r="H1725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46082</v>
      </c>
      <c r="I1725" s="95" t="s">
        <v>1106</v>
      </c>
    </row>
    <row r="1726" spans="1:9" x14ac:dyDescent="0.3">
      <c r="A1726" s="1" t="s">
        <v>123</v>
      </c>
      <c r="B1726" s="6"/>
      <c r="C1726" s="1">
        <v>-1</v>
      </c>
      <c r="D1726" s="105">
        <v>46116</v>
      </c>
      <c r="E1726" s="105">
        <f t="shared" si="64"/>
        <v>46122</v>
      </c>
      <c r="F1726" s="105">
        <v>46121</v>
      </c>
      <c r="G1726" s="2">
        <f t="shared" si="63"/>
        <v>46122</v>
      </c>
      <c r="H1726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46082</v>
      </c>
      <c r="I1726" s="95" t="s">
        <v>1106</v>
      </c>
    </row>
    <row r="1727" spans="1:9" x14ac:dyDescent="0.3">
      <c r="A1727" s="1" t="s">
        <v>123</v>
      </c>
      <c r="B1727" s="6"/>
      <c r="C1727" s="1">
        <v>-1</v>
      </c>
      <c r="D1727" s="105">
        <v>46138.041666666599</v>
      </c>
      <c r="E1727" s="105">
        <f t="shared" si="64"/>
        <v>46141.041666666599</v>
      </c>
      <c r="F1727" s="105">
        <v>46140.041666666599</v>
      </c>
      <c r="G1727" s="2">
        <f t="shared" si="63"/>
        <v>46141.041666666599</v>
      </c>
      <c r="H1727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46082</v>
      </c>
      <c r="I1727" s="95" t="s">
        <v>1106</v>
      </c>
    </row>
    <row r="1728" spans="1:9" x14ac:dyDescent="0.3">
      <c r="A1728" s="1" t="s">
        <v>291</v>
      </c>
      <c r="B1728" s="6"/>
      <c r="C1728" s="1">
        <v>-1</v>
      </c>
      <c r="D1728" s="105">
        <v>46118</v>
      </c>
      <c r="E1728" s="105">
        <f t="shared" si="64"/>
        <v>46120</v>
      </c>
      <c r="F1728" s="105">
        <v>46119</v>
      </c>
      <c r="G1728" s="2">
        <f t="shared" si="63"/>
        <v>46120</v>
      </c>
      <c r="H1728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46082</v>
      </c>
      <c r="I1728" s="95" t="s">
        <v>1107</v>
      </c>
    </row>
    <row r="1729" spans="1:9" x14ac:dyDescent="0.3">
      <c r="A1729" s="1" t="s">
        <v>134</v>
      </c>
      <c r="B1729" s="6"/>
      <c r="C1729" s="1">
        <v>-1</v>
      </c>
      <c r="D1729" s="105">
        <v>46088</v>
      </c>
      <c r="E1729" s="105">
        <f t="shared" si="64"/>
        <v>46134</v>
      </c>
      <c r="F1729" s="105">
        <v>46133</v>
      </c>
      <c r="G1729" s="2">
        <f t="shared" si="63"/>
        <v>46134</v>
      </c>
      <c r="H1729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46082</v>
      </c>
      <c r="I1729" s="95" t="s">
        <v>1108</v>
      </c>
    </row>
    <row r="1730" spans="1:9" x14ac:dyDescent="0.3">
      <c r="A1730" s="1" t="s">
        <v>51</v>
      </c>
      <c r="B1730" s="6"/>
      <c r="C1730" s="1">
        <v>-1</v>
      </c>
      <c r="D1730" s="105">
        <v>46274</v>
      </c>
      <c r="E1730" s="105">
        <f t="shared" si="64"/>
        <v>46281</v>
      </c>
      <c r="F1730" s="105">
        <v>46280</v>
      </c>
      <c r="G1730" s="2">
        <f t="shared" si="63"/>
        <v>46281</v>
      </c>
      <c r="H1730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46083</v>
      </c>
      <c r="I1730" s="95" t="s">
        <v>1109</v>
      </c>
    </row>
    <row r="1731" spans="1:9" x14ac:dyDescent="0.3">
      <c r="A1731" s="1" t="s">
        <v>95</v>
      </c>
      <c r="B1731" s="6"/>
      <c r="C1731" s="1">
        <v>-1</v>
      </c>
      <c r="D1731" s="105">
        <v>46091</v>
      </c>
      <c r="E1731" s="105">
        <f t="shared" si="64"/>
        <v>46096</v>
      </c>
      <c r="F1731" s="105">
        <v>46095</v>
      </c>
      <c r="G1731" s="2">
        <f t="shared" si="63"/>
        <v>46096</v>
      </c>
      <c r="H1731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46083</v>
      </c>
      <c r="I1731" s="95" t="s">
        <v>1110</v>
      </c>
    </row>
    <row r="1732" spans="1:9" x14ac:dyDescent="0.3">
      <c r="A1732" s="1" t="s">
        <v>96</v>
      </c>
      <c r="B1732" s="6"/>
      <c r="C1732" s="1">
        <v>-1</v>
      </c>
      <c r="D1732" s="105">
        <v>46125</v>
      </c>
      <c r="E1732" s="105">
        <f t="shared" si="64"/>
        <v>46127</v>
      </c>
      <c r="F1732" s="105">
        <v>46126</v>
      </c>
      <c r="G1732" s="2">
        <f t="shared" si="63"/>
        <v>46127</v>
      </c>
      <c r="H1732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46083</v>
      </c>
      <c r="I1732" s="95" t="s">
        <v>1111</v>
      </c>
    </row>
    <row r="1733" spans="1:9" x14ac:dyDescent="0.3">
      <c r="A1733" s="1" t="s">
        <v>301</v>
      </c>
      <c r="B1733" s="6"/>
      <c r="C1733" s="1">
        <v>-1</v>
      </c>
      <c r="D1733" s="105">
        <v>46143.041666666599</v>
      </c>
      <c r="E1733" s="105">
        <f t="shared" si="64"/>
        <v>46158.041666666599</v>
      </c>
      <c r="F1733" s="105">
        <v>46157.041666666599</v>
      </c>
      <c r="G1733" s="2">
        <f t="shared" si="63"/>
        <v>46158.041666666599</v>
      </c>
      <c r="H1733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46083</v>
      </c>
      <c r="I1733" s="95" t="s">
        <v>1112</v>
      </c>
    </row>
    <row r="1734" spans="1:9" x14ac:dyDescent="0.3">
      <c r="A1734" s="1" t="s">
        <v>133</v>
      </c>
      <c r="B1734" s="6"/>
      <c r="C1734" s="1">
        <v>-1</v>
      </c>
      <c r="D1734" s="105">
        <v>46094</v>
      </c>
      <c r="E1734" s="105">
        <f t="shared" si="64"/>
        <v>46097</v>
      </c>
      <c r="F1734" s="105">
        <v>46096</v>
      </c>
      <c r="G1734" s="2">
        <f t="shared" si="63"/>
        <v>46097</v>
      </c>
      <c r="H1734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46087</v>
      </c>
      <c r="I1734" s="95" t="s">
        <v>1113</v>
      </c>
    </row>
    <row r="1735" spans="1:9" x14ac:dyDescent="0.3">
      <c r="A1735" s="1" t="s">
        <v>308</v>
      </c>
      <c r="B1735" s="6"/>
      <c r="C1735" s="1">
        <v>-1</v>
      </c>
      <c r="D1735" s="105">
        <v>46091</v>
      </c>
      <c r="E1735" s="105">
        <f t="shared" si="64"/>
        <v>46095</v>
      </c>
      <c r="F1735" s="105">
        <v>46094</v>
      </c>
      <c r="G1735" s="2">
        <f t="shared" si="63"/>
        <v>46095</v>
      </c>
      <c r="H1735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46087</v>
      </c>
      <c r="I1735" s="95" t="s">
        <v>1114</v>
      </c>
    </row>
    <row r="1736" spans="1:9" x14ac:dyDescent="0.3">
      <c r="A1736" s="1" t="s">
        <v>108</v>
      </c>
      <c r="B1736" s="6"/>
      <c r="C1736" s="1">
        <v>-1</v>
      </c>
      <c r="D1736" s="105">
        <v>46091</v>
      </c>
      <c r="E1736" s="105">
        <f t="shared" si="64"/>
        <v>46095</v>
      </c>
      <c r="F1736" s="105">
        <v>46094</v>
      </c>
      <c r="G1736" s="2">
        <f t="shared" si="63"/>
        <v>46095</v>
      </c>
      <c r="H1736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46087</v>
      </c>
      <c r="I1736" s="95" t="s">
        <v>1114</v>
      </c>
    </row>
    <row r="1737" spans="1:9" x14ac:dyDescent="0.3">
      <c r="A1737" s="1" t="s">
        <v>301</v>
      </c>
      <c r="B1737" s="6"/>
      <c r="C1737" s="1">
        <v>-1</v>
      </c>
      <c r="D1737" s="105">
        <v>46100</v>
      </c>
      <c r="E1737" s="105">
        <f t="shared" si="64"/>
        <v>46109</v>
      </c>
      <c r="F1737" s="105">
        <v>46108</v>
      </c>
      <c r="G1737" s="2">
        <f t="shared" si="63"/>
        <v>46109</v>
      </c>
      <c r="H1737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46087</v>
      </c>
      <c r="I1737" s="95" t="s">
        <v>1115</v>
      </c>
    </row>
    <row r="1738" spans="1:9" x14ac:dyDescent="0.3">
      <c r="A1738" s="1" t="s">
        <v>125</v>
      </c>
      <c r="B1738" s="6"/>
      <c r="C1738" s="1">
        <v>-1</v>
      </c>
      <c r="D1738" s="105">
        <v>46113</v>
      </c>
      <c r="E1738" s="105">
        <f t="shared" si="64"/>
        <v>46118</v>
      </c>
      <c r="F1738" s="105">
        <v>46117</v>
      </c>
      <c r="G1738" s="2">
        <f t="shared" si="63"/>
        <v>46118</v>
      </c>
      <c r="H1738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46086</v>
      </c>
      <c r="I1738" s="95" t="s">
        <v>1116</v>
      </c>
    </row>
    <row r="1739" spans="1:9" x14ac:dyDescent="0.3">
      <c r="A1739" s="1" t="s">
        <v>67</v>
      </c>
      <c r="B1739" s="6"/>
      <c r="C1739" s="1">
        <v>-1</v>
      </c>
      <c r="D1739" s="105">
        <v>46096</v>
      </c>
      <c r="E1739" s="105">
        <f t="shared" si="64"/>
        <v>46097</v>
      </c>
      <c r="F1739" s="105">
        <v>46096</v>
      </c>
      <c r="G1739" s="2">
        <f t="shared" si="63"/>
        <v>46097</v>
      </c>
      <c r="H1739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46086</v>
      </c>
      <c r="I1739" s="95" t="s">
        <v>1117</v>
      </c>
    </row>
    <row r="1740" spans="1:9" x14ac:dyDescent="0.3">
      <c r="A1740" s="1" t="s">
        <v>67</v>
      </c>
      <c r="B1740" s="6"/>
      <c r="C1740" s="1">
        <v>-1</v>
      </c>
      <c r="D1740" s="105">
        <v>46137.041666666599</v>
      </c>
      <c r="E1740" s="105">
        <f t="shared" si="64"/>
        <v>46139.041666666599</v>
      </c>
      <c r="F1740" s="105">
        <v>46138.041666666599</v>
      </c>
      <c r="G1740" s="2">
        <f t="shared" si="63"/>
        <v>46139.041666666599</v>
      </c>
      <c r="H1740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46086</v>
      </c>
      <c r="I1740" s="95" t="s">
        <v>1117</v>
      </c>
    </row>
    <row r="1741" spans="1:9" x14ac:dyDescent="0.3">
      <c r="A1741" s="1" t="s">
        <v>67</v>
      </c>
      <c r="B1741" s="6"/>
      <c r="C1741" s="1">
        <v>-1</v>
      </c>
      <c r="D1741" s="105">
        <v>46171.041666666599</v>
      </c>
      <c r="E1741" s="105">
        <f t="shared" si="64"/>
        <v>46178</v>
      </c>
      <c r="F1741" s="105">
        <v>46177</v>
      </c>
      <c r="G1741" s="2">
        <f t="shared" si="63"/>
        <v>46178</v>
      </c>
      <c r="H1741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46086</v>
      </c>
      <c r="I1741" s="95" t="s">
        <v>1117</v>
      </c>
    </row>
    <row r="1742" spans="1:9" x14ac:dyDescent="0.3">
      <c r="A1742" s="1" t="s">
        <v>121</v>
      </c>
      <c r="B1742" s="6"/>
      <c r="C1742" s="1">
        <v>-1</v>
      </c>
      <c r="D1742" s="105">
        <v>46089</v>
      </c>
      <c r="E1742" s="105">
        <f t="shared" si="64"/>
        <v>46090</v>
      </c>
      <c r="F1742" s="105">
        <v>46089</v>
      </c>
      <c r="G1742" s="2">
        <f t="shared" si="63"/>
        <v>46090</v>
      </c>
      <c r="H1742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46086</v>
      </c>
      <c r="I1742" s="95" t="s">
        <v>1118</v>
      </c>
    </row>
    <row r="1743" spans="1:9" x14ac:dyDescent="0.3">
      <c r="A1743" s="1" t="s">
        <v>93</v>
      </c>
      <c r="B1743" s="6"/>
      <c r="C1743" s="1">
        <v>-1</v>
      </c>
      <c r="D1743" s="105">
        <v>46280</v>
      </c>
      <c r="E1743" s="105">
        <f t="shared" si="64"/>
        <v>46286</v>
      </c>
      <c r="F1743" s="105">
        <v>46285</v>
      </c>
      <c r="G1743" s="2">
        <f t="shared" si="63"/>
        <v>46286</v>
      </c>
      <c r="H1743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46086</v>
      </c>
      <c r="I1743" s="95" t="s">
        <v>1119</v>
      </c>
    </row>
    <row r="1744" spans="1:9" x14ac:dyDescent="0.3">
      <c r="A1744" s="1" t="s">
        <v>78</v>
      </c>
      <c r="B1744" s="6"/>
      <c r="C1744" s="1">
        <v>-1</v>
      </c>
      <c r="D1744" s="105">
        <v>46091</v>
      </c>
      <c r="E1744" s="105">
        <f t="shared" si="64"/>
        <v>46092</v>
      </c>
      <c r="F1744" s="105">
        <v>46091</v>
      </c>
      <c r="G1744" s="2">
        <f t="shared" si="63"/>
        <v>46092</v>
      </c>
      <c r="H1744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46085</v>
      </c>
      <c r="I1744" s="95" t="s">
        <v>1120</v>
      </c>
    </row>
    <row r="1745" spans="1:9" x14ac:dyDescent="0.3">
      <c r="A1745" s="1" t="s">
        <v>76</v>
      </c>
      <c r="B1745" s="6"/>
      <c r="C1745" s="1">
        <v>-1</v>
      </c>
      <c r="D1745" s="105">
        <v>46089</v>
      </c>
      <c r="E1745" s="105">
        <f t="shared" si="64"/>
        <v>46095</v>
      </c>
      <c r="F1745" s="105">
        <v>46094</v>
      </c>
      <c r="G1745" s="2">
        <f t="shared" si="63"/>
        <v>46095</v>
      </c>
      <c r="H1745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46085</v>
      </c>
      <c r="I1745" s="95" t="s">
        <v>1120</v>
      </c>
    </row>
    <row r="1746" spans="1:9" x14ac:dyDescent="0.3">
      <c r="A1746" s="1" t="s">
        <v>125</v>
      </c>
      <c r="B1746" s="6"/>
      <c r="C1746" s="1">
        <v>-1</v>
      </c>
      <c r="D1746" s="105">
        <v>46096</v>
      </c>
      <c r="E1746" s="105">
        <f t="shared" si="64"/>
        <v>46102</v>
      </c>
      <c r="F1746" s="105">
        <v>46101</v>
      </c>
      <c r="G1746" s="2">
        <f t="shared" si="63"/>
        <v>46102</v>
      </c>
      <c r="H1746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46085</v>
      </c>
      <c r="I1746" s="95" t="s">
        <v>1121</v>
      </c>
    </row>
    <row r="1747" spans="1:9" x14ac:dyDescent="0.3">
      <c r="A1747" s="1" t="s">
        <v>295</v>
      </c>
      <c r="B1747" s="6"/>
      <c r="C1747" s="1">
        <v>-1</v>
      </c>
      <c r="D1747" s="105">
        <v>46102</v>
      </c>
      <c r="E1747" s="105">
        <f t="shared" si="64"/>
        <v>46105</v>
      </c>
      <c r="F1747" s="105">
        <v>46104</v>
      </c>
      <c r="G1747" s="2">
        <f t="shared" si="63"/>
        <v>46105</v>
      </c>
      <c r="H1747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46084</v>
      </c>
      <c r="I1747" s="95" t="s">
        <v>1122</v>
      </c>
    </row>
    <row r="1748" spans="1:9" x14ac:dyDescent="0.3">
      <c r="A1748" s="1" t="s">
        <v>295</v>
      </c>
      <c r="B1748" s="6"/>
      <c r="C1748" s="1">
        <v>-1</v>
      </c>
      <c r="D1748" s="105">
        <v>46113</v>
      </c>
      <c r="E1748" s="105">
        <f t="shared" si="64"/>
        <v>46115</v>
      </c>
      <c r="F1748" s="105">
        <v>46114</v>
      </c>
      <c r="G1748" s="2">
        <f t="shared" si="63"/>
        <v>46115</v>
      </c>
      <c r="H1748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46084</v>
      </c>
      <c r="I1748" s="95" t="s">
        <v>1122</v>
      </c>
    </row>
    <row r="1749" spans="1:9" x14ac:dyDescent="0.3">
      <c r="A1749" s="1" t="s">
        <v>66</v>
      </c>
      <c r="B1749" s="6"/>
      <c r="C1749" s="1">
        <v>-1</v>
      </c>
      <c r="D1749" s="105">
        <v>46089</v>
      </c>
      <c r="E1749" s="105">
        <f t="shared" si="64"/>
        <v>46091</v>
      </c>
      <c r="F1749" s="105">
        <v>46090</v>
      </c>
      <c r="G1749" s="2">
        <f t="shared" si="63"/>
        <v>46091</v>
      </c>
      <c r="H1749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46084</v>
      </c>
      <c r="I1749" s="95" t="s">
        <v>1123</v>
      </c>
    </row>
    <row r="1750" spans="1:9" x14ac:dyDescent="0.3">
      <c r="A1750" s="1" t="s">
        <v>59</v>
      </c>
      <c r="B1750" s="6"/>
      <c r="C1750" s="1">
        <v>-1</v>
      </c>
      <c r="D1750" s="105">
        <v>46093</v>
      </c>
      <c r="E1750" s="105">
        <f t="shared" si="64"/>
        <v>46097</v>
      </c>
      <c r="F1750" s="105">
        <v>46096</v>
      </c>
      <c r="G1750" s="2">
        <f t="shared" si="63"/>
        <v>46097</v>
      </c>
      <c r="H1750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46084</v>
      </c>
      <c r="I1750" s="95" t="s">
        <v>1124</v>
      </c>
    </row>
    <row r="1751" spans="1:9" x14ac:dyDescent="0.3">
      <c r="A1751" s="1" t="s">
        <v>51</v>
      </c>
      <c r="B1751" s="6"/>
      <c r="C1751" s="1">
        <v>-1</v>
      </c>
      <c r="D1751" s="105">
        <v>46281</v>
      </c>
      <c r="E1751" s="105">
        <f t="shared" si="64"/>
        <v>46287</v>
      </c>
      <c r="F1751" s="105">
        <v>46286</v>
      </c>
      <c r="G1751" s="2">
        <f t="shared" si="63"/>
        <v>46287</v>
      </c>
      <c r="H1751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46084</v>
      </c>
      <c r="I1751" s="95" t="s">
        <v>1125</v>
      </c>
    </row>
    <row r="1752" spans="1:9" x14ac:dyDescent="0.3">
      <c r="A1752" s="1" t="s">
        <v>303</v>
      </c>
      <c r="B1752" s="6"/>
      <c r="C1752" s="1">
        <v>-1</v>
      </c>
      <c r="D1752" s="105">
        <v>46119</v>
      </c>
      <c r="E1752" s="105">
        <f t="shared" si="64"/>
        <v>46120</v>
      </c>
      <c r="F1752" s="105">
        <v>46119</v>
      </c>
      <c r="G1752" s="2">
        <f t="shared" si="63"/>
        <v>46120</v>
      </c>
      <c r="H1752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46083</v>
      </c>
      <c r="I1752" s="95" t="s">
        <v>1126</v>
      </c>
    </row>
    <row r="1753" spans="1:9" x14ac:dyDescent="0.3">
      <c r="A1753" s="1" t="s">
        <v>303</v>
      </c>
      <c r="B1753" s="6"/>
      <c r="C1753" s="1">
        <v>-1</v>
      </c>
      <c r="D1753" s="105">
        <v>46246</v>
      </c>
      <c r="E1753" s="105">
        <f t="shared" si="64"/>
        <v>46247</v>
      </c>
      <c r="F1753" s="105">
        <v>46246</v>
      </c>
      <c r="G1753" s="2">
        <f t="shared" si="63"/>
        <v>46247</v>
      </c>
      <c r="H1753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46083</v>
      </c>
      <c r="I1753" s="95" t="s">
        <v>1126</v>
      </c>
    </row>
    <row r="1754" spans="1:9" x14ac:dyDescent="0.3">
      <c r="A1754" s="1" t="s">
        <v>66</v>
      </c>
      <c r="B1754" s="6"/>
      <c r="C1754" s="1">
        <v>-1</v>
      </c>
      <c r="D1754" s="105">
        <v>46107</v>
      </c>
      <c r="E1754" s="105">
        <f t="shared" si="64"/>
        <v>46123</v>
      </c>
      <c r="F1754" s="105">
        <v>46122</v>
      </c>
      <c r="G1754" s="2">
        <f t="shared" si="63"/>
        <v>46123</v>
      </c>
      <c r="H1754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46089</v>
      </c>
      <c r="I1754" s="95" t="s">
        <v>1127</v>
      </c>
    </row>
    <row r="1755" spans="1:9" x14ac:dyDescent="0.3">
      <c r="A1755" s="1" t="s">
        <v>123</v>
      </c>
      <c r="B1755" s="6"/>
      <c r="C1755" s="1">
        <v>-1</v>
      </c>
      <c r="D1755" s="105">
        <v>46132</v>
      </c>
      <c r="E1755" s="105">
        <f t="shared" si="64"/>
        <v>46138.041666666599</v>
      </c>
      <c r="F1755" s="105">
        <v>46137.041666666599</v>
      </c>
      <c r="G1755" s="2">
        <f t="shared" si="63"/>
        <v>46138.041666666599</v>
      </c>
      <c r="H1755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46089</v>
      </c>
      <c r="I1755" s="95" t="s">
        <v>1128</v>
      </c>
    </row>
    <row r="1756" spans="1:9" x14ac:dyDescent="0.3">
      <c r="A1756" s="1" t="s">
        <v>123</v>
      </c>
      <c r="B1756" s="6"/>
      <c r="C1756" s="1">
        <v>-1</v>
      </c>
      <c r="D1756" s="105">
        <v>46145.041666666599</v>
      </c>
      <c r="E1756" s="105">
        <f t="shared" si="64"/>
        <v>46150.041666666599</v>
      </c>
      <c r="F1756" s="105">
        <v>46149.041666666599</v>
      </c>
      <c r="G1756" s="2">
        <f t="shared" si="63"/>
        <v>46150.041666666599</v>
      </c>
      <c r="H1756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46089</v>
      </c>
      <c r="I1756" s="95" t="s">
        <v>1128</v>
      </c>
    </row>
    <row r="1757" spans="1:9" x14ac:dyDescent="0.3">
      <c r="A1757" s="1" t="s">
        <v>590</v>
      </c>
      <c r="B1757" s="6"/>
      <c r="C1757" s="1">
        <v>-1</v>
      </c>
      <c r="D1757" s="105">
        <v>46099</v>
      </c>
      <c r="E1757" s="105">
        <f t="shared" si="64"/>
        <v>46105</v>
      </c>
      <c r="F1757" s="105">
        <v>46104</v>
      </c>
      <c r="G1757" s="2">
        <f t="shared" si="63"/>
        <v>46105</v>
      </c>
      <c r="H1757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46090</v>
      </c>
      <c r="I1757" s="95" t="s">
        <v>1129</v>
      </c>
    </row>
    <row r="1758" spans="1:9" x14ac:dyDescent="0.3">
      <c r="A1758" s="1" t="s">
        <v>590</v>
      </c>
      <c r="B1758" s="6"/>
      <c r="C1758" s="1">
        <v>-1</v>
      </c>
      <c r="D1758" s="105">
        <v>46091</v>
      </c>
      <c r="E1758" s="105">
        <f t="shared" si="64"/>
        <v>46098</v>
      </c>
      <c r="F1758" s="105">
        <v>46097</v>
      </c>
      <c r="G1758" s="2">
        <f t="shared" si="63"/>
        <v>46098</v>
      </c>
      <c r="H1758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46090</v>
      </c>
      <c r="I1758" s="95" t="s">
        <v>1129</v>
      </c>
    </row>
    <row r="1759" spans="1:9" x14ac:dyDescent="0.3">
      <c r="A1759" s="1" t="s">
        <v>140</v>
      </c>
      <c r="B1759" s="6"/>
      <c r="C1759" s="1">
        <v>-1</v>
      </c>
      <c r="D1759" s="105">
        <v>46103</v>
      </c>
      <c r="E1759" s="105">
        <f t="shared" si="64"/>
        <v>46105</v>
      </c>
      <c r="F1759" s="105">
        <v>46104</v>
      </c>
      <c r="G1759" s="2">
        <f t="shared" si="63"/>
        <v>46105</v>
      </c>
      <c r="H1759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46090</v>
      </c>
      <c r="I1759" s="95" t="s">
        <v>1130</v>
      </c>
    </row>
    <row r="1760" spans="1:9" x14ac:dyDescent="0.3">
      <c r="A1760" s="1" t="s">
        <v>528</v>
      </c>
      <c r="B1760" s="6"/>
      <c r="C1760" s="1">
        <v>-1</v>
      </c>
      <c r="D1760" s="105">
        <v>46107</v>
      </c>
      <c r="E1760" s="105">
        <f t="shared" si="64"/>
        <v>46120</v>
      </c>
      <c r="F1760" s="105">
        <v>46119</v>
      </c>
      <c r="G1760" s="2">
        <f t="shared" si="63"/>
        <v>46120</v>
      </c>
      <c r="H1760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46090</v>
      </c>
      <c r="I1760" s="95" t="s">
        <v>1131</v>
      </c>
    </row>
    <row r="1761" spans="1:9" x14ac:dyDescent="0.3">
      <c r="A1761" s="1" t="s">
        <v>67</v>
      </c>
      <c r="B1761" s="6"/>
      <c r="C1761" s="1">
        <v>-1</v>
      </c>
      <c r="D1761" s="105">
        <v>46092</v>
      </c>
      <c r="E1761" s="105">
        <f t="shared" si="64"/>
        <v>46096</v>
      </c>
      <c r="F1761" s="105">
        <v>46095</v>
      </c>
      <c r="G1761" s="2">
        <f t="shared" si="63"/>
        <v>46096</v>
      </c>
      <c r="H1761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46090</v>
      </c>
      <c r="I1761" s="95" t="s">
        <v>1132</v>
      </c>
    </row>
    <row r="1762" spans="1:9" x14ac:dyDescent="0.3">
      <c r="A1762" s="1" t="s">
        <v>123</v>
      </c>
      <c r="B1762" s="6"/>
      <c r="C1762" s="1">
        <v>-1</v>
      </c>
      <c r="D1762" s="105">
        <v>46147.041666666599</v>
      </c>
      <c r="E1762" s="105">
        <f t="shared" si="64"/>
        <v>46150.041666666599</v>
      </c>
      <c r="F1762" s="105">
        <v>46149.041666666599</v>
      </c>
      <c r="G1762" s="2">
        <f t="shared" si="63"/>
        <v>46150.041666666599</v>
      </c>
      <c r="H1762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46091</v>
      </c>
      <c r="I1762" s="95" t="s">
        <v>1133</v>
      </c>
    </row>
    <row r="1763" spans="1:9" x14ac:dyDescent="0.3">
      <c r="A1763" s="1" t="s">
        <v>123</v>
      </c>
      <c r="B1763" s="6"/>
      <c r="C1763" s="1">
        <v>-1</v>
      </c>
      <c r="D1763" s="105">
        <v>46123</v>
      </c>
      <c r="E1763" s="105">
        <f t="shared" si="64"/>
        <v>46126</v>
      </c>
      <c r="F1763" s="105">
        <v>46125</v>
      </c>
      <c r="G1763" s="2">
        <f t="shared" si="63"/>
        <v>46126</v>
      </c>
      <c r="H1763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46091</v>
      </c>
      <c r="I1763" s="95" t="s">
        <v>1133</v>
      </c>
    </row>
    <row r="1764" spans="1:9" x14ac:dyDescent="0.3">
      <c r="A1764" s="1" t="s">
        <v>123</v>
      </c>
      <c r="B1764" s="6"/>
      <c r="C1764" s="1">
        <v>-1</v>
      </c>
      <c r="D1764" s="105">
        <v>46093</v>
      </c>
      <c r="E1764" s="105">
        <f t="shared" si="64"/>
        <v>46100</v>
      </c>
      <c r="F1764" s="105">
        <v>46099</v>
      </c>
      <c r="G1764" s="2">
        <f t="shared" ref="G1764:G1827" si="65">F1764+1</f>
        <v>46100</v>
      </c>
      <c r="H1764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46091</v>
      </c>
      <c r="I1764" s="95" t="s">
        <v>1133</v>
      </c>
    </row>
    <row r="1765" spans="1:9" x14ac:dyDescent="0.3">
      <c r="A1765" s="1" t="s">
        <v>66</v>
      </c>
      <c r="B1765" s="6"/>
      <c r="C1765" s="1">
        <v>-1</v>
      </c>
      <c r="D1765" s="105">
        <v>46130</v>
      </c>
      <c r="E1765" s="105">
        <f t="shared" si="64"/>
        <v>46134</v>
      </c>
      <c r="F1765" s="105">
        <v>46133</v>
      </c>
      <c r="G1765" s="2">
        <f t="shared" si="65"/>
        <v>46134</v>
      </c>
      <c r="H1765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46092</v>
      </c>
      <c r="I1765" s="95" t="s">
        <v>1134</v>
      </c>
    </row>
    <row r="1766" spans="1:9" x14ac:dyDescent="0.3">
      <c r="A1766" s="1" t="s">
        <v>95</v>
      </c>
      <c r="B1766" s="6"/>
      <c r="C1766" s="1">
        <v>-1</v>
      </c>
      <c r="D1766" s="105">
        <v>46110</v>
      </c>
      <c r="E1766" s="105">
        <f t="shared" si="64"/>
        <v>46112</v>
      </c>
      <c r="F1766" s="105">
        <v>46111</v>
      </c>
      <c r="G1766" s="2">
        <f t="shared" si="65"/>
        <v>46112</v>
      </c>
      <c r="H1766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46092</v>
      </c>
      <c r="I1766" s="95" t="s">
        <v>1135</v>
      </c>
    </row>
    <row r="1767" spans="1:9" x14ac:dyDescent="0.3">
      <c r="A1767" s="1" t="s">
        <v>296</v>
      </c>
      <c r="B1767" s="6"/>
      <c r="C1767" s="1">
        <v>-1</v>
      </c>
      <c r="D1767" s="105">
        <v>46123</v>
      </c>
      <c r="E1767" s="105">
        <f t="shared" si="64"/>
        <v>46125</v>
      </c>
      <c r="F1767" s="105">
        <v>46124</v>
      </c>
      <c r="G1767" s="2">
        <f t="shared" si="65"/>
        <v>46125</v>
      </c>
      <c r="H1767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46092</v>
      </c>
      <c r="I1767" s="95" t="s">
        <v>1136</v>
      </c>
    </row>
    <row r="1768" spans="1:9" x14ac:dyDescent="0.3">
      <c r="A1768" s="1" t="s">
        <v>296</v>
      </c>
      <c r="B1768" s="6"/>
      <c r="C1768" s="1">
        <v>-1</v>
      </c>
      <c r="D1768" s="105">
        <v>46129</v>
      </c>
      <c r="E1768" s="105">
        <f t="shared" si="64"/>
        <v>46138.041666666599</v>
      </c>
      <c r="F1768" s="105">
        <v>46137.041666666599</v>
      </c>
      <c r="G1768" s="2">
        <f t="shared" si="65"/>
        <v>46138.041666666599</v>
      </c>
      <c r="H1768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46092</v>
      </c>
      <c r="I1768" s="95" t="s">
        <v>1136</v>
      </c>
    </row>
    <row r="1769" spans="1:9" x14ac:dyDescent="0.3">
      <c r="A1769" s="1" t="s">
        <v>296</v>
      </c>
      <c r="B1769" s="6"/>
      <c r="C1769" s="1">
        <v>-1</v>
      </c>
      <c r="D1769" s="105">
        <v>46160.041666666599</v>
      </c>
      <c r="E1769" s="105">
        <f t="shared" si="64"/>
        <v>46171.041666666599</v>
      </c>
      <c r="F1769" s="105">
        <v>46170.041666666599</v>
      </c>
      <c r="G1769" s="2">
        <f t="shared" si="65"/>
        <v>46171.041666666599</v>
      </c>
      <c r="H1769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46092</v>
      </c>
      <c r="I1769" s="95" t="s">
        <v>1136</v>
      </c>
    </row>
    <row r="1770" spans="1:9" x14ac:dyDescent="0.3">
      <c r="A1770" s="1" t="s">
        <v>51</v>
      </c>
      <c r="B1770" s="6"/>
      <c r="C1770" s="1">
        <v>-1</v>
      </c>
      <c r="D1770" s="105">
        <v>46100</v>
      </c>
      <c r="E1770" s="105">
        <f t="shared" si="64"/>
        <v>46105</v>
      </c>
      <c r="F1770" s="105">
        <v>46104</v>
      </c>
      <c r="G1770" s="2">
        <f t="shared" si="65"/>
        <v>46105</v>
      </c>
      <c r="H1770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46093</v>
      </c>
      <c r="I1770" s="95" t="s">
        <v>1137</v>
      </c>
    </row>
    <row r="1771" spans="1:9" x14ac:dyDescent="0.3">
      <c r="A1771" s="1" t="s">
        <v>76</v>
      </c>
      <c r="B1771" s="6"/>
      <c r="C1771" s="1">
        <v>-1</v>
      </c>
      <c r="D1771" s="105">
        <v>46102</v>
      </c>
      <c r="E1771" s="105">
        <f t="shared" si="64"/>
        <v>46104</v>
      </c>
      <c r="F1771" s="105">
        <v>46103</v>
      </c>
      <c r="G1771" s="2">
        <f t="shared" si="65"/>
        <v>46104</v>
      </c>
      <c r="H1771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46093</v>
      </c>
      <c r="I1771" s="95" t="s">
        <v>1137</v>
      </c>
    </row>
    <row r="1772" spans="1:9" x14ac:dyDescent="0.3">
      <c r="A1772" s="1" t="s">
        <v>101</v>
      </c>
      <c r="B1772" s="6"/>
      <c r="C1772" s="1">
        <v>-1</v>
      </c>
      <c r="D1772" s="105">
        <v>46102</v>
      </c>
      <c r="E1772" s="105">
        <f t="shared" si="64"/>
        <v>46106</v>
      </c>
      <c r="F1772" s="105">
        <v>46105</v>
      </c>
      <c r="G1772" s="2">
        <f t="shared" si="65"/>
        <v>46106</v>
      </c>
      <c r="H1772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46093</v>
      </c>
      <c r="I1772" s="95" t="s">
        <v>1138</v>
      </c>
    </row>
    <row r="1773" spans="1:9" x14ac:dyDescent="0.3">
      <c r="A1773" s="1" t="s">
        <v>296</v>
      </c>
      <c r="B1773" s="6"/>
      <c r="C1773" s="1">
        <v>-1</v>
      </c>
      <c r="D1773" s="105">
        <v>46103</v>
      </c>
      <c r="E1773" s="105">
        <f t="shared" si="64"/>
        <v>46105</v>
      </c>
      <c r="F1773" s="105">
        <v>46104</v>
      </c>
      <c r="G1773" s="2">
        <f t="shared" si="65"/>
        <v>46105</v>
      </c>
      <c r="H1773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46093</v>
      </c>
      <c r="I1773" s="95" t="s">
        <v>1139</v>
      </c>
    </row>
    <row r="1774" spans="1:9" x14ac:dyDescent="0.3">
      <c r="A1774" s="1" t="s">
        <v>296</v>
      </c>
      <c r="B1774" s="6"/>
      <c r="C1774" s="1">
        <v>-1</v>
      </c>
      <c r="D1774" s="105">
        <v>46124</v>
      </c>
      <c r="E1774" s="105">
        <f t="shared" si="64"/>
        <v>46125</v>
      </c>
      <c r="F1774" s="105">
        <v>46124</v>
      </c>
      <c r="G1774" s="2">
        <f t="shared" si="65"/>
        <v>46125</v>
      </c>
      <c r="H1774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46093</v>
      </c>
      <c r="I1774" s="95" t="s">
        <v>1139</v>
      </c>
    </row>
    <row r="1775" spans="1:9" x14ac:dyDescent="0.3">
      <c r="A1775" s="1" t="s">
        <v>296</v>
      </c>
      <c r="B1775" s="6"/>
      <c r="C1775" s="1">
        <v>-1</v>
      </c>
      <c r="D1775" s="105">
        <v>46160.041666666599</v>
      </c>
      <c r="E1775" s="105">
        <f t="shared" si="64"/>
        <v>46171.041666666599</v>
      </c>
      <c r="F1775" s="105">
        <v>46170.041666666599</v>
      </c>
      <c r="G1775" s="2">
        <f t="shared" si="65"/>
        <v>46171.041666666599</v>
      </c>
      <c r="H1775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46093</v>
      </c>
      <c r="I1775" s="95" t="s">
        <v>1139</v>
      </c>
    </row>
    <row r="1776" spans="1:9" x14ac:dyDescent="0.3">
      <c r="A1776" s="1" t="s">
        <v>301</v>
      </c>
      <c r="B1776" s="6"/>
      <c r="C1776" s="1">
        <v>-1</v>
      </c>
      <c r="D1776" s="105">
        <v>46101</v>
      </c>
      <c r="E1776" s="105">
        <f t="shared" si="64"/>
        <v>46103</v>
      </c>
      <c r="F1776" s="105">
        <v>46102</v>
      </c>
      <c r="G1776" s="2">
        <f t="shared" si="65"/>
        <v>46103</v>
      </c>
      <c r="H1776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46093</v>
      </c>
      <c r="I1776" s="95" t="s">
        <v>1140</v>
      </c>
    </row>
    <row r="1777" spans="1:9" x14ac:dyDescent="0.3">
      <c r="A1777" s="1" t="s">
        <v>623</v>
      </c>
      <c r="B1777" s="6"/>
      <c r="C1777" s="1">
        <v>-1</v>
      </c>
      <c r="D1777" s="105">
        <v>46100</v>
      </c>
      <c r="E1777" s="105">
        <f t="shared" si="64"/>
        <v>46106</v>
      </c>
      <c r="F1777" s="105">
        <v>46105</v>
      </c>
      <c r="G1777" s="2">
        <f t="shared" si="65"/>
        <v>46106</v>
      </c>
      <c r="H1777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46093</v>
      </c>
      <c r="I1777" s="95" t="s">
        <v>1141</v>
      </c>
    </row>
    <row r="1778" spans="1:9" x14ac:dyDescent="0.3">
      <c r="A1778" s="1" t="s">
        <v>81</v>
      </c>
      <c r="B1778" s="6"/>
      <c r="C1778" s="1">
        <v>-1</v>
      </c>
      <c r="D1778" s="105">
        <v>46103</v>
      </c>
      <c r="E1778" s="105">
        <f t="shared" si="64"/>
        <v>46104</v>
      </c>
      <c r="F1778" s="105">
        <v>46103</v>
      </c>
      <c r="G1778" s="2">
        <f t="shared" si="65"/>
        <v>46104</v>
      </c>
      <c r="H1778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46094</v>
      </c>
      <c r="I1778" s="95" t="s">
        <v>1142</v>
      </c>
    </row>
    <row r="1779" spans="1:9" x14ac:dyDescent="0.3">
      <c r="A1779" s="1" t="s">
        <v>93</v>
      </c>
      <c r="B1779" s="6"/>
      <c r="C1779" s="1">
        <v>-1</v>
      </c>
      <c r="D1779" s="105">
        <v>46094</v>
      </c>
      <c r="E1779" s="105">
        <f t="shared" si="64"/>
        <v>46095</v>
      </c>
      <c r="F1779" s="105">
        <v>46094</v>
      </c>
      <c r="G1779" s="2">
        <f t="shared" si="65"/>
        <v>46095</v>
      </c>
      <c r="H1779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46094</v>
      </c>
      <c r="I1779" s="95" t="s">
        <v>1143</v>
      </c>
    </row>
    <row r="1780" spans="1:9" x14ac:dyDescent="0.3">
      <c r="A1780" s="1" t="s">
        <v>118</v>
      </c>
      <c r="B1780" s="6"/>
      <c r="C1780" s="1">
        <v>-1</v>
      </c>
      <c r="D1780" s="105">
        <v>46096</v>
      </c>
      <c r="E1780" s="105">
        <f t="shared" si="64"/>
        <v>46103</v>
      </c>
      <c r="F1780" s="105">
        <v>46102</v>
      </c>
      <c r="G1780" s="2">
        <f t="shared" si="65"/>
        <v>46103</v>
      </c>
      <c r="H1780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46094</v>
      </c>
      <c r="I1780" s="95" t="s">
        <v>1143</v>
      </c>
    </row>
    <row r="1781" spans="1:9" x14ac:dyDescent="0.3">
      <c r="A1781" s="1" t="s">
        <v>87</v>
      </c>
      <c r="B1781" s="6"/>
      <c r="C1781" s="1">
        <v>-1</v>
      </c>
      <c r="D1781" s="105">
        <v>46098</v>
      </c>
      <c r="E1781" s="105">
        <f t="shared" si="64"/>
        <v>46102</v>
      </c>
      <c r="F1781" s="105">
        <v>46101</v>
      </c>
      <c r="G1781" s="2">
        <f t="shared" si="65"/>
        <v>46102</v>
      </c>
      <c r="H1781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46094</v>
      </c>
      <c r="I1781" s="95" t="s">
        <v>1144</v>
      </c>
    </row>
    <row r="1782" spans="1:9" x14ac:dyDescent="0.3">
      <c r="A1782" s="1" t="s">
        <v>1145</v>
      </c>
      <c r="B1782" s="6"/>
      <c r="C1782" s="1">
        <v>-1</v>
      </c>
      <c r="D1782" s="105">
        <v>46098</v>
      </c>
      <c r="E1782" s="105">
        <f t="shared" si="64"/>
        <v>46107</v>
      </c>
      <c r="F1782" s="105">
        <v>46106</v>
      </c>
      <c r="G1782" s="2">
        <f t="shared" si="65"/>
        <v>46107</v>
      </c>
      <c r="H1782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46095</v>
      </c>
      <c r="I1782" s="95" t="s">
        <v>1146</v>
      </c>
    </row>
    <row r="1783" spans="1:9" x14ac:dyDescent="0.3">
      <c r="A1783" s="1" t="s">
        <v>1145</v>
      </c>
      <c r="B1783" s="6"/>
      <c r="C1783" s="1">
        <v>-1</v>
      </c>
      <c r="D1783" s="105">
        <v>46116</v>
      </c>
      <c r="E1783" s="105">
        <f t="shared" si="64"/>
        <v>46128</v>
      </c>
      <c r="F1783" s="105">
        <v>46127</v>
      </c>
      <c r="G1783" s="2">
        <f t="shared" si="65"/>
        <v>46128</v>
      </c>
      <c r="H1783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46095</v>
      </c>
      <c r="I1783" s="95" t="s">
        <v>1146</v>
      </c>
    </row>
    <row r="1784" spans="1:9" x14ac:dyDescent="0.3">
      <c r="A1784" s="1" t="s">
        <v>305</v>
      </c>
      <c r="B1784" s="6"/>
      <c r="C1784" s="1">
        <v>-1</v>
      </c>
      <c r="D1784" s="105">
        <v>46099</v>
      </c>
      <c r="E1784" s="105">
        <f t="shared" si="64"/>
        <v>46103</v>
      </c>
      <c r="F1784" s="105">
        <v>46102</v>
      </c>
      <c r="G1784" s="2">
        <f t="shared" si="65"/>
        <v>46103</v>
      </c>
      <c r="H1784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46094</v>
      </c>
      <c r="I1784" s="95" t="s">
        <v>1147</v>
      </c>
    </row>
    <row r="1785" spans="1:9" x14ac:dyDescent="0.3">
      <c r="A1785" s="1" t="s">
        <v>87</v>
      </c>
      <c r="B1785" s="6"/>
      <c r="C1785" s="1">
        <v>-1</v>
      </c>
      <c r="D1785" s="105">
        <v>46098</v>
      </c>
      <c r="E1785" s="105">
        <f t="shared" si="64"/>
        <v>46102</v>
      </c>
      <c r="F1785" s="105">
        <v>46101</v>
      </c>
      <c r="G1785" s="2">
        <f t="shared" si="65"/>
        <v>46102</v>
      </c>
      <c r="H1785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46094</v>
      </c>
      <c r="I1785" s="95" t="s">
        <v>1144</v>
      </c>
    </row>
    <row r="1786" spans="1:9" x14ac:dyDescent="0.3">
      <c r="A1786" s="1" t="s">
        <v>78</v>
      </c>
      <c r="B1786" s="6"/>
      <c r="C1786" s="1">
        <v>-1</v>
      </c>
      <c r="D1786" s="105">
        <v>46102</v>
      </c>
      <c r="E1786" s="105">
        <f t="shared" si="64"/>
        <v>46103</v>
      </c>
      <c r="F1786" s="105">
        <v>46102</v>
      </c>
      <c r="G1786" s="2">
        <f t="shared" si="65"/>
        <v>46103</v>
      </c>
      <c r="H1786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46095</v>
      </c>
      <c r="I1786" s="95" t="s">
        <v>1148</v>
      </c>
    </row>
    <row r="1787" spans="1:9" x14ac:dyDescent="0.3">
      <c r="A1787" s="1" t="s">
        <v>1149</v>
      </c>
      <c r="B1787" s="6"/>
      <c r="C1787" s="1">
        <v>-1</v>
      </c>
      <c r="D1787" s="105">
        <v>46100</v>
      </c>
      <c r="E1787" s="105">
        <f t="shared" ref="E1787:E1850" si="66">G1787</f>
        <v>46102</v>
      </c>
      <c r="F1787" s="105">
        <v>46101</v>
      </c>
      <c r="G1787" s="2">
        <f t="shared" si="65"/>
        <v>46102</v>
      </c>
      <c r="H1787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46095</v>
      </c>
      <c r="I1787" s="95" t="s">
        <v>1150</v>
      </c>
    </row>
    <row r="1788" spans="1:9" x14ac:dyDescent="0.3">
      <c r="A1788" s="1" t="s">
        <v>118</v>
      </c>
      <c r="B1788" s="6"/>
      <c r="C1788" s="1">
        <v>-1</v>
      </c>
      <c r="D1788" s="105">
        <v>46153.041666666599</v>
      </c>
      <c r="E1788" s="105">
        <f t="shared" si="66"/>
        <v>46172.041666666599</v>
      </c>
      <c r="F1788" s="105">
        <v>46171.041666666599</v>
      </c>
      <c r="G1788" s="2">
        <f t="shared" si="65"/>
        <v>46172.041666666599</v>
      </c>
      <c r="H1788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46095</v>
      </c>
      <c r="I1788" s="95" t="s">
        <v>1151</v>
      </c>
    </row>
    <row r="1789" spans="1:9" x14ac:dyDescent="0.3">
      <c r="A1789" s="1" t="s">
        <v>87</v>
      </c>
      <c r="B1789" s="6"/>
      <c r="C1789" s="1">
        <v>-1</v>
      </c>
      <c r="D1789" s="105">
        <v>46096</v>
      </c>
      <c r="E1789" s="105">
        <f t="shared" si="66"/>
        <v>46103</v>
      </c>
      <c r="F1789" s="105">
        <v>46102</v>
      </c>
      <c r="G1789" s="2">
        <f t="shared" si="65"/>
        <v>46103</v>
      </c>
      <c r="H1789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46095</v>
      </c>
      <c r="I1789" s="95" t="s">
        <v>1152</v>
      </c>
    </row>
    <row r="1790" spans="1:9" x14ac:dyDescent="0.3">
      <c r="A1790" s="1" t="s">
        <v>80</v>
      </c>
      <c r="B1790" s="6"/>
      <c r="C1790" s="1">
        <v>-1</v>
      </c>
      <c r="D1790" s="105">
        <v>46102</v>
      </c>
      <c r="E1790" s="105">
        <f t="shared" si="66"/>
        <v>46104</v>
      </c>
      <c r="F1790" s="105">
        <v>46103</v>
      </c>
      <c r="G1790" s="2">
        <f t="shared" si="65"/>
        <v>46104</v>
      </c>
      <c r="H1790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46095</v>
      </c>
      <c r="I1790" s="95" t="s">
        <v>1153</v>
      </c>
    </row>
    <row r="1791" spans="1:9" x14ac:dyDescent="0.3">
      <c r="A1791" s="1" t="s">
        <v>66</v>
      </c>
      <c r="B1791" s="6"/>
      <c r="C1791" s="1">
        <v>-1</v>
      </c>
      <c r="D1791" s="105">
        <v>46116</v>
      </c>
      <c r="E1791" s="105">
        <f t="shared" si="66"/>
        <v>46119</v>
      </c>
      <c r="F1791" s="105">
        <v>46118</v>
      </c>
      <c r="G1791" s="2">
        <f t="shared" si="65"/>
        <v>46119</v>
      </c>
      <c r="H1791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46095</v>
      </c>
      <c r="I1791" s="95" t="s">
        <v>1154</v>
      </c>
    </row>
    <row r="1792" spans="1:9" x14ac:dyDescent="0.3">
      <c r="A1792" s="1" t="s">
        <v>142</v>
      </c>
      <c r="B1792" s="6"/>
      <c r="C1792" s="1">
        <v>-1</v>
      </c>
      <c r="D1792" s="105">
        <v>46102</v>
      </c>
      <c r="E1792" s="105">
        <f t="shared" si="66"/>
        <v>46104</v>
      </c>
      <c r="F1792" s="105">
        <v>46103</v>
      </c>
      <c r="G1792" s="2">
        <f t="shared" si="65"/>
        <v>46104</v>
      </c>
      <c r="H1792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46095</v>
      </c>
      <c r="I1792" s="95" t="s">
        <v>1155</v>
      </c>
    </row>
    <row r="1793" spans="1:9" x14ac:dyDescent="0.3">
      <c r="A1793" s="1" t="s">
        <v>78</v>
      </c>
      <c r="B1793" s="6"/>
      <c r="C1793" s="1">
        <v>-1</v>
      </c>
      <c r="D1793" s="105">
        <v>46102</v>
      </c>
      <c r="E1793" s="105">
        <f t="shared" si="66"/>
        <v>46108</v>
      </c>
      <c r="F1793" s="105">
        <v>46107</v>
      </c>
      <c r="G1793" s="2">
        <f t="shared" si="65"/>
        <v>46108</v>
      </c>
      <c r="H1793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46096</v>
      </c>
      <c r="I1793" s="95" t="s">
        <v>1156</v>
      </c>
    </row>
    <row r="1794" spans="1:9" x14ac:dyDescent="0.3">
      <c r="A1794" s="1" t="s">
        <v>623</v>
      </c>
      <c r="B1794" s="6"/>
      <c r="C1794" s="1">
        <v>-1</v>
      </c>
      <c r="D1794" s="105">
        <v>46102</v>
      </c>
      <c r="E1794" s="105">
        <f t="shared" si="66"/>
        <v>46110</v>
      </c>
      <c r="F1794" s="105">
        <v>46109</v>
      </c>
      <c r="G1794" s="2">
        <f t="shared" si="65"/>
        <v>46110</v>
      </c>
      <c r="H1794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46096</v>
      </c>
      <c r="I1794" s="95" t="s">
        <v>1157</v>
      </c>
    </row>
    <row r="1795" spans="1:9" x14ac:dyDescent="0.3">
      <c r="A1795" s="1" t="s">
        <v>66</v>
      </c>
      <c r="B1795" s="6"/>
      <c r="C1795" s="1">
        <v>-1</v>
      </c>
      <c r="D1795" s="105">
        <v>46112</v>
      </c>
      <c r="E1795" s="105">
        <f t="shared" si="66"/>
        <v>46113</v>
      </c>
      <c r="F1795" s="105">
        <v>46112</v>
      </c>
      <c r="G1795" s="2">
        <f t="shared" si="65"/>
        <v>46113</v>
      </c>
      <c r="H1795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46096</v>
      </c>
      <c r="I1795" s="95" t="s">
        <v>1158</v>
      </c>
    </row>
    <row r="1796" spans="1:9" x14ac:dyDescent="0.3">
      <c r="A1796" s="1" t="s">
        <v>88</v>
      </c>
      <c r="B1796" s="6"/>
      <c r="C1796" s="1">
        <v>-1</v>
      </c>
      <c r="D1796" s="105">
        <v>46102</v>
      </c>
      <c r="E1796" s="105">
        <f t="shared" si="66"/>
        <v>46104</v>
      </c>
      <c r="F1796" s="105">
        <v>46103</v>
      </c>
      <c r="G1796" s="2">
        <f t="shared" si="65"/>
        <v>46104</v>
      </c>
      <c r="H1796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46096</v>
      </c>
      <c r="I1796" s="95" t="s">
        <v>1159</v>
      </c>
    </row>
    <row r="1797" spans="1:9" x14ac:dyDescent="0.3">
      <c r="A1797" s="1" t="s">
        <v>67</v>
      </c>
      <c r="B1797" s="6"/>
      <c r="C1797" s="1">
        <v>-1</v>
      </c>
      <c r="D1797" s="105">
        <v>46103</v>
      </c>
      <c r="E1797" s="105">
        <f t="shared" si="66"/>
        <v>46104</v>
      </c>
      <c r="F1797" s="105">
        <v>46103</v>
      </c>
      <c r="G1797" s="2">
        <f t="shared" si="65"/>
        <v>46104</v>
      </c>
      <c r="H1797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46097</v>
      </c>
      <c r="I1797" s="95" t="s">
        <v>1160</v>
      </c>
    </row>
    <row r="1798" spans="1:9" x14ac:dyDescent="0.3">
      <c r="A1798" s="1" t="s">
        <v>55</v>
      </c>
      <c r="B1798" s="6"/>
      <c r="C1798" s="1">
        <v>-1</v>
      </c>
      <c r="D1798" s="105">
        <v>46101</v>
      </c>
      <c r="E1798" s="105">
        <f t="shared" si="66"/>
        <v>46106</v>
      </c>
      <c r="F1798" s="105">
        <v>46105</v>
      </c>
      <c r="G1798" s="2">
        <f t="shared" si="65"/>
        <v>46106</v>
      </c>
      <c r="H1798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46097</v>
      </c>
      <c r="I1798" s="95" t="s">
        <v>1161</v>
      </c>
    </row>
    <row r="1799" spans="1:9" x14ac:dyDescent="0.3">
      <c r="A1799" s="1" t="s">
        <v>290</v>
      </c>
      <c r="B1799" s="6"/>
      <c r="C1799" s="1">
        <v>-1</v>
      </c>
      <c r="D1799" s="105">
        <v>46103</v>
      </c>
      <c r="E1799" s="105">
        <f t="shared" si="66"/>
        <v>46106</v>
      </c>
      <c r="F1799" s="105">
        <v>46105</v>
      </c>
      <c r="G1799" s="2">
        <f t="shared" si="65"/>
        <v>46106</v>
      </c>
      <c r="H1799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46097</v>
      </c>
      <c r="I1799" s="95" t="s">
        <v>1162</v>
      </c>
    </row>
    <row r="1800" spans="1:9" x14ac:dyDescent="0.3">
      <c r="A1800" s="1" t="s">
        <v>290</v>
      </c>
      <c r="B1800" s="6"/>
      <c r="C1800" s="1">
        <v>-1</v>
      </c>
      <c r="D1800" s="105">
        <v>46115</v>
      </c>
      <c r="E1800" s="105">
        <f t="shared" si="66"/>
        <v>46117</v>
      </c>
      <c r="F1800" s="105">
        <v>46116</v>
      </c>
      <c r="G1800" s="2">
        <f t="shared" si="65"/>
        <v>46117</v>
      </c>
      <c r="H1800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46097</v>
      </c>
      <c r="I1800" s="95" t="s">
        <v>1162</v>
      </c>
    </row>
    <row r="1801" spans="1:9" x14ac:dyDescent="0.3">
      <c r="A1801" s="1" t="s">
        <v>290</v>
      </c>
      <c r="B1801" s="6"/>
      <c r="C1801" s="1">
        <v>-1</v>
      </c>
      <c r="D1801" s="105">
        <v>46124</v>
      </c>
      <c r="E1801" s="105">
        <f t="shared" si="66"/>
        <v>46126</v>
      </c>
      <c r="F1801" s="105">
        <v>46125</v>
      </c>
      <c r="G1801" s="2">
        <f t="shared" si="65"/>
        <v>46126</v>
      </c>
      <c r="H1801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46097</v>
      </c>
      <c r="I1801" s="95" t="s">
        <v>1162</v>
      </c>
    </row>
    <row r="1802" spans="1:9" x14ac:dyDescent="0.3">
      <c r="A1802" s="1" t="s">
        <v>290</v>
      </c>
      <c r="B1802" s="6"/>
      <c r="C1802" s="1">
        <v>-1</v>
      </c>
      <c r="D1802" s="105">
        <v>46136.041666666599</v>
      </c>
      <c r="E1802" s="105">
        <f t="shared" si="66"/>
        <v>46137.041666666599</v>
      </c>
      <c r="F1802" s="105">
        <v>46136.041666666599</v>
      </c>
      <c r="G1802" s="2">
        <f t="shared" si="65"/>
        <v>46137.041666666599</v>
      </c>
      <c r="H1802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46097</v>
      </c>
      <c r="I1802" s="95" t="s">
        <v>1162</v>
      </c>
    </row>
    <row r="1803" spans="1:9" x14ac:dyDescent="0.3">
      <c r="A1803" s="1" t="s">
        <v>290</v>
      </c>
      <c r="B1803" s="6"/>
      <c r="C1803" s="1">
        <v>-1</v>
      </c>
      <c r="D1803" s="105">
        <v>46148.041666666599</v>
      </c>
      <c r="E1803" s="105">
        <f t="shared" si="66"/>
        <v>46149.041666666599</v>
      </c>
      <c r="F1803" s="105">
        <v>46148.041666666599</v>
      </c>
      <c r="G1803" s="2">
        <f t="shared" si="65"/>
        <v>46149.041666666599</v>
      </c>
      <c r="H1803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46097</v>
      </c>
      <c r="I1803" s="95" t="s">
        <v>1162</v>
      </c>
    </row>
    <row r="1804" spans="1:9" x14ac:dyDescent="0.3">
      <c r="A1804" s="1" t="s">
        <v>290</v>
      </c>
      <c r="B1804" s="6"/>
      <c r="C1804" s="1">
        <v>-1</v>
      </c>
      <c r="D1804" s="105">
        <v>46151.041666666599</v>
      </c>
      <c r="E1804" s="105">
        <f t="shared" si="66"/>
        <v>46152.041666666599</v>
      </c>
      <c r="F1804" s="105">
        <v>46151.041666666599</v>
      </c>
      <c r="G1804" s="2">
        <f t="shared" si="65"/>
        <v>46152.041666666599</v>
      </c>
      <c r="H1804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46097</v>
      </c>
      <c r="I1804" s="95" t="s">
        <v>1162</v>
      </c>
    </row>
    <row r="1805" spans="1:9" x14ac:dyDescent="0.3">
      <c r="A1805" s="1" t="s">
        <v>291</v>
      </c>
      <c r="B1805" s="6"/>
      <c r="C1805" s="1">
        <v>-1</v>
      </c>
      <c r="D1805" s="105">
        <v>46104</v>
      </c>
      <c r="E1805" s="105">
        <f t="shared" si="66"/>
        <v>46105</v>
      </c>
      <c r="F1805" s="105">
        <v>46104</v>
      </c>
      <c r="G1805" s="2">
        <f t="shared" si="65"/>
        <v>46105</v>
      </c>
      <c r="H1805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46097</v>
      </c>
      <c r="I1805" s="95" t="s">
        <v>1162</v>
      </c>
    </row>
    <row r="1806" spans="1:9" x14ac:dyDescent="0.3">
      <c r="A1806" s="1" t="s">
        <v>76</v>
      </c>
      <c r="B1806" s="6"/>
      <c r="C1806" s="1">
        <v>-1</v>
      </c>
      <c r="D1806" s="105">
        <v>46104</v>
      </c>
      <c r="E1806" s="105">
        <f t="shared" si="66"/>
        <v>46106</v>
      </c>
      <c r="F1806" s="105">
        <v>46105</v>
      </c>
      <c r="G1806" s="2">
        <f t="shared" si="65"/>
        <v>46106</v>
      </c>
      <c r="H1806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46097</v>
      </c>
      <c r="I1806" s="95" t="s">
        <v>1162</v>
      </c>
    </row>
    <row r="1807" spans="1:9" x14ac:dyDescent="0.3">
      <c r="A1807" s="1" t="s">
        <v>104</v>
      </c>
      <c r="B1807" s="6"/>
      <c r="C1807" s="1">
        <v>-1</v>
      </c>
      <c r="D1807" s="105">
        <v>46124</v>
      </c>
      <c r="E1807" s="105">
        <f t="shared" si="66"/>
        <v>46128</v>
      </c>
      <c r="F1807" s="105">
        <v>46127</v>
      </c>
      <c r="G1807" s="2">
        <f t="shared" si="65"/>
        <v>46128</v>
      </c>
      <c r="H1807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46097</v>
      </c>
      <c r="I1807" s="95" t="s">
        <v>1163</v>
      </c>
    </row>
    <row r="1808" spans="1:9" x14ac:dyDescent="0.3">
      <c r="A1808" s="1" t="s">
        <v>104</v>
      </c>
      <c r="B1808" s="6"/>
      <c r="C1808" s="1">
        <v>-1</v>
      </c>
      <c r="D1808" s="105">
        <v>46130</v>
      </c>
      <c r="E1808" s="105">
        <f t="shared" si="66"/>
        <v>46137.041666666599</v>
      </c>
      <c r="F1808" s="105">
        <v>46136.041666666599</v>
      </c>
      <c r="G1808" s="2">
        <f t="shared" si="65"/>
        <v>46137.041666666599</v>
      </c>
      <c r="H1808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46097</v>
      </c>
      <c r="I1808" s="95" t="s">
        <v>1163</v>
      </c>
    </row>
    <row r="1809" spans="1:9" x14ac:dyDescent="0.3">
      <c r="A1809" s="1" t="s">
        <v>104</v>
      </c>
      <c r="B1809" s="6"/>
      <c r="C1809" s="1">
        <v>-1</v>
      </c>
      <c r="D1809" s="105">
        <v>46149.041666666599</v>
      </c>
      <c r="E1809" s="105">
        <f t="shared" si="66"/>
        <v>46150.041666666599</v>
      </c>
      <c r="F1809" s="105">
        <v>46149.041666666599</v>
      </c>
      <c r="G1809" s="2">
        <f t="shared" si="65"/>
        <v>46150.041666666599</v>
      </c>
      <c r="H1809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46097</v>
      </c>
      <c r="I1809" s="95" t="s">
        <v>1163</v>
      </c>
    </row>
    <row r="1810" spans="1:9" x14ac:dyDescent="0.3">
      <c r="A1810" s="1" t="s">
        <v>289</v>
      </c>
      <c r="B1810" s="6"/>
      <c r="C1810" s="1">
        <v>-1</v>
      </c>
      <c r="D1810" s="105">
        <v>46101</v>
      </c>
      <c r="E1810" s="105">
        <f t="shared" si="66"/>
        <v>46108</v>
      </c>
      <c r="F1810" s="105">
        <v>46107</v>
      </c>
      <c r="G1810" s="2">
        <f t="shared" si="65"/>
        <v>46108</v>
      </c>
      <c r="H1810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46097</v>
      </c>
      <c r="I1810" s="95" t="s">
        <v>1164</v>
      </c>
    </row>
    <row r="1811" spans="1:9" x14ac:dyDescent="0.3">
      <c r="A1811" s="1" t="s">
        <v>89</v>
      </c>
      <c r="B1811" s="6"/>
      <c r="C1811" s="1">
        <v>-1</v>
      </c>
      <c r="D1811" s="105">
        <v>46101</v>
      </c>
      <c r="E1811" s="105">
        <f t="shared" si="66"/>
        <v>46103</v>
      </c>
      <c r="F1811" s="105">
        <v>46102</v>
      </c>
      <c r="G1811" s="2">
        <f t="shared" si="65"/>
        <v>46103</v>
      </c>
      <c r="H1811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46097</v>
      </c>
      <c r="I1811" s="95" t="s">
        <v>1164</v>
      </c>
    </row>
    <row r="1812" spans="1:9" x14ac:dyDescent="0.3">
      <c r="A1812" s="1" t="s">
        <v>120</v>
      </c>
      <c r="B1812" s="6"/>
      <c r="C1812" s="1">
        <v>-1</v>
      </c>
      <c r="D1812" s="105">
        <v>46105</v>
      </c>
      <c r="E1812" s="105">
        <f t="shared" si="66"/>
        <v>46112</v>
      </c>
      <c r="F1812" s="105">
        <v>46111</v>
      </c>
      <c r="G1812" s="2">
        <f t="shared" si="65"/>
        <v>46112</v>
      </c>
      <c r="H1812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46097</v>
      </c>
      <c r="I1812" s="95" t="s">
        <v>1165</v>
      </c>
    </row>
    <row r="1813" spans="1:9" x14ac:dyDescent="0.3">
      <c r="A1813" s="1" t="s">
        <v>71</v>
      </c>
      <c r="B1813" s="6"/>
      <c r="C1813" s="1">
        <v>-1</v>
      </c>
      <c r="D1813" s="105">
        <v>46104</v>
      </c>
      <c r="E1813" s="105">
        <f t="shared" si="66"/>
        <v>46105</v>
      </c>
      <c r="F1813" s="105">
        <v>46104</v>
      </c>
      <c r="G1813" s="2">
        <f t="shared" si="65"/>
        <v>46105</v>
      </c>
      <c r="H1813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46097</v>
      </c>
      <c r="I1813" s="95" t="s">
        <v>1166</v>
      </c>
    </row>
    <row r="1814" spans="1:9" x14ac:dyDescent="0.3">
      <c r="A1814" s="1" t="s">
        <v>136</v>
      </c>
      <c r="B1814" s="6"/>
      <c r="C1814" s="1">
        <v>-1</v>
      </c>
      <c r="D1814" s="105">
        <v>46099</v>
      </c>
      <c r="E1814" s="105">
        <f t="shared" si="66"/>
        <v>46104</v>
      </c>
      <c r="F1814" s="105">
        <v>46103</v>
      </c>
      <c r="G1814" s="2">
        <f t="shared" si="65"/>
        <v>46104</v>
      </c>
      <c r="H1814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46097</v>
      </c>
      <c r="I1814" s="95" t="s">
        <v>1167</v>
      </c>
    </row>
    <row r="1815" spans="1:9" x14ac:dyDescent="0.3">
      <c r="A1815" s="1" t="s">
        <v>77</v>
      </c>
      <c r="B1815" s="6"/>
      <c r="C1815" s="1">
        <v>-1</v>
      </c>
      <c r="D1815" s="105">
        <v>46114</v>
      </c>
      <c r="E1815" s="105">
        <f t="shared" si="66"/>
        <v>46115</v>
      </c>
      <c r="F1815" s="105">
        <v>46114</v>
      </c>
      <c r="G1815" s="2">
        <f t="shared" si="65"/>
        <v>46115</v>
      </c>
      <c r="H1815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46097</v>
      </c>
      <c r="I1815" s="95" t="s">
        <v>1168</v>
      </c>
    </row>
    <row r="1816" spans="1:9" x14ac:dyDescent="0.3">
      <c r="A1816" s="1" t="s">
        <v>321</v>
      </c>
      <c r="B1816" s="6"/>
      <c r="C1816" s="1">
        <v>-1</v>
      </c>
      <c r="D1816" s="105">
        <v>46103</v>
      </c>
      <c r="E1816" s="105">
        <f t="shared" si="66"/>
        <v>46105</v>
      </c>
      <c r="F1816" s="105">
        <v>46104</v>
      </c>
      <c r="G1816" s="2">
        <f t="shared" si="65"/>
        <v>46105</v>
      </c>
      <c r="H1816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46097</v>
      </c>
      <c r="I1816" s="95" t="s">
        <v>1169</v>
      </c>
    </row>
    <row r="1817" spans="1:9" x14ac:dyDescent="0.3">
      <c r="A1817" s="1" t="s">
        <v>77</v>
      </c>
      <c r="B1817" s="6"/>
      <c r="C1817" s="1">
        <v>-1</v>
      </c>
      <c r="D1817" s="105">
        <v>46099</v>
      </c>
      <c r="E1817" s="105">
        <f t="shared" si="66"/>
        <v>46105</v>
      </c>
      <c r="F1817" s="105">
        <v>46104</v>
      </c>
      <c r="G1817" s="2">
        <f t="shared" si="65"/>
        <v>46105</v>
      </c>
      <c r="H1817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46097</v>
      </c>
      <c r="I1817" s="95" t="s">
        <v>1170</v>
      </c>
    </row>
    <row r="1818" spans="1:9" x14ac:dyDescent="0.3">
      <c r="A1818" s="1" t="s">
        <v>125</v>
      </c>
      <c r="B1818" s="6"/>
      <c r="C1818" s="1">
        <v>-1</v>
      </c>
      <c r="D1818" s="105">
        <v>46115</v>
      </c>
      <c r="E1818" s="105">
        <f t="shared" si="66"/>
        <v>46117</v>
      </c>
      <c r="F1818" s="105">
        <v>46116</v>
      </c>
      <c r="G1818" s="2">
        <f t="shared" si="65"/>
        <v>46117</v>
      </c>
      <c r="H1818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46098</v>
      </c>
      <c r="I1818" s="95" t="s">
        <v>1171</v>
      </c>
    </row>
    <row r="1819" spans="1:9" x14ac:dyDescent="0.3">
      <c r="A1819" s="1" t="s">
        <v>129</v>
      </c>
      <c r="B1819" s="6"/>
      <c r="C1819" s="1">
        <v>-1</v>
      </c>
      <c r="D1819" s="105">
        <v>46101</v>
      </c>
      <c r="E1819" s="105">
        <f t="shared" si="66"/>
        <v>46107</v>
      </c>
      <c r="F1819" s="105">
        <v>46106</v>
      </c>
      <c r="G1819" s="2">
        <f t="shared" si="65"/>
        <v>46107</v>
      </c>
      <c r="H1819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46098</v>
      </c>
      <c r="I1819" s="95" t="s">
        <v>1172</v>
      </c>
    </row>
    <row r="1820" spans="1:9" x14ac:dyDescent="0.3">
      <c r="A1820" s="1" t="s">
        <v>66</v>
      </c>
      <c r="B1820" s="6"/>
      <c r="C1820" s="1">
        <v>-1</v>
      </c>
      <c r="D1820" s="105">
        <v>46107</v>
      </c>
      <c r="E1820" s="105">
        <f t="shared" si="66"/>
        <v>46108</v>
      </c>
      <c r="F1820" s="105">
        <v>46107</v>
      </c>
      <c r="G1820" s="2">
        <f t="shared" si="65"/>
        <v>46108</v>
      </c>
      <c r="H1820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46100</v>
      </c>
      <c r="I1820" s="95" t="s">
        <v>1173</v>
      </c>
    </row>
    <row r="1821" spans="1:9" x14ac:dyDescent="0.3">
      <c r="A1821" s="1" t="s">
        <v>972</v>
      </c>
      <c r="B1821" s="6"/>
      <c r="C1821" s="1">
        <v>-1</v>
      </c>
      <c r="D1821" s="105">
        <v>46101</v>
      </c>
      <c r="E1821" s="105">
        <f t="shared" si="66"/>
        <v>46105</v>
      </c>
      <c r="F1821" s="105">
        <v>46104</v>
      </c>
      <c r="G1821" s="2">
        <f t="shared" si="65"/>
        <v>46105</v>
      </c>
      <c r="H1821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46099</v>
      </c>
      <c r="I1821" s="95" t="s">
        <v>1174</v>
      </c>
    </row>
    <row r="1822" spans="1:9" x14ac:dyDescent="0.3">
      <c r="A1822" s="1" t="s">
        <v>820</v>
      </c>
      <c r="B1822" s="6"/>
      <c r="C1822" s="1">
        <v>-1</v>
      </c>
      <c r="D1822" s="105">
        <v>46103</v>
      </c>
      <c r="E1822" s="105">
        <f t="shared" si="66"/>
        <v>46106</v>
      </c>
      <c r="F1822" s="105">
        <v>46105</v>
      </c>
      <c r="G1822" s="2">
        <f t="shared" si="65"/>
        <v>46106</v>
      </c>
      <c r="H1822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46099</v>
      </c>
      <c r="I1822" s="95" t="s">
        <v>1175</v>
      </c>
    </row>
    <row r="1823" spans="1:9" x14ac:dyDescent="0.3">
      <c r="A1823" s="1" t="s">
        <v>623</v>
      </c>
      <c r="B1823" s="6"/>
      <c r="C1823" s="1">
        <v>-1</v>
      </c>
      <c r="D1823" s="105">
        <v>46105</v>
      </c>
      <c r="E1823" s="105">
        <f t="shared" si="66"/>
        <v>46113</v>
      </c>
      <c r="F1823" s="105">
        <v>46112</v>
      </c>
      <c r="G1823" s="2">
        <f t="shared" si="65"/>
        <v>46113</v>
      </c>
      <c r="H1823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46100</v>
      </c>
      <c r="I1823" s="95" t="s">
        <v>1176</v>
      </c>
    </row>
    <row r="1824" spans="1:9" x14ac:dyDescent="0.3">
      <c r="A1824" s="1" t="s">
        <v>66</v>
      </c>
      <c r="B1824" s="6"/>
      <c r="C1824" s="1">
        <v>-1</v>
      </c>
      <c r="D1824" s="105">
        <v>46120</v>
      </c>
      <c r="E1824" s="105">
        <f t="shared" si="66"/>
        <v>46121</v>
      </c>
      <c r="F1824" s="105">
        <v>46120</v>
      </c>
      <c r="G1824" s="2">
        <f t="shared" si="65"/>
        <v>46121</v>
      </c>
      <c r="H1824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46100</v>
      </c>
      <c r="I1824" s="95" t="s">
        <v>1177</v>
      </c>
    </row>
    <row r="1825" spans="1:9" x14ac:dyDescent="0.3">
      <c r="A1825" s="1" t="s">
        <v>66</v>
      </c>
      <c r="B1825" s="6"/>
      <c r="C1825" s="1">
        <v>-1</v>
      </c>
      <c r="D1825" s="105">
        <v>46127</v>
      </c>
      <c r="E1825" s="105">
        <f t="shared" si="66"/>
        <v>46129</v>
      </c>
      <c r="F1825" s="105">
        <v>46128</v>
      </c>
      <c r="G1825" s="2">
        <f t="shared" si="65"/>
        <v>46129</v>
      </c>
      <c r="H1825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46100</v>
      </c>
      <c r="I1825" s="95" t="s">
        <v>1177</v>
      </c>
    </row>
    <row r="1826" spans="1:9" x14ac:dyDescent="0.3">
      <c r="A1826" s="1" t="s">
        <v>129</v>
      </c>
      <c r="B1826" s="6"/>
      <c r="C1826" s="1">
        <v>-1</v>
      </c>
      <c r="D1826" s="105">
        <v>46102</v>
      </c>
      <c r="E1826" s="105">
        <f t="shared" si="66"/>
        <v>46103</v>
      </c>
      <c r="F1826" s="105">
        <v>46102</v>
      </c>
      <c r="G1826" s="2">
        <f t="shared" si="65"/>
        <v>46103</v>
      </c>
      <c r="H1826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46100</v>
      </c>
      <c r="I1826" s="95" t="s">
        <v>1178</v>
      </c>
    </row>
    <row r="1827" spans="1:9" x14ac:dyDescent="0.3">
      <c r="A1827" s="1" t="s">
        <v>80</v>
      </c>
      <c r="B1827" s="6"/>
      <c r="C1827" s="1">
        <v>-1</v>
      </c>
      <c r="D1827" s="105">
        <v>46113</v>
      </c>
      <c r="E1827" s="105">
        <f t="shared" si="66"/>
        <v>46122</v>
      </c>
      <c r="F1827" s="105">
        <v>46121</v>
      </c>
      <c r="G1827" s="2">
        <f t="shared" si="65"/>
        <v>46122</v>
      </c>
      <c r="H1827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46101</v>
      </c>
      <c r="I1827" s="95" t="s">
        <v>1179</v>
      </c>
    </row>
    <row r="1828" spans="1:9" x14ac:dyDescent="0.3">
      <c r="A1828" s="1" t="s">
        <v>133</v>
      </c>
      <c r="B1828" s="6"/>
      <c r="C1828" s="1">
        <v>-1</v>
      </c>
      <c r="D1828" s="105">
        <v>46103</v>
      </c>
      <c r="E1828" s="105">
        <f t="shared" si="66"/>
        <v>46105</v>
      </c>
      <c r="F1828" s="105">
        <v>46104</v>
      </c>
      <c r="G1828" s="2">
        <f t="shared" ref="G1828:G1891" si="67">F1828+1</f>
        <v>46105</v>
      </c>
      <c r="H1828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46101</v>
      </c>
      <c r="I1828" s="95" t="s">
        <v>1180</v>
      </c>
    </row>
    <row r="1829" spans="1:9" x14ac:dyDescent="0.3">
      <c r="A1829" s="1" t="s">
        <v>77</v>
      </c>
      <c r="B1829" s="6"/>
      <c r="C1829" s="1">
        <v>-1</v>
      </c>
      <c r="D1829" s="105">
        <v>46106</v>
      </c>
      <c r="E1829" s="105">
        <f t="shared" si="66"/>
        <v>46107</v>
      </c>
      <c r="F1829" s="105">
        <v>46106</v>
      </c>
      <c r="G1829" s="2">
        <f t="shared" si="67"/>
        <v>46107</v>
      </c>
      <c r="H1829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46101</v>
      </c>
      <c r="I1829" s="95" t="s">
        <v>1181</v>
      </c>
    </row>
    <row r="1830" spans="1:9" x14ac:dyDescent="0.3">
      <c r="A1830" s="1" t="s">
        <v>289</v>
      </c>
      <c r="B1830" s="6"/>
      <c r="C1830" s="1">
        <v>-1</v>
      </c>
      <c r="D1830" s="105">
        <v>46123</v>
      </c>
      <c r="E1830" s="105">
        <f t="shared" si="66"/>
        <v>46124</v>
      </c>
      <c r="F1830" s="105">
        <v>46123</v>
      </c>
      <c r="G1830" s="2">
        <f t="shared" si="67"/>
        <v>46124</v>
      </c>
      <c r="H1830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46101</v>
      </c>
      <c r="I1830" s="95" t="s">
        <v>1182</v>
      </c>
    </row>
    <row r="1831" spans="1:9" x14ac:dyDescent="0.3">
      <c r="A1831" s="1" t="s">
        <v>120</v>
      </c>
      <c r="B1831" s="6"/>
      <c r="C1831" s="1">
        <v>-1</v>
      </c>
      <c r="D1831" s="105">
        <v>46113</v>
      </c>
      <c r="E1831" s="105">
        <f t="shared" si="66"/>
        <v>46143.041666666599</v>
      </c>
      <c r="F1831" s="105">
        <v>46142.041666666599</v>
      </c>
      <c r="G1831" s="2">
        <f t="shared" si="67"/>
        <v>46143.041666666599</v>
      </c>
      <c r="H1831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46101</v>
      </c>
      <c r="I1831" s="95" t="s">
        <v>1183</v>
      </c>
    </row>
    <row r="1832" spans="1:9" x14ac:dyDescent="0.3">
      <c r="A1832" s="1" t="s">
        <v>118</v>
      </c>
      <c r="B1832" s="6"/>
      <c r="C1832" s="1">
        <v>-1</v>
      </c>
      <c r="D1832" s="105">
        <v>46272</v>
      </c>
      <c r="E1832" s="105">
        <f t="shared" si="66"/>
        <v>46291</v>
      </c>
      <c r="F1832" s="105">
        <v>46290</v>
      </c>
      <c r="G1832" s="2">
        <f t="shared" si="67"/>
        <v>46291</v>
      </c>
      <c r="H1832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46101</v>
      </c>
      <c r="I1832" s="95" t="s">
        <v>1184</v>
      </c>
    </row>
    <row r="1833" spans="1:9" x14ac:dyDescent="0.3">
      <c r="A1833" s="1" t="s">
        <v>290</v>
      </c>
      <c r="B1833" s="6"/>
      <c r="C1833" s="1">
        <v>-1</v>
      </c>
      <c r="D1833" s="105">
        <v>46132</v>
      </c>
      <c r="E1833" s="105">
        <f t="shared" si="66"/>
        <v>46133</v>
      </c>
      <c r="F1833" s="105">
        <v>46132</v>
      </c>
      <c r="G1833" s="2">
        <f t="shared" si="67"/>
        <v>46133</v>
      </c>
      <c r="H1833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46101</v>
      </c>
      <c r="I1833" s="95" t="s">
        <v>1185</v>
      </c>
    </row>
    <row r="1834" spans="1:9" x14ac:dyDescent="0.3">
      <c r="A1834" s="1" t="s">
        <v>291</v>
      </c>
      <c r="B1834" s="6"/>
      <c r="C1834" s="1">
        <v>-1</v>
      </c>
      <c r="D1834" s="105">
        <v>46105</v>
      </c>
      <c r="E1834" s="105">
        <f t="shared" si="66"/>
        <v>46112</v>
      </c>
      <c r="F1834" s="105">
        <v>46111</v>
      </c>
      <c r="G1834" s="2">
        <f t="shared" si="67"/>
        <v>46112</v>
      </c>
      <c r="H1834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46101</v>
      </c>
      <c r="I1834" s="95" t="s">
        <v>1185</v>
      </c>
    </row>
    <row r="1835" spans="1:9" x14ac:dyDescent="0.3">
      <c r="A1835" s="1" t="s">
        <v>124</v>
      </c>
      <c r="B1835" s="6"/>
      <c r="C1835" s="1">
        <v>-1</v>
      </c>
      <c r="D1835" s="105">
        <v>46137.041666666599</v>
      </c>
      <c r="E1835" s="105">
        <f t="shared" si="66"/>
        <v>46147.041666666599</v>
      </c>
      <c r="F1835" s="105">
        <v>46146.041666666599</v>
      </c>
      <c r="G1835" s="2">
        <f t="shared" si="67"/>
        <v>46147.041666666599</v>
      </c>
      <c r="H1835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46102</v>
      </c>
      <c r="I1835" s="95" t="s">
        <v>1186</v>
      </c>
    </row>
    <row r="1836" spans="1:9" x14ac:dyDescent="0.3">
      <c r="A1836" s="1" t="s">
        <v>80</v>
      </c>
      <c r="B1836" s="6"/>
      <c r="C1836" s="1">
        <v>-1</v>
      </c>
      <c r="D1836" s="105">
        <v>46113</v>
      </c>
      <c r="E1836" s="105">
        <f t="shared" si="66"/>
        <v>46143.041666666599</v>
      </c>
      <c r="F1836" s="105">
        <v>46142.041666666599</v>
      </c>
      <c r="G1836" s="2">
        <f t="shared" si="67"/>
        <v>46143.041666666599</v>
      </c>
      <c r="H1836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46102</v>
      </c>
      <c r="I1836" s="95" t="s">
        <v>1187</v>
      </c>
    </row>
    <row r="1837" spans="1:9" x14ac:dyDescent="0.3">
      <c r="A1837" s="1" t="s">
        <v>101</v>
      </c>
      <c r="B1837" s="6"/>
      <c r="C1837" s="1">
        <v>-1</v>
      </c>
      <c r="D1837" s="105">
        <v>46105</v>
      </c>
      <c r="E1837" s="105">
        <f t="shared" si="66"/>
        <v>46109</v>
      </c>
      <c r="F1837" s="105">
        <v>46108</v>
      </c>
      <c r="G1837" s="2">
        <f t="shared" si="67"/>
        <v>46109</v>
      </c>
      <c r="H1837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46102</v>
      </c>
      <c r="I1837" s="95" t="s">
        <v>1188</v>
      </c>
    </row>
    <row r="1838" spans="1:9" x14ac:dyDescent="0.3">
      <c r="A1838" s="1" t="s">
        <v>125</v>
      </c>
      <c r="B1838" s="6"/>
      <c r="C1838" s="1">
        <v>-1</v>
      </c>
      <c r="D1838" s="105">
        <v>46105</v>
      </c>
      <c r="E1838" s="105">
        <f t="shared" si="66"/>
        <v>46107</v>
      </c>
      <c r="F1838" s="105">
        <v>46106</v>
      </c>
      <c r="G1838" s="2">
        <f t="shared" si="67"/>
        <v>46107</v>
      </c>
      <c r="H1838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46103</v>
      </c>
      <c r="I1838" s="95" t="s">
        <v>1189</v>
      </c>
    </row>
    <row r="1839" spans="1:9" x14ac:dyDescent="0.3">
      <c r="A1839" s="1" t="s">
        <v>289</v>
      </c>
      <c r="B1839" s="6"/>
      <c r="C1839" s="1">
        <v>-1</v>
      </c>
      <c r="D1839" s="105">
        <v>46101</v>
      </c>
      <c r="E1839" s="105">
        <f t="shared" si="66"/>
        <v>46116</v>
      </c>
      <c r="F1839" s="105">
        <v>46115</v>
      </c>
      <c r="G1839" s="2">
        <f t="shared" si="67"/>
        <v>46116</v>
      </c>
      <c r="H1839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46103</v>
      </c>
      <c r="I1839" s="95" t="s">
        <v>1190</v>
      </c>
    </row>
    <row r="1840" spans="1:9" x14ac:dyDescent="0.3">
      <c r="A1840" s="1" t="s">
        <v>289</v>
      </c>
      <c r="B1840" s="6"/>
      <c r="C1840" s="1">
        <v>-1</v>
      </c>
      <c r="D1840" s="105">
        <v>46119</v>
      </c>
      <c r="E1840" s="105">
        <f t="shared" si="66"/>
        <v>46121</v>
      </c>
      <c r="F1840" s="105">
        <v>46120</v>
      </c>
      <c r="G1840" s="2">
        <f t="shared" si="67"/>
        <v>46121</v>
      </c>
      <c r="H1840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46104</v>
      </c>
      <c r="I1840" s="95" t="s">
        <v>1191</v>
      </c>
    </row>
    <row r="1841" spans="1:9" x14ac:dyDescent="0.3">
      <c r="A1841" s="1" t="s">
        <v>289</v>
      </c>
      <c r="B1841" s="6"/>
      <c r="C1841" s="1">
        <v>-1</v>
      </c>
      <c r="D1841" s="105">
        <v>46124</v>
      </c>
      <c r="E1841" s="105">
        <f t="shared" si="66"/>
        <v>46125</v>
      </c>
      <c r="F1841" s="105">
        <v>46124</v>
      </c>
      <c r="G1841" s="2">
        <f t="shared" si="67"/>
        <v>46125</v>
      </c>
      <c r="H1841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46104</v>
      </c>
      <c r="I1841" s="95" t="s">
        <v>1191</v>
      </c>
    </row>
    <row r="1842" spans="1:9" x14ac:dyDescent="0.3">
      <c r="A1842" s="1" t="s">
        <v>289</v>
      </c>
      <c r="B1842" s="6"/>
      <c r="C1842" s="1">
        <v>-1</v>
      </c>
      <c r="D1842" s="105">
        <v>46216</v>
      </c>
      <c r="E1842" s="105">
        <f t="shared" si="66"/>
        <v>46225</v>
      </c>
      <c r="F1842" s="105">
        <v>46224</v>
      </c>
      <c r="G1842" s="2">
        <f t="shared" si="67"/>
        <v>46225</v>
      </c>
      <c r="H1842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46104</v>
      </c>
      <c r="I1842" s="95" t="s">
        <v>1191</v>
      </c>
    </row>
    <row r="1843" spans="1:9" x14ac:dyDescent="0.3">
      <c r="A1843" s="1" t="s">
        <v>133</v>
      </c>
      <c r="B1843" s="6"/>
      <c r="C1843" s="1">
        <v>-1</v>
      </c>
      <c r="D1843" s="105">
        <v>46107</v>
      </c>
      <c r="E1843" s="105">
        <f t="shared" si="66"/>
        <v>46108</v>
      </c>
      <c r="F1843" s="105">
        <v>46107</v>
      </c>
      <c r="G1843" s="2">
        <f t="shared" si="67"/>
        <v>46108</v>
      </c>
      <c r="H1843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46104</v>
      </c>
      <c r="I1843" s="95" t="s">
        <v>1192</v>
      </c>
    </row>
    <row r="1844" spans="1:9" x14ac:dyDescent="0.3">
      <c r="A1844" s="1" t="s">
        <v>125</v>
      </c>
      <c r="B1844" s="6"/>
      <c r="C1844" s="1">
        <v>-1</v>
      </c>
      <c r="D1844" s="105">
        <v>46107</v>
      </c>
      <c r="E1844" s="105">
        <f t="shared" si="66"/>
        <v>46108</v>
      </c>
      <c r="F1844" s="105">
        <v>46107</v>
      </c>
      <c r="G1844" s="2">
        <f t="shared" si="67"/>
        <v>46108</v>
      </c>
      <c r="H1844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46104</v>
      </c>
      <c r="I1844" s="95" t="s">
        <v>1193</v>
      </c>
    </row>
    <row r="1845" spans="1:9" x14ac:dyDescent="0.3">
      <c r="A1845" s="1" t="s">
        <v>125</v>
      </c>
      <c r="B1845" s="6"/>
      <c r="C1845" s="1">
        <v>-1</v>
      </c>
      <c r="D1845" s="105">
        <v>46113</v>
      </c>
      <c r="E1845" s="105">
        <f t="shared" si="66"/>
        <v>46115</v>
      </c>
      <c r="F1845" s="105">
        <v>46114</v>
      </c>
      <c r="G1845" s="2">
        <f t="shared" si="67"/>
        <v>46115</v>
      </c>
      <c r="H1845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46104</v>
      </c>
      <c r="I1845" s="95" t="s">
        <v>1194</v>
      </c>
    </row>
    <row r="1846" spans="1:9" x14ac:dyDescent="0.3">
      <c r="A1846" s="1" t="s">
        <v>125</v>
      </c>
      <c r="B1846" s="6"/>
      <c r="C1846" s="1">
        <v>-1</v>
      </c>
      <c r="D1846" s="105">
        <v>46117</v>
      </c>
      <c r="E1846" s="105">
        <f t="shared" si="66"/>
        <v>46118</v>
      </c>
      <c r="F1846" s="105">
        <v>46117</v>
      </c>
      <c r="G1846" s="2">
        <f t="shared" si="67"/>
        <v>46118</v>
      </c>
      <c r="H1846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46104</v>
      </c>
      <c r="I1846" s="95" t="s">
        <v>1194</v>
      </c>
    </row>
    <row r="1847" spans="1:9" x14ac:dyDescent="0.3">
      <c r="A1847" s="1" t="s">
        <v>117</v>
      </c>
      <c r="B1847" s="6"/>
      <c r="C1847" s="1">
        <v>-1</v>
      </c>
      <c r="D1847" s="105">
        <v>46161.041666666599</v>
      </c>
      <c r="E1847" s="105">
        <f t="shared" si="66"/>
        <v>46165.041666666599</v>
      </c>
      <c r="F1847" s="105">
        <v>46164.041666666599</v>
      </c>
      <c r="G1847" s="2">
        <f t="shared" si="67"/>
        <v>46165.041666666599</v>
      </c>
      <c r="H1847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46104</v>
      </c>
      <c r="I1847" s="95" t="s">
        <v>1195</v>
      </c>
    </row>
    <row r="1848" spans="1:9" x14ac:dyDescent="0.3">
      <c r="A1848" s="1" t="s">
        <v>590</v>
      </c>
      <c r="B1848" s="6"/>
      <c r="C1848" s="1">
        <v>-1</v>
      </c>
      <c r="D1848" s="105">
        <v>46106</v>
      </c>
      <c r="E1848" s="105">
        <f t="shared" si="66"/>
        <v>46113</v>
      </c>
      <c r="F1848" s="105">
        <v>46112</v>
      </c>
      <c r="G1848" s="2">
        <f t="shared" si="67"/>
        <v>46113</v>
      </c>
      <c r="H1848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46104</v>
      </c>
      <c r="I1848" s="95" t="s">
        <v>1196</v>
      </c>
    </row>
    <row r="1849" spans="1:9" x14ac:dyDescent="0.3">
      <c r="A1849" s="1" t="s">
        <v>103</v>
      </c>
      <c r="B1849" s="6"/>
      <c r="C1849" s="1">
        <v>-1</v>
      </c>
      <c r="D1849" s="105">
        <v>46119</v>
      </c>
      <c r="E1849" s="105">
        <f t="shared" si="66"/>
        <v>46124</v>
      </c>
      <c r="F1849" s="105">
        <v>46123</v>
      </c>
      <c r="G1849" s="2">
        <f t="shared" si="67"/>
        <v>46124</v>
      </c>
      <c r="H1849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46105</v>
      </c>
      <c r="I1849" s="95" t="s">
        <v>1197</v>
      </c>
    </row>
    <row r="1850" spans="1:9" x14ac:dyDescent="0.3">
      <c r="A1850" s="1" t="s">
        <v>133</v>
      </c>
      <c r="B1850" s="6"/>
      <c r="C1850" s="1">
        <v>-1</v>
      </c>
      <c r="D1850" s="105">
        <v>46107</v>
      </c>
      <c r="E1850" s="105">
        <f t="shared" si="66"/>
        <v>46117</v>
      </c>
      <c r="F1850" s="105">
        <v>46116</v>
      </c>
      <c r="G1850" s="2">
        <f t="shared" si="67"/>
        <v>46117</v>
      </c>
      <c r="H1850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46105</v>
      </c>
      <c r="I1850" s="95" t="s">
        <v>1198</v>
      </c>
    </row>
    <row r="1851" spans="1:9" x14ac:dyDescent="0.3">
      <c r="A1851" s="1" t="s">
        <v>96</v>
      </c>
      <c r="B1851" s="6"/>
      <c r="C1851" s="1">
        <v>-1</v>
      </c>
      <c r="D1851" s="105">
        <v>46183</v>
      </c>
      <c r="E1851" s="105">
        <f t="shared" ref="E1851:E1914" si="68">G1851</f>
        <v>46188</v>
      </c>
      <c r="F1851" s="105">
        <v>46187</v>
      </c>
      <c r="G1851" s="2">
        <f t="shared" si="67"/>
        <v>46188</v>
      </c>
      <c r="H1851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46105</v>
      </c>
      <c r="I1851" s="95" t="s">
        <v>1199</v>
      </c>
    </row>
    <row r="1852" spans="1:9" x14ac:dyDescent="0.3">
      <c r="A1852" s="1" t="s">
        <v>127</v>
      </c>
      <c r="B1852" s="6"/>
      <c r="C1852" s="1">
        <v>-1</v>
      </c>
      <c r="D1852" s="105">
        <v>46324</v>
      </c>
      <c r="E1852" s="105">
        <f t="shared" si="68"/>
        <v>46327</v>
      </c>
      <c r="F1852" s="105">
        <v>46326</v>
      </c>
      <c r="G1852" s="2">
        <f t="shared" si="67"/>
        <v>46327</v>
      </c>
      <c r="H1852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46105</v>
      </c>
      <c r="I1852" s="95" t="s">
        <v>1199</v>
      </c>
    </row>
    <row r="1853" spans="1:9" x14ac:dyDescent="0.3">
      <c r="A1853" s="1" t="s">
        <v>81</v>
      </c>
      <c r="B1853" s="6"/>
      <c r="C1853" s="1">
        <v>-1</v>
      </c>
      <c r="D1853" s="105">
        <v>46143.041666666599</v>
      </c>
      <c r="E1853" s="105">
        <f t="shared" si="68"/>
        <v>46165.041666666599</v>
      </c>
      <c r="F1853" s="105">
        <v>46164.041666666599</v>
      </c>
      <c r="G1853" s="2">
        <f t="shared" si="67"/>
        <v>46165.041666666599</v>
      </c>
      <c r="H1853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46105</v>
      </c>
      <c r="I1853" s="95" t="s">
        <v>1200</v>
      </c>
    </row>
    <row r="1854" spans="1:9" x14ac:dyDescent="0.3">
      <c r="A1854" s="1" t="s">
        <v>590</v>
      </c>
      <c r="B1854" s="6"/>
      <c r="C1854" s="1">
        <v>-1</v>
      </c>
      <c r="D1854" s="105">
        <v>46107</v>
      </c>
      <c r="E1854" s="105">
        <f t="shared" si="68"/>
        <v>46111</v>
      </c>
      <c r="F1854" s="105">
        <v>46110</v>
      </c>
      <c r="G1854" s="2">
        <f t="shared" si="67"/>
        <v>46111</v>
      </c>
      <c r="H1854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46105</v>
      </c>
      <c r="I1854" s="95" t="s">
        <v>1201</v>
      </c>
    </row>
    <row r="1855" spans="1:9" x14ac:dyDescent="0.3">
      <c r="A1855" s="1" t="s">
        <v>122</v>
      </c>
      <c r="B1855" s="6"/>
      <c r="C1855" s="1">
        <v>-1</v>
      </c>
      <c r="D1855" s="105">
        <v>46135</v>
      </c>
      <c r="E1855" s="105">
        <f t="shared" si="68"/>
        <v>46139.041666666599</v>
      </c>
      <c r="F1855" s="105">
        <v>46138.041666666599</v>
      </c>
      <c r="G1855" s="2">
        <f t="shared" si="67"/>
        <v>46139.041666666599</v>
      </c>
      <c r="H1855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46106</v>
      </c>
      <c r="I1855" s="95" t="s">
        <v>1202</v>
      </c>
    </row>
    <row r="1856" spans="1:9" x14ac:dyDescent="0.3">
      <c r="A1856" s="1" t="s">
        <v>96</v>
      </c>
      <c r="B1856" s="6"/>
      <c r="C1856" s="1">
        <v>-1</v>
      </c>
      <c r="D1856" s="105">
        <v>46203</v>
      </c>
      <c r="E1856" s="105">
        <f t="shared" si="68"/>
        <v>46207</v>
      </c>
      <c r="F1856" s="105">
        <v>46206</v>
      </c>
      <c r="G1856" s="2">
        <f t="shared" si="67"/>
        <v>46207</v>
      </c>
      <c r="H1856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46106</v>
      </c>
      <c r="I1856" s="95" t="s">
        <v>1203</v>
      </c>
    </row>
    <row r="1857" spans="1:9" x14ac:dyDescent="0.3">
      <c r="A1857" s="1" t="s">
        <v>96</v>
      </c>
      <c r="B1857" s="6"/>
      <c r="C1857" s="1">
        <v>-1</v>
      </c>
      <c r="D1857" s="105">
        <v>46265</v>
      </c>
      <c r="E1857" s="105">
        <f t="shared" si="68"/>
        <v>46266</v>
      </c>
      <c r="F1857" s="105">
        <v>46265</v>
      </c>
      <c r="G1857" s="2">
        <f t="shared" si="67"/>
        <v>46266</v>
      </c>
      <c r="H1857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46106</v>
      </c>
      <c r="I1857" s="95" t="s">
        <v>1203</v>
      </c>
    </row>
    <row r="1858" spans="1:9" x14ac:dyDescent="0.3">
      <c r="A1858" s="1" t="s">
        <v>96</v>
      </c>
      <c r="B1858" s="6"/>
      <c r="C1858" s="1">
        <v>-1</v>
      </c>
      <c r="D1858" s="105">
        <v>46270</v>
      </c>
      <c r="E1858" s="105">
        <f t="shared" si="68"/>
        <v>46274</v>
      </c>
      <c r="F1858" s="105">
        <v>46273</v>
      </c>
      <c r="G1858" s="2">
        <f t="shared" si="67"/>
        <v>46274</v>
      </c>
      <c r="H1858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46106</v>
      </c>
      <c r="I1858" s="95" t="s">
        <v>1203</v>
      </c>
    </row>
    <row r="1859" spans="1:9" x14ac:dyDescent="0.3">
      <c r="A1859" s="1" t="s">
        <v>96</v>
      </c>
      <c r="B1859" s="6"/>
      <c r="C1859" s="1">
        <v>-1</v>
      </c>
      <c r="D1859" s="105">
        <v>46222</v>
      </c>
      <c r="E1859" s="105">
        <f t="shared" si="68"/>
        <v>46223</v>
      </c>
      <c r="F1859" s="105">
        <v>46222</v>
      </c>
      <c r="G1859" s="2">
        <f t="shared" si="67"/>
        <v>46223</v>
      </c>
      <c r="H1859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46106</v>
      </c>
      <c r="I1859" s="95" t="s">
        <v>1203</v>
      </c>
    </row>
    <row r="1860" spans="1:9" x14ac:dyDescent="0.3">
      <c r="A1860" s="1" t="s">
        <v>81</v>
      </c>
      <c r="B1860" s="6"/>
      <c r="C1860" s="1">
        <v>-1</v>
      </c>
      <c r="D1860" s="105">
        <v>46113</v>
      </c>
      <c r="E1860" s="105">
        <f t="shared" si="68"/>
        <v>46125</v>
      </c>
      <c r="F1860" s="105">
        <v>46124</v>
      </c>
      <c r="G1860" s="2">
        <f t="shared" si="67"/>
        <v>46125</v>
      </c>
      <c r="H1860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46108</v>
      </c>
      <c r="I1860" s="95" t="s">
        <v>1204</v>
      </c>
    </row>
    <row r="1861" spans="1:9" x14ac:dyDescent="0.3">
      <c r="A1861" s="1" t="s">
        <v>125</v>
      </c>
      <c r="B1861" s="6"/>
      <c r="C1861" s="1">
        <v>-1</v>
      </c>
      <c r="D1861" s="105">
        <v>46118</v>
      </c>
      <c r="E1861" s="105">
        <f t="shared" si="68"/>
        <v>46120</v>
      </c>
      <c r="F1861" s="105">
        <v>46119</v>
      </c>
      <c r="G1861" s="2">
        <f t="shared" si="67"/>
        <v>46120</v>
      </c>
      <c r="H1861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46108</v>
      </c>
      <c r="I1861" s="95" t="s">
        <v>1205</v>
      </c>
    </row>
    <row r="1862" spans="1:9" x14ac:dyDescent="0.3">
      <c r="A1862" s="1" t="s">
        <v>1149</v>
      </c>
      <c r="B1862" s="6"/>
      <c r="C1862" s="1">
        <v>-1</v>
      </c>
      <c r="D1862" s="105">
        <v>46116</v>
      </c>
      <c r="E1862" s="105">
        <f t="shared" si="68"/>
        <v>46117</v>
      </c>
      <c r="F1862" s="105">
        <v>46116</v>
      </c>
      <c r="G1862" s="2">
        <f t="shared" si="67"/>
        <v>46117</v>
      </c>
      <c r="H1862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46108</v>
      </c>
      <c r="I1862" s="95" t="s">
        <v>1206</v>
      </c>
    </row>
    <row r="1863" spans="1:9" x14ac:dyDescent="0.3">
      <c r="A1863" s="1" t="s">
        <v>133</v>
      </c>
      <c r="B1863" s="6"/>
      <c r="C1863" s="1">
        <v>-1</v>
      </c>
      <c r="D1863" s="105">
        <v>46115</v>
      </c>
      <c r="E1863" s="105">
        <f t="shared" si="68"/>
        <v>46121</v>
      </c>
      <c r="F1863" s="105">
        <v>46120</v>
      </c>
      <c r="G1863" s="2">
        <f t="shared" si="67"/>
        <v>46121</v>
      </c>
      <c r="H1863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46113</v>
      </c>
      <c r="I1863" s="95" t="s">
        <v>1207</v>
      </c>
    </row>
    <row r="1864" spans="1:9" x14ac:dyDescent="0.3">
      <c r="A1864" s="1" t="s">
        <v>172</v>
      </c>
      <c r="B1864" s="6"/>
      <c r="C1864" s="1">
        <v>-1</v>
      </c>
      <c r="D1864" s="105">
        <v>46116</v>
      </c>
      <c r="E1864" s="105">
        <f t="shared" si="68"/>
        <v>46118</v>
      </c>
      <c r="F1864" s="105">
        <v>46117</v>
      </c>
      <c r="G1864" s="2">
        <f t="shared" si="67"/>
        <v>46118</v>
      </c>
      <c r="H1864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46113</v>
      </c>
      <c r="I1864" s="95" t="s">
        <v>1208</v>
      </c>
    </row>
    <row r="1865" spans="1:9" x14ac:dyDescent="0.3">
      <c r="A1865" s="1" t="s">
        <v>120</v>
      </c>
      <c r="B1865" s="6"/>
      <c r="C1865" s="1">
        <v>-1</v>
      </c>
      <c r="D1865" s="105">
        <v>46113</v>
      </c>
      <c r="E1865" s="105">
        <f t="shared" si="68"/>
        <v>46143.041666666599</v>
      </c>
      <c r="F1865" s="105">
        <v>46142.041666666599</v>
      </c>
      <c r="G1865" s="2">
        <f t="shared" si="67"/>
        <v>46143.041666666599</v>
      </c>
      <c r="H1865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46113</v>
      </c>
      <c r="I1865" s="95" t="s">
        <v>1209</v>
      </c>
    </row>
    <row r="1866" spans="1:9" x14ac:dyDescent="0.3">
      <c r="A1866" s="1" t="s">
        <v>96</v>
      </c>
      <c r="B1866" s="6"/>
      <c r="C1866" s="1">
        <v>-1</v>
      </c>
      <c r="D1866" s="105">
        <v>46139.041666666599</v>
      </c>
      <c r="E1866" s="105">
        <f t="shared" si="68"/>
        <v>46143.041666666599</v>
      </c>
      <c r="F1866" s="105">
        <v>46142.041666666599</v>
      </c>
      <c r="G1866" s="2">
        <f t="shared" si="67"/>
        <v>46143.041666666599</v>
      </c>
      <c r="H1866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46113</v>
      </c>
      <c r="I1866" s="95" t="s">
        <v>1210</v>
      </c>
    </row>
    <row r="1867" spans="1:9" x14ac:dyDescent="0.3">
      <c r="A1867" s="1" t="s">
        <v>96</v>
      </c>
      <c r="B1867" s="6"/>
      <c r="C1867" s="1">
        <v>-1</v>
      </c>
      <c r="D1867" s="105">
        <v>46154.041666666599</v>
      </c>
      <c r="E1867" s="105">
        <f t="shared" si="68"/>
        <v>46160.041666666599</v>
      </c>
      <c r="F1867" s="105">
        <v>46159.041666666599</v>
      </c>
      <c r="G1867" s="2">
        <f t="shared" si="67"/>
        <v>46160.041666666599</v>
      </c>
      <c r="H1867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46113</v>
      </c>
      <c r="I1867" s="95" t="s">
        <v>1210</v>
      </c>
    </row>
    <row r="1868" spans="1:9" x14ac:dyDescent="0.3">
      <c r="A1868" s="1" t="s">
        <v>123</v>
      </c>
      <c r="B1868" s="6"/>
      <c r="C1868" s="1">
        <v>-1</v>
      </c>
      <c r="D1868" s="105">
        <v>46136.041666666599</v>
      </c>
      <c r="E1868" s="105">
        <f t="shared" si="68"/>
        <v>46137.041666666599</v>
      </c>
      <c r="F1868" s="105">
        <v>46136.041666666599</v>
      </c>
      <c r="G1868" s="2">
        <f t="shared" si="67"/>
        <v>46137.041666666599</v>
      </c>
      <c r="H1868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46113</v>
      </c>
      <c r="I1868" s="95" t="s">
        <v>1211</v>
      </c>
    </row>
    <row r="1869" spans="1:9" x14ac:dyDescent="0.3">
      <c r="A1869" s="1" t="s">
        <v>101</v>
      </c>
      <c r="B1869" s="6"/>
      <c r="C1869" s="1">
        <v>-1</v>
      </c>
      <c r="D1869" s="105">
        <v>46116</v>
      </c>
      <c r="E1869" s="105">
        <f t="shared" si="68"/>
        <v>46117</v>
      </c>
      <c r="F1869" s="105">
        <v>46116</v>
      </c>
      <c r="G1869" s="2">
        <f t="shared" si="67"/>
        <v>46117</v>
      </c>
      <c r="H1869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46114</v>
      </c>
      <c r="I1869" s="95" t="s">
        <v>1212</v>
      </c>
    </row>
    <row r="1870" spans="1:9" x14ac:dyDescent="0.3">
      <c r="A1870" s="1" t="s">
        <v>117</v>
      </c>
      <c r="B1870" s="6"/>
      <c r="C1870" s="1">
        <v>-1</v>
      </c>
      <c r="D1870" s="105">
        <v>46131</v>
      </c>
      <c r="E1870" s="105">
        <f t="shared" si="68"/>
        <v>46137.041666666599</v>
      </c>
      <c r="F1870" s="105">
        <v>46136.041666666599</v>
      </c>
      <c r="G1870" s="2">
        <f t="shared" si="67"/>
        <v>46137.041666666599</v>
      </c>
      <c r="H1870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46114</v>
      </c>
      <c r="I1870" s="95" t="s">
        <v>1213</v>
      </c>
    </row>
    <row r="1871" spans="1:9" x14ac:dyDescent="0.3">
      <c r="A1871" s="1" t="s">
        <v>104</v>
      </c>
      <c r="B1871" s="6"/>
      <c r="C1871" s="1">
        <v>-1</v>
      </c>
      <c r="D1871" s="105">
        <v>46123</v>
      </c>
      <c r="E1871" s="105">
        <f t="shared" si="68"/>
        <v>46133</v>
      </c>
      <c r="F1871" s="105">
        <v>46132</v>
      </c>
      <c r="G1871" s="2">
        <f t="shared" si="67"/>
        <v>46133</v>
      </c>
      <c r="H1871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46114</v>
      </c>
      <c r="I1871" s="95" t="s">
        <v>1213</v>
      </c>
    </row>
    <row r="1872" spans="1:9" x14ac:dyDescent="0.3">
      <c r="A1872" s="1" t="s">
        <v>104</v>
      </c>
      <c r="B1872" s="6"/>
      <c r="C1872" s="1">
        <v>-1</v>
      </c>
      <c r="D1872" s="105">
        <v>46244</v>
      </c>
      <c r="E1872" s="105">
        <f t="shared" si="68"/>
        <v>46249</v>
      </c>
      <c r="F1872" s="105">
        <v>46248</v>
      </c>
      <c r="G1872" s="2">
        <f t="shared" si="67"/>
        <v>46249</v>
      </c>
      <c r="H1872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46114</v>
      </c>
      <c r="I1872" s="95" t="s">
        <v>1213</v>
      </c>
    </row>
    <row r="1873" spans="1:9" x14ac:dyDescent="0.3">
      <c r="A1873" s="1" t="s">
        <v>117</v>
      </c>
      <c r="B1873" s="6"/>
      <c r="C1873" s="1">
        <v>-1</v>
      </c>
      <c r="D1873" s="105">
        <v>46123</v>
      </c>
      <c r="E1873" s="105">
        <f t="shared" si="68"/>
        <v>46131</v>
      </c>
      <c r="F1873" s="105">
        <v>46130</v>
      </c>
      <c r="G1873" s="2">
        <f t="shared" si="67"/>
        <v>46131</v>
      </c>
      <c r="H1873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46114</v>
      </c>
      <c r="I1873" s="95" t="s">
        <v>1214</v>
      </c>
    </row>
    <row r="1874" spans="1:9" x14ac:dyDescent="0.3">
      <c r="A1874" s="1" t="s">
        <v>117</v>
      </c>
      <c r="B1874" s="6"/>
      <c r="C1874" s="1">
        <v>-1</v>
      </c>
      <c r="D1874" s="105">
        <v>46138.041666666599</v>
      </c>
      <c r="E1874" s="105">
        <f t="shared" si="68"/>
        <v>46142.041666666599</v>
      </c>
      <c r="F1874" s="105">
        <v>46141.041666666599</v>
      </c>
      <c r="G1874" s="2">
        <f t="shared" si="67"/>
        <v>46142.041666666599</v>
      </c>
      <c r="H1874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46114</v>
      </c>
      <c r="I1874" s="95" t="s">
        <v>1214</v>
      </c>
    </row>
    <row r="1875" spans="1:9" x14ac:dyDescent="0.3">
      <c r="A1875" s="1" t="s">
        <v>126</v>
      </c>
      <c r="B1875" s="6"/>
      <c r="C1875" s="1">
        <v>-1</v>
      </c>
      <c r="D1875" s="105">
        <v>46122</v>
      </c>
      <c r="E1875" s="105">
        <f t="shared" si="68"/>
        <v>46123</v>
      </c>
      <c r="F1875" s="105">
        <v>46122</v>
      </c>
      <c r="G1875" s="2">
        <f t="shared" si="67"/>
        <v>46123</v>
      </c>
      <c r="H1875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46114</v>
      </c>
      <c r="I1875" s="95" t="s">
        <v>1215</v>
      </c>
    </row>
    <row r="1876" spans="1:9" x14ac:dyDescent="0.3">
      <c r="A1876" s="1" t="s">
        <v>80</v>
      </c>
      <c r="B1876" s="6"/>
      <c r="C1876" s="1">
        <v>-1</v>
      </c>
      <c r="D1876" s="105">
        <v>46128</v>
      </c>
      <c r="E1876" s="105">
        <f t="shared" si="68"/>
        <v>46130</v>
      </c>
      <c r="F1876" s="105">
        <v>46129</v>
      </c>
      <c r="G1876" s="2">
        <f t="shared" si="67"/>
        <v>46130</v>
      </c>
      <c r="H1876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46114</v>
      </c>
      <c r="I1876" s="95" t="s">
        <v>1216</v>
      </c>
    </row>
    <row r="1877" spans="1:9" x14ac:dyDescent="0.3">
      <c r="A1877" s="1" t="s">
        <v>125</v>
      </c>
      <c r="B1877" s="6"/>
      <c r="C1877" s="1">
        <v>-1</v>
      </c>
      <c r="D1877" s="105">
        <v>46123</v>
      </c>
      <c r="E1877" s="105">
        <f t="shared" si="68"/>
        <v>46124</v>
      </c>
      <c r="F1877" s="105">
        <v>46123</v>
      </c>
      <c r="G1877" s="2">
        <f t="shared" si="67"/>
        <v>46124</v>
      </c>
      <c r="H1877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46114</v>
      </c>
      <c r="I1877" s="95" t="s">
        <v>1217</v>
      </c>
    </row>
    <row r="1878" spans="1:9" x14ac:dyDescent="0.3">
      <c r="A1878" s="1" t="s">
        <v>123</v>
      </c>
      <c r="B1878" s="6"/>
      <c r="C1878" s="1">
        <v>-1</v>
      </c>
      <c r="D1878" s="105">
        <v>46137.041666666599</v>
      </c>
      <c r="E1878" s="105">
        <f t="shared" si="68"/>
        <v>46139.041666666599</v>
      </c>
      <c r="F1878" s="105">
        <v>46138.041666666599</v>
      </c>
      <c r="G1878" s="2">
        <f t="shared" si="67"/>
        <v>46139.041666666599</v>
      </c>
      <c r="H1878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46114</v>
      </c>
      <c r="I1878" s="95" t="s">
        <v>1218</v>
      </c>
    </row>
    <row r="1879" spans="1:9" x14ac:dyDescent="0.3">
      <c r="A1879" s="1" t="s">
        <v>123</v>
      </c>
      <c r="B1879" s="6"/>
      <c r="C1879" s="1">
        <v>-1</v>
      </c>
      <c r="D1879" s="105">
        <v>46152.041666666599</v>
      </c>
      <c r="E1879" s="105">
        <f t="shared" si="68"/>
        <v>46153.041666666599</v>
      </c>
      <c r="F1879" s="105">
        <v>46152.041666666599</v>
      </c>
      <c r="G1879" s="2">
        <f t="shared" si="67"/>
        <v>46153.041666666599</v>
      </c>
      <c r="H1879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46114</v>
      </c>
      <c r="I1879" s="95" t="s">
        <v>1218</v>
      </c>
    </row>
    <row r="1880" spans="1:9" x14ac:dyDescent="0.3">
      <c r="A1880" s="1" t="s">
        <v>123</v>
      </c>
      <c r="B1880" s="6"/>
      <c r="C1880" s="1">
        <v>-1</v>
      </c>
      <c r="D1880" s="105">
        <v>46166.041666666599</v>
      </c>
      <c r="E1880" s="105">
        <f t="shared" si="68"/>
        <v>46173.041666666599</v>
      </c>
      <c r="F1880" s="105">
        <v>46172.041666666599</v>
      </c>
      <c r="G1880" s="2">
        <f t="shared" si="67"/>
        <v>46173.041666666599</v>
      </c>
      <c r="H1880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46114</v>
      </c>
      <c r="I1880" s="95" t="s">
        <v>1218</v>
      </c>
    </row>
    <row r="1881" spans="1:9" x14ac:dyDescent="0.3">
      <c r="A1881" s="1" t="s">
        <v>123</v>
      </c>
      <c r="B1881" s="6"/>
      <c r="C1881" s="1">
        <v>-1</v>
      </c>
      <c r="D1881" s="105">
        <v>46143.041666666599</v>
      </c>
      <c r="E1881" s="105">
        <f t="shared" si="68"/>
        <v>46145.041666666599</v>
      </c>
      <c r="F1881" s="105">
        <v>46144.041666666599</v>
      </c>
      <c r="G1881" s="2">
        <f t="shared" si="67"/>
        <v>46145.041666666599</v>
      </c>
      <c r="H1881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46114</v>
      </c>
      <c r="I1881" s="95" t="s">
        <v>1218</v>
      </c>
    </row>
    <row r="1882" spans="1:9" x14ac:dyDescent="0.3">
      <c r="A1882" s="1" t="s">
        <v>123</v>
      </c>
      <c r="B1882" s="6"/>
      <c r="C1882" s="1">
        <v>-1</v>
      </c>
      <c r="D1882" s="105">
        <v>46151.041666666599</v>
      </c>
      <c r="E1882" s="105">
        <f t="shared" si="68"/>
        <v>46128</v>
      </c>
      <c r="F1882" s="105">
        <v>46127</v>
      </c>
      <c r="G1882" s="2">
        <f t="shared" si="67"/>
        <v>46128</v>
      </c>
      <c r="H1882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46114</v>
      </c>
      <c r="I1882" s="95" t="s">
        <v>1218</v>
      </c>
    </row>
    <row r="1883" spans="1:9" x14ac:dyDescent="0.3">
      <c r="A1883" s="1" t="s">
        <v>172</v>
      </c>
      <c r="B1883" s="6"/>
      <c r="C1883" s="1">
        <v>-1</v>
      </c>
      <c r="D1883" s="105">
        <v>46119</v>
      </c>
      <c r="E1883" s="105">
        <f t="shared" si="68"/>
        <v>46120</v>
      </c>
      <c r="F1883" s="105">
        <v>46119</v>
      </c>
      <c r="G1883" s="2">
        <f t="shared" si="67"/>
        <v>46120</v>
      </c>
      <c r="H1883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46114</v>
      </c>
      <c r="I1883" s="95" t="s">
        <v>1219</v>
      </c>
    </row>
    <row r="1884" spans="1:9" x14ac:dyDescent="0.3">
      <c r="A1884" s="1" t="s">
        <v>62</v>
      </c>
      <c r="B1884" s="6"/>
      <c r="C1884" s="1">
        <v>-1</v>
      </c>
      <c r="D1884" s="105">
        <v>46128</v>
      </c>
      <c r="E1884" s="105">
        <f t="shared" si="68"/>
        <v>46130</v>
      </c>
      <c r="F1884" s="105">
        <v>46129</v>
      </c>
      <c r="G1884" s="2">
        <f t="shared" si="67"/>
        <v>46130</v>
      </c>
      <c r="H1884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46115</v>
      </c>
      <c r="I1884" s="95" t="s">
        <v>1220</v>
      </c>
    </row>
    <row r="1885" spans="1:9" x14ac:dyDescent="0.3">
      <c r="A1885" s="1" t="s">
        <v>66</v>
      </c>
      <c r="B1885" s="6"/>
      <c r="C1885" s="1">
        <v>-1</v>
      </c>
      <c r="D1885" s="105">
        <v>46123</v>
      </c>
      <c r="E1885" s="105">
        <f t="shared" si="68"/>
        <v>46127</v>
      </c>
      <c r="F1885" s="105">
        <v>46126</v>
      </c>
      <c r="G1885" s="2">
        <f t="shared" si="67"/>
        <v>46127</v>
      </c>
      <c r="H1885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46115</v>
      </c>
      <c r="I1885" s="95" t="s">
        <v>1221</v>
      </c>
    </row>
    <row r="1886" spans="1:9" x14ac:dyDescent="0.3">
      <c r="A1886" s="1" t="s">
        <v>66</v>
      </c>
      <c r="B1886" s="6"/>
      <c r="C1886" s="1">
        <v>-1</v>
      </c>
      <c r="D1886" s="105">
        <v>46132</v>
      </c>
      <c r="E1886" s="105">
        <f t="shared" si="68"/>
        <v>46133</v>
      </c>
      <c r="F1886" s="105">
        <v>46132</v>
      </c>
      <c r="G1886" s="2">
        <f t="shared" si="67"/>
        <v>46133</v>
      </c>
      <c r="H1886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46115</v>
      </c>
      <c r="I1886" s="95" t="s">
        <v>1221</v>
      </c>
    </row>
    <row r="1887" spans="1:9" x14ac:dyDescent="0.3">
      <c r="A1887" s="1" t="s">
        <v>88</v>
      </c>
      <c r="B1887" s="6"/>
      <c r="C1887" s="1">
        <v>-1</v>
      </c>
      <c r="D1887" s="105">
        <v>46122</v>
      </c>
      <c r="E1887" s="105">
        <f t="shared" si="68"/>
        <v>46123</v>
      </c>
      <c r="F1887" s="105">
        <v>46122</v>
      </c>
      <c r="G1887" s="2">
        <f t="shared" si="67"/>
        <v>46123</v>
      </c>
      <c r="H1887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46115</v>
      </c>
      <c r="I1887" s="95" t="s">
        <v>1222</v>
      </c>
    </row>
    <row r="1888" spans="1:9" x14ac:dyDescent="0.3">
      <c r="A1888" s="1" t="s">
        <v>92</v>
      </c>
      <c r="B1888" s="6"/>
      <c r="C1888" s="1">
        <v>-1</v>
      </c>
      <c r="D1888" s="105">
        <v>46121</v>
      </c>
      <c r="E1888" s="105">
        <f t="shared" si="68"/>
        <v>46127</v>
      </c>
      <c r="F1888" s="105">
        <v>46126</v>
      </c>
      <c r="G1888" s="2">
        <f t="shared" si="67"/>
        <v>46127</v>
      </c>
      <c r="H1888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46115</v>
      </c>
      <c r="I1888" s="95" t="s">
        <v>1223</v>
      </c>
    </row>
    <row r="1889" spans="1:9" x14ac:dyDescent="0.3">
      <c r="A1889" s="1" t="s">
        <v>121</v>
      </c>
      <c r="B1889" s="6"/>
      <c r="C1889" s="1">
        <v>-1</v>
      </c>
      <c r="D1889" s="105">
        <v>46123</v>
      </c>
      <c r="E1889" s="105">
        <f t="shared" si="68"/>
        <v>46124</v>
      </c>
      <c r="F1889" s="105">
        <v>46123</v>
      </c>
      <c r="G1889" s="2">
        <f t="shared" si="67"/>
        <v>46124</v>
      </c>
      <c r="H1889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46116</v>
      </c>
      <c r="I1889" s="95" t="s">
        <v>1224</v>
      </c>
    </row>
    <row r="1890" spans="1:9" x14ac:dyDescent="0.3">
      <c r="A1890" s="1" t="s">
        <v>133</v>
      </c>
      <c r="B1890" s="6"/>
      <c r="C1890" s="1">
        <v>-1</v>
      </c>
      <c r="D1890" s="105">
        <v>46119</v>
      </c>
      <c r="E1890" s="105">
        <f t="shared" si="68"/>
        <v>46123</v>
      </c>
      <c r="F1890" s="105">
        <v>46122</v>
      </c>
      <c r="G1890" s="2">
        <f t="shared" si="67"/>
        <v>46123</v>
      </c>
      <c r="H1890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46116</v>
      </c>
      <c r="I1890" s="95" t="s">
        <v>1225</v>
      </c>
    </row>
    <row r="1891" spans="1:9" x14ac:dyDescent="0.3">
      <c r="A1891" s="1" t="s">
        <v>66</v>
      </c>
      <c r="B1891" s="6"/>
      <c r="C1891" s="1">
        <v>-1</v>
      </c>
      <c r="D1891" s="105">
        <v>46133</v>
      </c>
      <c r="E1891" s="105">
        <f t="shared" si="68"/>
        <v>46134</v>
      </c>
      <c r="F1891" s="105">
        <v>46133</v>
      </c>
      <c r="G1891" s="2">
        <f t="shared" si="67"/>
        <v>46134</v>
      </c>
      <c r="H1891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46116</v>
      </c>
      <c r="I1891" s="95" t="s">
        <v>1226</v>
      </c>
    </row>
    <row r="1892" spans="1:9" x14ac:dyDescent="0.3">
      <c r="A1892" s="1" t="s">
        <v>71</v>
      </c>
      <c r="B1892" s="6"/>
      <c r="C1892" s="1">
        <v>-1</v>
      </c>
      <c r="D1892" s="105">
        <v>46123</v>
      </c>
      <c r="E1892" s="105">
        <f t="shared" si="68"/>
        <v>46125</v>
      </c>
      <c r="F1892" s="105">
        <v>46124</v>
      </c>
      <c r="G1892" s="2">
        <f t="shared" ref="G1892:G1955" si="69">F1892+1</f>
        <v>46125</v>
      </c>
      <c r="H1892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46116</v>
      </c>
      <c r="I1892" s="95" t="s">
        <v>1227</v>
      </c>
    </row>
    <row r="1893" spans="1:9" x14ac:dyDescent="0.3">
      <c r="A1893" s="1" t="s">
        <v>89</v>
      </c>
      <c r="B1893" s="6"/>
      <c r="C1893" s="1">
        <v>-1</v>
      </c>
      <c r="D1893" s="105">
        <v>46120</v>
      </c>
      <c r="E1893" s="105">
        <f t="shared" si="68"/>
        <v>46122</v>
      </c>
      <c r="F1893" s="105">
        <v>46121</v>
      </c>
      <c r="G1893" s="2">
        <f t="shared" si="69"/>
        <v>46122</v>
      </c>
      <c r="H1893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46116</v>
      </c>
      <c r="I1893" s="95" t="s">
        <v>1228</v>
      </c>
    </row>
    <row r="1894" spans="1:9" x14ac:dyDescent="0.3">
      <c r="A1894" s="1" t="s">
        <v>76</v>
      </c>
      <c r="B1894" s="6"/>
      <c r="C1894" s="1">
        <v>-1</v>
      </c>
      <c r="D1894" s="105">
        <v>46123</v>
      </c>
      <c r="E1894" s="105">
        <f t="shared" si="68"/>
        <v>46130</v>
      </c>
      <c r="F1894" s="105">
        <v>46129</v>
      </c>
      <c r="G1894" s="2">
        <f t="shared" si="69"/>
        <v>46130</v>
      </c>
      <c r="H1894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46116</v>
      </c>
      <c r="I1894" s="95" t="s">
        <v>1229</v>
      </c>
    </row>
    <row r="1895" spans="1:9" x14ac:dyDescent="0.3">
      <c r="A1895" s="1" t="s">
        <v>160</v>
      </c>
      <c r="B1895" s="6"/>
      <c r="C1895" s="1">
        <v>-1</v>
      </c>
      <c r="D1895" s="105">
        <v>46119</v>
      </c>
      <c r="E1895" s="105">
        <f t="shared" si="68"/>
        <v>46124</v>
      </c>
      <c r="F1895" s="105">
        <v>46123</v>
      </c>
      <c r="G1895" s="2">
        <f t="shared" si="69"/>
        <v>46124</v>
      </c>
      <c r="H1895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46116</v>
      </c>
      <c r="I1895" s="95" t="s">
        <v>1230</v>
      </c>
    </row>
    <row r="1896" spans="1:9" x14ac:dyDescent="0.3">
      <c r="A1896" s="1" t="s">
        <v>66</v>
      </c>
      <c r="B1896" s="6"/>
      <c r="C1896" s="1">
        <v>-1</v>
      </c>
      <c r="D1896" s="105">
        <v>46135</v>
      </c>
      <c r="E1896" s="105">
        <f t="shared" si="68"/>
        <v>46136</v>
      </c>
      <c r="F1896" s="105">
        <v>46135</v>
      </c>
      <c r="G1896" s="2">
        <f t="shared" si="69"/>
        <v>46136</v>
      </c>
      <c r="H1896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46116</v>
      </c>
      <c r="I1896" s="95" t="s">
        <v>1231</v>
      </c>
    </row>
    <row r="1897" spans="1:9" x14ac:dyDescent="0.3">
      <c r="A1897" s="1" t="s">
        <v>623</v>
      </c>
      <c r="B1897" s="6"/>
      <c r="C1897" s="1">
        <v>-1</v>
      </c>
      <c r="D1897" s="105">
        <v>46127</v>
      </c>
      <c r="E1897" s="105">
        <f t="shared" si="68"/>
        <v>46132</v>
      </c>
      <c r="F1897" s="105">
        <v>46131</v>
      </c>
      <c r="G1897" s="2">
        <f t="shared" si="69"/>
        <v>46132</v>
      </c>
      <c r="H1897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46116</v>
      </c>
      <c r="I1897" s="95" t="s">
        <v>1232</v>
      </c>
    </row>
    <row r="1898" spans="1:9" x14ac:dyDescent="0.3">
      <c r="A1898" s="1" t="s">
        <v>623</v>
      </c>
      <c r="B1898" s="6"/>
      <c r="C1898" s="1">
        <v>-1</v>
      </c>
      <c r="D1898" s="105">
        <v>46136.041666666599</v>
      </c>
      <c r="E1898" s="105">
        <f t="shared" si="68"/>
        <v>46142.041666666599</v>
      </c>
      <c r="F1898" s="105">
        <v>46141.041666666599</v>
      </c>
      <c r="G1898" s="2">
        <f t="shared" si="69"/>
        <v>46142.041666666599</v>
      </c>
      <c r="H1898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46116</v>
      </c>
      <c r="I1898" s="95" t="s">
        <v>1232</v>
      </c>
    </row>
    <row r="1899" spans="1:9" x14ac:dyDescent="0.3">
      <c r="A1899" s="1" t="s">
        <v>172</v>
      </c>
      <c r="B1899" s="6"/>
      <c r="C1899" s="1">
        <v>-1</v>
      </c>
      <c r="D1899" s="105">
        <v>46204</v>
      </c>
      <c r="E1899" s="105">
        <f t="shared" si="68"/>
        <v>46266</v>
      </c>
      <c r="F1899" s="105">
        <v>46265</v>
      </c>
      <c r="G1899" s="2">
        <f t="shared" si="69"/>
        <v>46266</v>
      </c>
      <c r="H1899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46116</v>
      </c>
      <c r="I1899" s="95" t="s">
        <v>1233</v>
      </c>
    </row>
    <row r="1900" spans="1:9" x14ac:dyDescent="0.3">
      <c r="A1900" s="1" t="s">
        <v>172</v>
      </c>
      <c r="B1900" s="6"/>
      <c r="C1900" s="1">
        <v>-1</v>
      </c>
      <c r="D1900" s="105">
        <v>46235</v>
      </c>
      <c r="E1900" s="105">
        <f t="shared" si="68"/>
        <v>46266</v>
      </c>
      <c r="F1900" s="105">
        <v>46265</v>
      </c>
      <c r="G1900" s="2">
        <f t="shared" si="69"/>
        <v>46266</v>
      </c>
      <c r="H1900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46117</v>
      </c>
      <c r="I1900" s="95" t="s">
        <v>1234</v>
      </c>
    </row>
    <row r="1901" spans="1:9" x14ac:dyDescent="0.3">
      <c r="A1901" s="1" t="s">
        <v>172</v>
      </c>
      <c r="B1901" s="6"/>
      <c r="C1901" s="1">
        <v>-1</v>
      </c>
      <c r="D1901" s="105">
        <v>46246</v>
      </c>
      <c r="E1901" s="105">
        <f t="shared" si="68"/>
        <v>46255</v>
      </c>
      <c r="F1901" s="105">
        <v>46254</v>
      </c>
      <c r="G1901" s="2">
        <f t="shared" si="69"/>
        <v>46255</v>
      </c>
      <c r="H1901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46117</v>
      </c>
      <c r="I1901" s="95" t="s">
        <v>1234</v>
      </c>
    </row>
    <row r="1902" spans="1:9" x14ac:dyDescent="0.3">
      <c r="A1902" s="1" t="s">
        <v>172</v>
      </c>
      <c r="B1902" s="6"/>
      <c r="C1902" s="1">
        <v>-1</v>
      </c>
      <c r="D1902" s="105">
        <v>46121</v>
      </c>
      <c r="E1902" s="105">
        <v>46121</v>
      </c>
      <c r="F1902" s="105">
        <v>46121</v>
      </c>
      <c r="G1902" s="2">
        <f t="shared" si="69"/>
        <v>46122</v>
      </c>
      <c r="H1902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46118</v>
      </c>
      <c r="I1902" s="95" t="s">
        <v>1235</v>
      </c>
    </row>
    <row r="1903" spans="1:9" x14ac:dyDescent="0.3">
      <c r="A1903" s="1" t="s">
        <v>126</v>
      </c>
      <c r="B1903" s="6"/>
      <c r="C1903" s="1">
        <v>-1</v>
      </c>
      <c r="D1903" s="105">
        <v>46122</v>
      </c>
      <c r="E1903" s="105">
        <f t="shared" si="68"/>
        <v>46123</v>
      </c>
      <c r="F1903" s="105">
        <v>46122</v>
      </c>
      <c r="G1903" s="2">
        <f t="shared" si="69"/>
        <v>46123</v>
      </c>
      <c r="H1903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46118</v>
      </c>
      <c r="I1903" s="95" t="s">
        <v>1235</v>
      </c>
    </row>
    <row r="1904" spans="1:9" x14ac:dyDescent="0.3">
      <c r="A1904" s="1" t="s">
        <v>82</v>
      </c>
      <c r="B1904" s="6"/>
      <c r="C1904" s="1">
        <v>-1</v>
      </c>
      <c r="D1904" s="105">
        <v>46167.041666666599</v>
      </c>
      <c r="E1904" s="105">
        <f t="shared" si="68"/>
        <v>46173.041666666599</v>
      </c>
      <c r="F1904" s="105">
        <v>46172.041666666599</v>
      </c>
      <c r="G1904" s="2">
        <f t="shared" si="69"/>
        <v>46173.041666666599</v>
      </c>
      <c r="H1904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46118</v>
      </c>
      <c r="I1904" s="95" t="s">
        <v>1236</v>
      </c>
    </row>
    <row r="1905" spans="1:9" x14ac:dyDescent="0.3">
      <c r="A1905" s="1" t="s">
        <v>82</v>
      </c>
      <c r="B1905" s="6"/>
      <c r="C1905" s="1">
        <v>-1</v>
      </c>
      <c r="D1905" s="105">
        <v>46272</v>
      </c>
      <c r="E1905" s="105">
        <f t="shared" si="68"/>
        <v>46275</v>
      </c>
      <c r="F1905" s="105">
        <v>46274</v>
      </c>
      <c r="G1905" s="2">
        <f t="shared" si="69"/>
        <v>46275</v>
      </c>
      <c r="H1905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46118</v>
      </c>
      <c r="I1905" s="95" t="s">
        <v>1236</v>
      </c>
    </row>
    <row r="1906" spans="1:9" x14ac:dyDescent="0.3">
      <c r="A1906" s="1" t="s">
        <v>104</v>
      </c>
      <c r="B1906" s="6"/>
      <c r="C1906" s="1">
        <v>-1</v>
      </c>
      <c r="D1906" s="105">
        <v>46186</v>
      </c>
      <c r="E1906" s="105">
        <f t="shared" si="68"/>
        <v>46196</v>
      </c>
      <c r="F1906" s="105">
        <v>46195</v>
      </c>
      <c r="G1906" s="2">
        <f t="shared" si="69"/>
        <v>46196</v>
      </c>
      <c r="H1906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46118</v>
      </c>
      <c r="I1906" s="95" t="s">
        <v>1237</v>
      </c>
    </row>
    <row r="1907" spans="1:9" x14ac:dyDescent="0.3">
      <c r="A1907" s="1" t="s">
        <v>104</v>
      </c>
      <c r="B1907" s="6"/>
      <c r="C1907" s="1">
        <v>-1</v>
      </c>
      <c r="D1907" s="105">
        <v>46145.041666666599</v>
      </c>
      <c r="E1907" s="105">
        <f t="shared" si="68"/>
        <v>46147.041666666599</v>
      </c>
      <c r="F1907" s="105">
        <v>46146.041666666599</v>
      </c>
      <c r="G1907" s="2">
        <f t="shared" si="69"/>
        <v>46147.041666666599</v>
      </c>
      <c r="H1907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46118</v>
      </c>
      <c r="I1907" s="95" t="s">
        <v>1237</v>
      </c>
    </row>
    <row r="1908" spans="1:9" x14ac:dyDescent="0.3">
      <c r="A1908" s="1" t="s">
        <v>104</v>
      </c>
      <c r="B1908" s="6"/>
      <c r="C1908" s="1">
        <v>-1</v>
      </c>
      <c r="D1908" s="105">
        <v>46151.041666666599</v>
      </c>
      <c r="E1908" s="105">
        <f t="shared" si="68"/>
        <v>46152.041666666599</v>
      </c>
      <c r="F1908" s="105">
        <v>46151.041666666599</v>
      </c>
      <c r="G1908" s="2">
        <f t="shared" si="69"/>
        <v>46152.041666666599</v>
      </c>
      <c r="H1908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46118</v>
      </c>
      <c r="I1908" s="95" t="s">
        <v>1237</v>
      </c>
    </row>
    <row r="1909" spans="1:9" x14ac:dyDescent="0.3">
      <c r="A1909" s="1" t="s">
        <v>89</v>
      </c>
      <c r="B1909" s="6"/>
      <c r="C1909" s="1">
        <v>-1</v>
      </c>
      <c r="D1909" s="105">
        <v>46121</v>
      </c>
      <c r="E1909" s="105">
        <f t="shared" si="68"/>
        <v>46125</v>
      </c>
      <c r="F1909" s="105">
        <v>46124</v>
      </c>
      <c r="G1909" s="2">
        <f t="shared" si="69"/>
        <v>46125</v>
      </c>
      <c r="H1909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46119</v>
      </c>
      <c r="I1909" s="95" t="s">
        <v>1238</v>
      </c>
    </row>
    <row r="1910" spans="1:9" x14ac:dyDescent="0.3">
      <c r="A1910" s="1" t="s">
        <v>67</v>
      </c>
      <c r="B1910" s="6"/>
      <c r="C1910" s="1">
        <v>-1</v>
      </c>
      <c r="D1910" s="105">
        <v>46124</v>
      </c>
      <c r="E1910" s="105">
        <f t="shared" si="68"/>
        <v>46125</v>
      </c>
      <c r="F1910" s="105">
        <v>46124</v>
      </c>
      <c r="G1910" s="2">
        <f t="shared" si="69"/>
        <v>46125</v>
      </c>
      <c r="H1910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46119</v>
      </c>
      <c r="I1910" s="95" t="s">
        <v>1239</v>
      </c>
    </row>
    <row r="1911" spans="1:9" x14ac:dyDescent="0.3">
      <c r="A1911" s="1" t="s">
        <v>125</v>
      </c>
      <c r="B1911" s="6"/>
      <c r="C1911" s="1">
        <v>-1</v>
      </c>
      <c r="D1911" s="105">
        <v>46124</v>
      </c>
      <c r="E1911" s="105">
        <f t="shared" si="68"/>
        <v>46131</v>
      </c>
      <c r="F1911" s="105">
        <v>46130</v>
      </c>
      <c r="G1911" s="2">
        <f t="shared" si="69"/>
        <v>46131</v>
      </c>
      <c r="H1911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46119</v>
      </c>
      <c r="I1911" s="95" t="s">
        <v>1240</v>
      </c>
    </row>
    <row r="1912" spans="1:9" x14ac:dyDescent="0.3">
      <c r="A1912" s="1" t="s">
        <v>57</v>
      </c>
      <c r="B1912" s="6"/>
      <c r="C1912" s="1">
        <v>-1</v>
      </c>
      <c r="D1912" s="105">
        <v>46124</v>
      </c>
      <c r="E1912" s="105">
        <f t="shared" si="68"/>
        <v>46128</v>
      </c>
      <c r="F1912" s="105">
        <v>46127</v>
      </c>
      <c r="G1912" s="2">
        <f t="shared" si="69"/>
        <v>46128</v>
      </c>
      <c r="H1912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46119</v>
      </c>
      <c r="I1912" s="95" t="s">
        <v>1241</v>
      </c>
    </row>
    <row r="1913" spans="1:9" x14ac:dyDescent="0.3">
      <c r="A1913" s="1" t="s">
        <v>110</v>
      </c>
      <c r="B1913" s="6"/>
      <c r="C1913" s="1">
        <v>-1</v>
      </c>
      <c r="D1913" s="105">
        <v>46119</v>
      </c>
      <c r="E1913" s="105">
        <f t="shared" si="68"/>
        <v>46121</v>
      </c>
      <c r="F1913" s="105">
        <v>46120</v>
      </c>
      <c r="G1913" s="2">
        <f t="shared" si="69"/>
        <v>46121</v>
      </c>
      <c r="H1913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46119</v>
      </c>
      <c r="I1913" s="95" t="s">
        <v>1242</v>
      </c>
    </row>
    <row r="1914" spans="1:9" x14ac:dyDescent="0.3">
      <c r="A1914" s="1" t="s">
        <v>1149</v>
      </c>
      <c r="B1914" s="6"/>
      <c r="C1914" s="1">
        <v>-1</v>
      </c>
      <c r="D1914" s="105">
        <v>46123</v>
      </c>
      <c r="E1914" s="105">
        <f t="shared" si="68"/>
        <v>46125</v>
      </c>
      <c r="F1914" s="105">
        <v>46124</v>
      </c>
      <c r="G1914" s="2">
        <f t="shared" si="69"/>
        <v>46125</v>
      </c>
      <c r="H1914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46120</v>
      </c>
      <c r="I1914" s="95" t="s">
        <v>1243</v>
      </c>
    </row>
    <row r="1915" spans="1:9" x14ac:dyDescent="0.3">
      <c r="A1915" s="1" t="s">
        <v>623</v>
      </c>
      <c r="B1915" s="6"/>
      <c r="C1915" s="1">
        <v>-1</v>
      </c>
      <c r="D1915" s="105">
        <v>46142.041666666599</v>
      </c>
      <c r="E1915" s="105">
        <f t="shared" ref="E1915:E1978" si="70">G1915</f>
        <v>46143.041666666599</v>
      </c>
      <c r="F1915" s="105">
        <v>46142.041666666599</v>
      </c>
      <c r="G1915" s="2">
        <f t="shared" si="69"/>
        <v>46143.041666666599</v>
      </c>
      <c r="H1915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46120</v>
      </c>
      <c r="I1915" s="95" t="s">
        <v>1244</v>
      </c>
    </row>
    <row r="1916" spans="1:9" x14ac:dyDescent="0.3">
      <c r="A1916" s="1" t="s">
        <v>623</v>
      </c>
      <c r="B1916" s="6"/>
      <c r="C1916" s="1">
        <v>-1</v>
      </c>
      <c r="D1916" s="105">
        <v>46146.041666666599</v>
      </c>
      <c r="E1916" s="105">
        <f t="shared" si="70"/>
        <v>46152.041666666599</v>
      </c>
      <c r="F1916" s="105">
        <v>46151.041666666599</v>
      </c>
      <c r="G1916" s="2">
        <f t="shared" si="69"/>
        <v>46152.041666666599</v>
      </c>
      <c r="H1916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46120</v>
      </c>
      <c r="I1916" s="95" t="s">
        <v>1244</v>
      </c>
    </row>
    <row r="1917" spans="1:9" x14ac:dyDescent="0.3">
      <c r="A1917" s="1" t="s">
        <v>89</v>
      </c>
      <c r="B1917" s="6"/>
      <c r="C1917" s="1">
        <v>-1</v>
      </c>
      <c r="D1917" s="105">
        <v>46122</v>
      </c>
      <c r="E1917" s="105">
        <f t="shared" si="70"/>
        <v>46124</v>
      </c>
      <c r="F1917" s="105">
        <v>46123</v>
      </c>
      <c r="G1917" s="2">
        <f t="shared" si="69"/>
        <v>46124</v>
      </c>
      <c r="H1917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46120</v>
      </c>
      <c r="I1917" s="95" t="s">
        <v>1245</v>
      </c>
    </row>
    <row r="1918" spans="1:9" x14ac:dyDescent="0.3">
      <c r="A1918" s="1" t="s">
        <v>133</v>
      </c>
      <c r="B1918" s="6"/>
      <c r="C1918" s="1">
        <v>-1</v>
      </c>
      <c r="D1918" s="105">
        <v>46122</v>
      </c>
      <c r="E1918" s="105">
        <f t="shared" si="70"/>
        <v>46126</v>
      </c>
      <c r="F1918" s="105">
        <v>46125</v>
      </c>
      <c r="G1918" s="2">
        <f t="shared" si="69"/>
        <v>46126</v>
      </c>
      <c r="H1918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46120</v>
      </c>
      <c r="I1918" s="95" t="s">
        <v>1246</v>
      </c>
    </row>
    <row r="1919" spans="1:9" x14ac:dyDescent="0.3">
      <c r="A1919" s="1" t="s">
        <v>62</v>
      </c>
      <c r="B1919" s="6"/>
      <c r="C1919" s="1">
        <v>-1</v>
      </c>
      <c r="D1919" s="105">
        <v>46130</v>
      </c>
      <c r="E1919" s="105">
        <f t="shared" si="70"/>
        <v>46133</v>
      </c>
      <c r="F1919" s="105">
        <v>46132</v>
      </c>
      <c r="G1919" s="2">
        <f t="shared" si="69"/>
        <v>46133</v>
      </c>
      <c r="H1919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46120</v>
      </c>
      <c r="I1919" s="95" t="s">
        <v>1247</v>
      </c>
    </row>
    <row r="1920" spans="1:9" x14ac:dyDescent="0.3">
      <c r="A1920" s="1" t="s">
        <v>101</v>
      </c>
      <c r="B1920" s="6"/>
      <c r="C1920" s="1">
        <v>-1</v>
      </c>
      <c r="D1920" s="105">
        <v>46124</v>
      </c>
      <c r="E1920" s="105">
        <f t="shared" si="70"/>
        <v>46125</v>
      </c>
      <c r="F1920" s="105">
        <v>46124</v>
      </c>
      <c r="G1920" s="2">
        <f t="shared" si="69"/>
        <v>46125</v>
      </c>
      <c r="H1920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46120</v>
      </c>
      <c r="I1920" s="95" t="s">
        <v>1248</v>
      </c>
    </row>
    <row r="1921" spans="1:9" x14ac:dyDescent="0.3">
      <c r="A1921" s="1" t="s">
        <v>78</v>
      </c>
      <c r="B1921" s="6"/>
      <c r="C1921" s="1">
        <v>-1</v>
      </c>
      <c r="D1921" s="105">
        <v>46121</v>
      </c>
      <c r="E1921" s="105">
        <f t="shared" si="70"/>
        <v>46136</v>
      </c>
      <c r="F1921" s="105">
        <v>46135</v>
      </c>
      <c r="G1921" s="2">
        <f t="shared" si="69"/>
        <v>46136</v>
      </c>
      <c r="H1921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46120</v>
      </c>
      <c r="I1921" s="95" t="s">
        <v>1249</v>
      </c>
    </row>
    <row r="1922" spans="1:9" x14ac:dyDescent="0.3">
      <c r="A1922" s="1" t="s">
        <v>110</v>
      </c>
      <c r="B1922" s="6"/>
      <c r="C1922" s="1">
        <v>-1</v>
      </c>
      <c r="D1922" s="105">
        <v>46136.041666666599</v>
      </c>
      <c r="E1922" s="105">
        <f t="shared" si="70"/>
        <v>46137.041666666599</v>
      </c>
      <c r="F1922" s="105">
        <v>46136.041666666599</v>
      </c>
      <c r="G1922" s="2">
        <f t="shared" si="69"/>
        <v>46137.041666666599</v>
      </c>
      <c r="H1922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46120</v>
      </c>
      <c r="I1922" s="95" t="s">
        <v>1250</v>
      </c>
    </row>
    <row r="1923" spans="1:9" x14ac:dyDescent="0.3">
      <c r="A1923" s="1" t="s">
        <v>126</v>
      </c>
      <c r="B1923" s="6"/>
      <c r="C1923" s="1">
        <v>-1</v>
      </c>
      <c r="D1923" s="105">
        <v>46149.041666666599</v>
      </c>
      <c r="E1923" s="105">
        <f t="shared" si="70"/>
        <v>46153.041666666599</v>
      </c>
      <c r="F1923" s="105">
        <v>46152.041666666599</v>
      </c>
      <c r="G1923" s="2">
        <f t="shared" si="69"/>
        <v>46153.041666666599</v>
      </c>
      <c r="H1923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46120</v>
      </c>
      <c r="I1923" s="95" t="s">
        <v>1251</v>
      </c>
    </row>
    <row r="1924" spans="1:9" x14ac:dyDescent="0.3">
      <c r="A1924" s="1" t="s">
        <v>126</v>
      </c>
      <c r="B1924" s="6"/>
      <c r="C1924" s="1">
        <v>-1</v>
      </c>
      <c r="D1924" s="105">
        <v>46138.041666666599</v>
      </c>
      <c r="E1924" s="105">
        <f t="shared" si="70"/>
        <v>46173.041666666599</v>
      </c>
      <c r="F1924" s="105">
        <v>46172.041666666599</v>
      </c>
      <c r="G1924" s="2">
        <f t="shared" si="69"/>
        <v>46173.041666666599</v>
      </c>
      <c r="H1924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46120</v>
      </c>
      <c r="I1924" s="95" t="s">
        <v>1251</v>
      </c>
    </row>
    <row r="1925" spans="1:9" x14ac:dyDescent="0.3">
      <c r="A1925" s="1" t="s">
        <v>121</v>
      </c>
      <c r="B1925" s="6"/>
      <c r="C1925" s="1">
        <v>-1</v>
      </c>
      <c r="D1925" s="105">
        <v>46128</v>
      </c>
      <c r="E1925" s="105">
        <f t="shared" si="70"/>
        <v>46129</v>
      </c>
      <c r="F1925" s="105">
        <v>46128</v>
      </c>
      <c r="G1925" s="2">
        <f t="shared" si="69"/>
        <v>46129</v>
      </c>
      <c r="H1925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46121</v>
      </c>
      <c r="I1925" s="95" t="s">
        <v>1252</v>
      </c>
    </row>
    <row r="1926" spans="1:9" x14ac:dyDescent="0.3">
      <c r="A1926" s="1" t="s">
        <v>89</v>
      </c>
      <c r="B1926" s="6"/>
      <c r="C1926" s="1">
        <v>-1</v>
      </c>
      <c r="D1926" s="105">
        <v>46124</v>
      </c>
      <c r="E1926" s="105">
        <f t="shared" si="70"/>
        <v>46126</v>
      </c>
      <c r="F1926" s="105">
        <v>46125</v>
      </c>
      <c r="G1926" s="2">
        <f t="shared" si="69"/>
        <v>46126</v>
      </c>
      <c r="H1926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46121</v>
      </c>
      <c r="I1926" s="95" t="s">
        <v>1253</v>
      </c>
    </row>
    <row r="1927" spans="1:9" x14ac:dyDescent="0.3">
      <c r="A1927" s="1" t="s">
        <v>142</v>
      </c>
      <c r="B1927" s="6"/>
      <c r="C1927" s="1">
        <v>-1</v>
      </c>
      <c r="D1927" s="105">
        <v>46146.041666666599</v>
      </c>
      <c r="E1927" s="105">
        <f t="shared" si="70"/>
        <v>46152.041666666599</v>
      </c>
      <c r="F1927" s="105">
        <v>46151.041666666599</v>
      </c>
      <c r="G1927" s="2">
        <f t="shared" si="69"/>
        <v>46152.041666666599</v>
      </c>
      <c r="H1927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46121</v>
      </c>
      <c r="I1927" s="95" t="s">
        <v>1254</v>
      </c>
    </row>
    <row r="1928" spans="1:9" x14ac:dyDescent="0.3">
      <c r="A1928" s="1" t="s">
        <v>125</v>
      </c>
      <c r="B1928" s="6"/>
      <c r="C1928" s="1">
        <v>-1</v>
      </c>
      <c r="D1928" s="105">
        <v>46131</v>
      </c>
      <c r="E1928" s="105">
        <f t="shared" si="70"/>
        <v>46133</v>
      </c>
      <c r="F1928" s="105">
        <v>46132</v>
      </c>
      <c r="G1928" s="2">
        <f t="shared" si="69"/>
        <v>46133</v>
      </c>
      <c r="H1928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46122</v>
      </c>
      <c r="I1928" s="95" t="s">
        <v>1255</v>
      </c>
    </row>
    <row r="1929" spans="1:9" x14ac:dyDescent="0.3">
      <c r="A1929" s="1" t="s">
        <v>172</v>
      </c>
      <c r="B1929" s="6"/>
      <c r="C1929" s="1">
        <v>-1</v>
      </c>
      <c r="D1929" s="105">
        <v>46127</v>
      </c>
      <c r="E1929" s="105">
        <f t="shared" si="70"/>
        <v>46128</v>
      </c>
      <c r="F1929" s="105">
        <v>46127</v>
      </c>
      <c r="G1929" s="2">
        <f t="shared" si="69"/>
        <v>46128</v>
      </c>
      <c r="H1929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46122</v>
      </c>
      <c r="I1929" s="95" t="s">
        <v>1256</v>
      </c>
    </row>
    <row r="1930" spans="1:9" x14ac:dyDescent="0.3">
      <c r="A1930" s="1" t="s">
        <v>172</v>
      </c>
      <c r="B1930" s="6"/>
      <c r="C1930" s="1">
        <v>-1</v>
      </c>
      <c r="D1930" s="105">
        <v>46125</v>
      </c>
      <c r="E1930" s="105">
        <f t="shared" si="70"/>
        <v>46126</v>
      </c>
      <c r="F1930" s="105">
        <v>46125</v>
      </c>
      <c r="G1930" s="2">
        <f t="shared" si="69"/>
        <v>46126</v>
      </c>
      <c r="H1930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46122</v>
      </c>
      <c r="I1930" s="95" t="s">
        <v>1257</v>
      </c>
    </row>
    <row r="1931" spans="1:9" x14ac:dyDescent="0.3">
      <c r="A1931" s="1" t="s">
        <v>67</v>
      </c>
      <c r="B1931" s="6"/>
      <c r="C1931" s="1">
        <v>-1</v>
      </c>
      <c r="D1931" s="105">
        <v>46142.041666666599</v>
      </c>
      <c r="E1931" s="105">
        <f t="shared" si="70"/>
        <v>46144.041666666599</v>
      </c>
      <c r="F1931" s="105">
        <v>46143.041666666599</v>
      </c>
      <c r="G1931" s="2">
        <f t="shared" si="69"/>
        <v>46144.041666666599</v>
      </c>
      <c r="H1931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46123</v>
      </c>
      <c r="I1931" s="95" t="s">
        <v>1258</v>
      </c>
    </row>
    <row r="1932" spans="1:9" x14ac:dyDescent="0.3">
      <c r="A1932" s="1" t="s">
        <v>101</v>
      </c>
      <c r="B1932" s="6"/>
      <c r="C1932" s="1">
        <v>-1</v>
      </c>
      <c r="D1932" s="105">
        <v>46128</v>
      </c>
      <c r="E1932" s="105">
        <f t="shared" si="70"/>
        <v>46129</v>
      </c>
      <c r="F1932" s="105">
        <v>46128</v>
      </c>
      <c r="G1932" s="2">
        <f t="shared" si="69"/>
        <v>46129</v>
      </c>
      <c r="H1932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46123</v>
      </c>
      <c r="I1932" s="95" t="s">
        <v>1259</v>
      </c>
    </row>
    <row r="1933" spans="1:9" x14ac:dyDescent="0.3">
      <c r="A1933" s="1" t="s">
        <v>308</v>
      </c>
      <c r="B1933" s="6"/>
      <c r="C1933" s="1">
        <v>-1</v>
      </c>
      <c r="D1933" s="105">
        <v>46128</v>
      </c>
      <c r="E1933" s="105">
        <f t="shared" si="70"/>
        <v>46133</v>
      </c>
      <c r="F1933" s="105">
        <v>46132</v>
      </c>
      <c r="G1933" s="2">
        <f t="shared" si="69"/>
        <v>46133</v>
      </c>
      <c r="H1933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46123</v>
      </c>
      <c r="I1933" s="95" t="s">
        <v>1260</v>
      </c>
    </row>
    <row r="1934" spans="1:9" x14ac:dyDescent="0.3">
      <c r="A1934" s="1" t="s">
        <v>108</v>
      </c>
      <c r="B1934" s="6"/>
      <c r="C1934" s="1">
        <v>-1</v>
      </c>
      <c r="D1934" s="105">
        <v>46128</v>
      </c>
      <c r="E1934" s="105">
        <f t="shared" si="70"/>
        <v>46133</v>
      </c>
      <c r="F1934" s="105">
        <v>46132</v>
      </c>
      <c r="G1934" s="2">
        <f t="shared" si="69"/>
        <v>46133</v>
      </c>
      <c r="H1934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46123</v>
      </c>
      <c r="I1934" s="95" t="s">
        <v>1260</v>
      </c>
    </row>
    <row r="1935" spans="1:9" x14ac:dyDescent="0.3">
      <c r="A1935" s="1" t="s">
        <v>123</v>
      </c>
      <c r="B1935" s="6"/>
      <c r="C1935" s="1">
        <v>-1</v>
      </c>
      <c r="D1935" s="105">
        <v>46137.041666666599</v>
      </c>
      <c r="E1935" s="105">
        <f t="shared" si="70"/>
        <v>46143.041666666599</v>
      </c>
      <c r="F1935" s="105">
        <v>46142.041666666599</v>
      </c>
      <c r="G1935" s="2">
        <f t="shared" si="69"/>
        <v>46143.041666666599</v>
      </c>
      <c r="H1935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46123</v>
      </c>
      <c r="I1935" s="95" t="s">
        <v>1261</v>
      </c>
    </row>
    <row r="1936" spans="1:9" x14ac:dyDescent="0.3">
      <c r="A1936" s="1" t="s">
        <v>57</v>
      </c>
      <c r="B1936" s="6"/>
      <c r="C1936" s="1">
        <v>-1</v>
      </c>
      <c r="D1936" s="105">
        <v>46128</v>
      </c>
      <c r="E1936" s="105">
        <f t="shared" si="70"/>
        <v>46129</v>
      </c>
      <c r="F1936" s="105">
        <v>46128</v>
      </c>
      <c r="G1936" s="2">
        <f t="shared" si="69"/>
        <v>46129</v>
      </c>
      <c r="H1936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46123</v>
      </c>
      <c r="I1936" s="95" t="s">
        <v>1262</v>
      </c>
    </row>
    <row r="1937" spans="1:9" x14ac:dyDescent="0.3">
      <c r="A1937" s="1" t="s">
        <v>1149</v>
      </c>
      <c r="B1937" s="6"/>
      <c r="C1937" s="1">
        <v>-1</v>
      </c>
      <c r="D1937" s="105">
        <v>46130</v>
      </c>
      <c r="E1937" s="105">
        <f t="shared" si="70"/>
        <v>46131</v>
      </c>
      <c r="F1937" s="105">
        <v>46130</v>
      </c>
      <c r="G1937" s="2">
        <f t="shared" si="69"/>
        <v>46131</v>
      </c>
      <c r="H1937" s="2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46124</v>
      </c>
      <c r="I1937" s="95" t="s">
        <v>1263</v>
      </c>
    </row>
    <row r="1938" spans="1:9" x14ac:dyDescent="0.3">
      <c r="B1938" s="6"/>
      <c r="C1938" s="1">
        <v>-1</v>
      </c>
      <c r="D1938" s="105"/>
      <c r="E1938" s="105">
        <f t="shared" si="70"/>
        <v>1</v>
      </c>
      <c r="F1938" s="105"/>
      <c r="G1938" s="2">
        <f t="shared" si="69"/>
        <v>1</v>
      </c>
      <c r="H1938" s="2" t="e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#VALUE!</v>
      </c>
      <c r="I1938" s="95"/>
    </row>
    <row r="1939" spans="1:9" x14ac:dyDescent="0.3">
      <c r="B1939" s="6"/>
      <c r="C1939" s="1">
        <v>-1</v>
      </c>
      <c r="D1939" s="105"/>
      <c r="E1939" s="105">
        <f t="shared" si="70"/>
        <v>1</v>
      </c>
      <c r="F1939" s="105"/>
      <c r="G1939" s="2">
        <f t="shared" si="69"/>
        <v>1</v>
      </c>
      <c r="H1939" s="2" t="e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#VALUE!</v>
      </c>
      <c r="I1939" s="95"/>
    </row>
    <row r="1940" spans="1:9" x14ac:dyDescent="0.3">
      <c r="B1940" s="6"/>
      <c r="C1940" s="1">
        <v>-1</v>
      </c>
      <c r="D1940" s="105"/>
      <c r="E1940" s="105">
        <f t="shared" si="70"/>
        <v>1</v>
      </c>
      <c r="F1940" s="105"/>
      <c r="G1940" s="2">
        <f t="shared" si="69"/>
        <v>1</v>
      </c>
      <c r="H1940" s="2" t="e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#VALUE!</v>
      </c>
      <c r="I1940" s="95"/>
    </row>
    <row r="1941" spans="1:9" x14ac:dyDescent="0.3">
      <c r="B1941" s="6"/>
      <c r="C1941" s="1">
        <v>-1</v>
      </c>
      <c r="D1941" s="105"/>
      <c r="E1941" s="105">
        <f t="shared" si="70"/>
        <v>1</v>
      </c>
      <c r="F1941" s="105"/>
      <c r="G1941" s="2">
        <f t="shared" si="69"/>
        <v>1</v>
      </c>
      <c r="H1941" s="2" t="e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#VALUE!</v>
      </c>
      <c r="I1941" s="95"/>
    </row>
    <row r="1942" spans="1:9" x14ac:dyDescent="0.3">
      <c r="B1942" s="6"/>
      <c r="C1942" s="1">
        <v>-1</v>
      </c>
      <c r="D1942" s="105"/>
      <c r="E1942" s="105">
        <f t="shared" si="70"/>
        <v>1</v>
      </c>
      <c r="F1942" s="105"/>
      <c r="G1942" s="2">
        <f t="shared" si="69"/>
        <v>1</v>
      </c>
      <c r="H1942" s="2" t="e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#VALUE!</v>
      </c>
      <c r="I1942" s="95"/>
    </row>
    <row r="1943" spans="1:9" x14ac:dyDescent="0.3">
      <c r="B1943" s="6"/>
      <c r="C1943" s="1">
        <v>-1</v>
      </c>
      <c r="D1943" s="105"/>
      <c r="E1943" s="105">
        <f t="shared" si="70"/>
        <v>1</v>
      </c>
      <c r="F1943" s="105"/>
      <c r="G1943" s="2">
        <f t="shared" si="69"/>
        <v>1</v>
      </c>
      <c r="H1943" s="2" t="e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#VALUE!</v>
      </c>
      <c r="I1943" s="95"/>
    </row>
    <row r="1944" spans="1:9" x14ac:dyDescent="0.3">
      <c r="B1944" s="6"/>
      <c r="C1944" s="1">
        <v>-1</v>
      </c>
      <c r="D1944" s="105"/>
      <c r="E1944" s="105">
        <f t="shared" si="70"/>
        <v>1</v>
      </c>
      <c r="F1944" s="105"/>
      <c r="G1944" s="2">
        <f t="shared" si="69"/>
        <v>1</v>
      </c>
      <c r="H1944" s="2" t="e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#VALUE!</v>
      </c>
      <c r="I1944" s="95"/>
    </row>
    <row r="1945" spans="1:9" x14ac:dyDescent="0.3">
      <c r="B1945" s="6"/>
      <c r="C1945" s="1">
        <v>-1</v>
      </c>
      <c r="D1945" s="105"/>
      <c r="E1945" s="105">
        <f t="shared" si="70"/>
        <v>1</v>
      </c>
      <c r="F1945" s="105"/>
      <c r="G1945" s="2">
        <f t="shared" si="69"/>
        <v>1</v>
      </c>
      <c r="H1945" s="2" t="e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#VALUE!</v>
      </c>
      <c r="I1945" s="95"/>
    </row>
    <row r="1946" spans="1:9" x14ac:dyDescent="0.3">
      <c r="B1946" s="6"/>
      <c r="C1946" s="1">
        <v>-1</v>
      </c>
      <c r="D1946" s="105"/>
      <c r="E1946" s="105">
        <f t="shared" si="70"/>
        <v>1</v>
      </c>
      <c r="F1946" s="105"/>
      <c r="G1946" s="2">
        <f t="shared" si="69"/>
        <v>1</v>
      </c>
      <c r="H1946" s="2" t="e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#VALUE!</v>
      </c>
      <c r="I1946" s="95"/>
    </row>
    <row r="1947" spans="1:9" x14ac:dyDescent="0.3">
      <c r="B1947" s="6"/>
      <c r="C1947" s="1">
        <v>-1</v>
      </c>
      <c r="D1947" s="105"/>
      <c r="E1947" s="105">
        <f t="shared" si="70"/>
        <v>1</v>
      </c>
      <c r="F1947" s="105"/>
      <c r="G1947" s="2">
        <f t="shared" si="69"/>
        <v>1</v>
      </c>
      <c r="H1947" s="2" t="e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#VALUE!</v>
      </c>
      <c r="I1947" s="95"/>
    </row>
    <row r="1948" spans="1:9" x14ac:dyDescent="0.3">
      <c r="B1948" s="6"/>
      <c r="C1948" s="1">
        <v>-1</v>
      </c>
      <c r="D1948" s="105"/>
      <c r="E1948" s="105">
        <f t="shared" si="70"/>
        <v>1</v>
      </c>
      <c r="F1948" s="105"/>
      <c r="G1948" s="2">
        <f t="shared" si="69"/>
        <v>1</v>
      </c>
      <c r="H1948" s="2" t="e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#VALUE!</v>
      </c>
      <c r="I1948" s="95"/>
    </row>
    <row r="1949" spans="1:9" x14ac:dyDescent="0.3">
      <c r="B1949" s="6"/>
      <c r="C1949" s="1">
        <v>-1</v>
      </c>
      <c r="D1949" s="105"/>
      <c r="E1949" s="105">
        <f t="shared" si="70"/>
        <v>1</v>
      </c>
      <c r="F1949" s="105"/>
      <c r="G1949" s="2">
        <f t="shared" si="69"/>
        <v>1</v>
      </c>
      <c r="H1949" s="2" t="e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#VALUE!</v>
      </c>
      <c r="I1949" s="95"/>
    </row>
    <row r="1950" spans="1:9" x14ac:dyDescent="0.3">
      <c r="B1950" s="6"/>
      <c r="C1950" s="1">
        <v>-1</v>
      </c>
      <c r="D1950" s="105"/>
      <c r="E1950" s="105">
        <f t="shared" si="70"/>
        <v>1</v>
      </c>
      <c r="F1950" s="105"/>
      <c r="G1950" s="2">
        <f t="shared" si="69"/>
        <v>1</v>
      </c>
      <c r="H1950" s="2" t="e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#VALUE!</v>
      </c>
      <c r="I1950" s="95"/>
    </row>
    <row r="1951" spans="1:9" x14ac:dyDescent="0.3">
      <c r="B1951" s="6"/>
      <c r="C1951" s="1">
        <v>-1</v>
      </c>
      <c r="D1951" s="105"/>
      <c r="E1951" s="105">
        <f t="shared" si="70"/>
        <v>1</v>
      </c>
      <c r="F1951" s="105"/>
      <c r="G1951" s="2">
        <f t="shared" si="69"/>
        <v>1</v>
      </c>
      <c r="H1951" s="2" t="e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#VALUE!</v>
      </c>
      <c r="I1951" s="95"/>
    </row>
    <row r="1952" spans="1:9" x14ac:dyDescent="0.3">
      <c r="B1952" s="6"/>
      <c r="C1952" s="1">
        <v>-1</v>
      </c>
      <c r="D1952" s="105"/>
      <c r="E1952" s="105">
        <f t="shared" si="70"/>
        <v>1</v>
      </c>
      <c r="F1952" s="105"/>
      <c r="G1952" s="2">
        <f t="shared" si="69"/>
        <v>1</v>
      </c>
      <c r="H1952" s="2" t="e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#VALUE!</v>
      </c>
      <c r="I1952" s="95"/>
    </row>
    <row r="1953" spans="2:9" x14ac:dyDescent="0.3">
      <c r="B1953" s="6"/>
      <c r="C1953" s="1">
        <v>-1</v>
      </c>
      <c r="D1953" s="105"/>
      <c r="E1953" s="105">
        <f t="shared" si="70"/>
        <v>1</v>
      </c>
      <c r="F1953" s="105"/>
      <c r="G1953" s="2">
        <f t="shared" si="69"/>
        <v>1</v>
      </c>
      <c r="H1953" s="2" t="e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#VALUE!</v>
      </c>
      <c r="I1953" s="95"/>
    </row>
    <row r="1954" spans="2:9" x14ac:dyDescent="0.3">
      <c r="B1954" s="6"/>
      <c r="C1954" s="1">
        <v>-1</v>
      </c>
      <c r="D1954" s="105"/>
      <c r="E1954" s="105">
        <f t="shared" si="70"/>
        <v>1</v>
      </c>
      <c r="F1954" s="105"/>
      <c r="G1954" s="2">
        <f t="shared" si="69"/>
        <v>1</v>
      </c>
      <c r="H1954" s="2" t="e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#VALUE!</v>
      </c>
      <c r="I1954" s="95"/>
    </row>
    <row r="1955" spans="2:9" x14ac:dyDescent="0.3">
      <c r="B1955" s="6"/>
      <c r="C1955" s="1">
        <v>-1</v>
      </c>
      <c r="D1955" s="105"/>
      <c r="E1955" s="105">
        <f t="shared" si="70"/>
        <v>1</v>
      </c>
      <c r="F1955" s="105"/>
      <c r="G1955" s="2">
        <f t="shared" si="69"/>
        <v>1</v>
      </c>
      <c r="H1955" s="2" t="e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#VALUE!</v>
      </c>
      <c r="I1955" s="95"/>
    </row>
    <row r="1956" spans="2:9" x14ac:dyDescent="0.3">
      <c r="B1956" s="6"/>
      <c r="C1956" s="1">
        <v>-1</v>
      </c>
      <c r="D1956" s="105"/>
      <c r="E1956" s="105">
        <f t="shared" si="70"/>
        <v>1</v>
      </c>
      <c r="F1956" s="105"/>
      <c r="G1956" s="2">
        <f t="shared" ref="G1956:G2000" si="71">F1956+1</f>
        <v>1</v>
      </c>
      <c r="H1956" s="2" t="e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#VALUE!</v>
      </c>
      <c r="I1956" s="95"/>
    </row>
    <row r="1957" spans="2:9" x14ac:dyDescent="0.3">
      <c r="B1957" s="6"/>
      <c r="C1957" s="1">
        <v>-1</v>
      </c>
      <c r="D1957" s="105"/>
      <c r="E1957" s="105">
        <f t="shared" si="70"/>
        <v>1</v>
      </c>
      <c r="F1957" s="105"/>
      <c r="G1957" s="2">
        <f t="shared" si="71"/>
        <v>1</v>
      </c>
      <c r="H1957" s="2" t="e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#VALUE!</v>
      </c>
      <c r="I1957" s="95"/>
    </row>
    <row r="1958" spans="2:9" x14ac:dyDescent="0.3">
      <c r="B1958" s="6"/>
      <c r="C1958" s="1">
        <v>-1</v>
      </c>
      <c r="D1958" s="105"/>
      <c r="E1958" s="105">
        <f t="shared" si="70"/>
        <v>1</v>
      </c>
      <c r="F1958" s="105"/>
      <c r="G1958" s="2">
        <f t="shared" si="71"/>
        <v>1</v>
      </c>
      <c r="H1958" s="2" t="e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#VALUE!</v>
      </c>
      <c r="I1958" s="95"/>
    </row>
    <row r="1959" spans="2:9" x14ac:dyDescent="0.3">
      <c r="B1959" s="6"/>
      <c r="C1959" s="1">
        <v>-1</v>
      </c>
      <c r="D1959" s="105"/>
      <c r="E1959" s="105">
        <f t="shared" si="70"/>
        <v>1</v>
      </c>
      <c r="F1959" s="105"/>
      <c r="G1959" s="2">
        <f t="shared" si="71"/>
        <v>1</v>
      </c>
      <c r="H1959" s="2" t="e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#VALUE!</v>
      </c>
      <c r="I1959" s="95"/>
    </row>
    <row r="1960" spans="2:9" x14ac:dyDescent="0.3">
      <c r="B1960" s="6"/>
      <c r="C1960" s="1">
        <v>-1</v>
      </c>
      <c r="D1960" s="105"/>
      <c r="E1960" s="105">
        <f t="shared" si="70"/>
        <v>1</v>
      </c>
      <c r="F1960" s="105"/>
      <c r="G1960" s="2">
        <f t="shared" si="71"/>
        <v>1</v>
      </c>
      <c r="H1960" s="2" t="e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#VALUE!</v>
      </c>
      <c r="I1960" s="95"/>
    </row>
    <row r="1961" spans="2:9" x14ac:dyDescent="0.3">
      <c r="B1961" s="6"/>
      <c r="C1961" s="1">
        <v>-1</v>
      </c>
      <c r="D1961" s="105"/>
      <c r="E1961" s="105">
        <f t="shared" si="70"/>
        <v>1</v>
      </c>
      <c r="F1961" s="105"/>
      <c r="G1961" s="2">
        <f t="shared" si="71"/>
        <v>1</v>
      </c>
      <c r="H1961" s="2" t="e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#VALUE!</v>
      </c>
      <c r="I1961" s="95"/>
    </row>
    <row r="1962" spans="2:9" x14ac:dyDescent="0.3">
      <c r="B1962" s="6"/>
      <c r="C1962" s="1">
        <v>-1</v>
      </c>
      <c r="D1962" s="105"/>
      <c r="E1962" s="105">
        <f t="shared" si="70"/>
        <v>1</v>
      </c>
      <c r="F1962" s="105"/>
      <c r="G1962" s="2">
        <f t="shared" si="71"/>
        <v>1</v>
      </c>
      <c r="H1962" s="2" t="e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#VALUE!</v>
      </c>
      <c r="I1962" s="95"/>
    </row>
    <row r="1963" spans="2:9" x14ac:dyDescent="0.3">
      <c r="B1963" s="6"/>
      <c r="C1963" s="1">
        <v>-1</v>
      </c>
      <c r="D1963" s="105"/>
      <c r="E1963" s="105">
        <f t="shared" si="70"/>
        <v>1</v>
      </c>
      <c r="F1963" s="105"/>
      <c r="G1963" s="2">
        <f t="shared" si="71"/>
        <v>1</v>
      </c>
      <c r="H1963" s="2" t="e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#VALUE!</v>
      </c>
      <c r="I1963" s="95"/>
    </row>
    <row r="1964" spans="2:9" x14ac:dyDescent="0.3">
      <c r="B1964" s="6"/>
      <c r="C1964" s="1">
        <v>-1</v>
      </c>
      <c r="D1964" s="105"/>
      <c r="E1964" s="105">
        <f t="shared" si="70"/>
        <v>1</v>
      </c>
      <c r="F1964" s="105"/>
      <c r="G1964" s="2">
        <f t="shared" si="71"/>
        <v>1</v>
      </c>
      <c r="H1964" s="2" t="e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#VALUE!</v>
      </c>
      <c r="I1964" s="95"/>
    </row>
    <row r="1965" spans="2:9" x14ac:dyDescent="0.3">
      <c r="B1965" s="6"/>
      <c r="C1965" s="1">
        <v>-1</v>
      </c>
      <c r="D1965" s="105"/>
      <c r="E1965" s="105">
        <f t="shared" si="70"/>
        <v>1</v>
      </c>
      <c r="F1965" s="105"/>
      <c r="G1965" s="2">
        <f t="shared" si="71"/>
        <v>1</v>
      </c>
      <c r="H1965" s="2" t="e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#VALUE!</v>
      </c>
      <c r="I1965" s="95"/>
    </row>
    <row r="1966" spans="2:9" x14ac:dyDescent="0.3">
      <c r="B1966" s="6"/>
      <c r="C1966" s="1">
        <v>-1</v>
      </c>
      <c r="D1966" s="105"/>
      <c r="E1966" s="105">
        <f t="shared" si="70"/>
        <v>1</v>
      </c>
      <c r="F1966" s="105"/>
      <c r="G1966" s="2">
        <f t="shared" si="71"/>
        <v>1</v>
      </c>
      <c r="H1966" s="2" t="e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#VALUE!</v>
      </c>
      <c r="I1966" s="95"/>
    </row>
    <row r="1967" spans="2:9" x14ac:dyDescent="0.3">
      <c r="B1967" s="6"/>
      <c r="C1967" s="1">
        <v>-1</v>
      </c>
      <c r="D1967" s="105"/>
      <c r="E1967" s="105">
        <f t="shared" si="70"/>
        <v>1</v>
      </c>
      <c r="F1967" s="105"/>
      <c r="G1967" s="2">
        <f t="shared" si="71"/>
        <v>1</v>
      </c>
      <c r="H1967" s="2" t="e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#VALUE!</v>
      </c>
      <c r="I1967" s="95"/>
    </row>
    <row r="1968" spans="2:9" x14ac:dyDescent="0.3">
      <c r="B1968" s="6"/>
      <c r="C1968" s="1">
        <v>-1</v>
      </c>
      <c r="D1968" s="105"/>
      <c r="E1968" s="105">
        <f t="shared" si="70"/>
        <v>1</v>
      </c>
      <c r="F1968" s="105"/>
      <c r="G1968" s="2">
        <f t="shared" si="71"/>
        <v>1</v>
      </c>
      <c r="H1968" s="2" t="e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#VALUE!</v>
      </c>
      <c r="I1968" s="95"/>
    </row>
    <row r="1969" spans="2:9" x14ac:dyDescent="0.3">
      <c r="B1969" s="6"/>
      <c r="C1969" s="1">
        <v>-1</v>
      </c>
      <c r="D1969" s="105"/>
      <c r="E1969" s="105">
        <f t="shared" si="70"/>
        <v>1</v>
      </c>
      <c r="F1969" s="105"/>
      <c r="G1969" s="2">
        <f t="shared" si="71"/>
        <v>1</v>
      </c>
      <c r="H1969" s="2" t="e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#VALUE!</v>
      </c>
      <c r="I1969" s="95"/>
    </row>
    <row r="1970" spans="2:9" x14ac:dyDescent="0.3">
      <c r="B1970" s="6"/>
      <c r="C1970" s="1">
        <v>-1</v>
      </c>
      <c r="D1970" s="105"/>
      <c r="E1970" s="105">
        <f t="shared" si="70"/>
        <v>1</v>
      </c>
      <c r="F1970" s="105"/>
      <c r="G1970" s="2">
        <f t="shared" si="71"/>
        <v>1</v>
      </c>
      <c r="H1970" s="2" t="e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#VALUE!</v>
      </c>
      <c r="I1970" s="95"/>
    </row>
    <row r="1971" spans="2:9" x14ac:dyDescent="0.3">
      <c r="B1971" s="6"/>
      <c r="C1971" s="1">
        <v>-1</v>
      </c>
      <c r="D1971" s="105"/>
      <c r="E1971" s="105">
        <f t="shared" si="70"/>
        <v>1</v>
      </c>
      <c r="F1971" s="105"/>
      <c r="G1971" s="2">
        <f t="shared" si="71"/>
        <v>1</v>
      </c>
      <c r="H1971" s="2" t="e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#VALUE!</v>
      </c>
      <c r="I1971" s="95"/>
    </row>
    <row r="1972" spans="2:9" x14ac:dyDescent="0.3">
      <c r="B1972" s="6"/>
      <c r="C1972" s="1">
        <v>-1</v>
      </c>
      <c r="D1972" s="105"/>
      <c r="E1972" s="105">
        <f t="shared" si="70"/>
        <v>1</v>
      </c>
      <c r="F1972" s="105"/>
      <c r="G1972" s="2">
        <f t="shared" si="71"/>
        <v>1</v>
      </c>
      <c r="H1972" s="2" t="e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#VALUE!</v>
      </c>
      <c r="I1972" s="95"/>
    </row>
    <row r="1973" spans="2:9" x14ac:dyDescent="0.3">
      <c r="B1973" s="6"/>
      <c r="C1973" s="1">
        <v>-1</v>
      </c>
      <c r="D1973" s="105"/>
      <c r="E1973" s="105">
        <f t="shared" si="70"/>
        <v>1</v>
      </c>
      <c r="F1973" s="105"/>
      <c r="G1973" s="2">
        <f t="shared" si="71"/>
        <v>1</v>
      </c>
      <c r="H1973" s="2" t="e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#VALUE!</v>
      </c>
      <c r="I1973" s="95"/>
    </row>
    <row r="1974" spans="2:9" x14ac:dyDescent="0.3">
      <c r="B1974" s="6"/>
      <c r="C1974" s="1">
        <v>-1</v>
      </c>
      <c r="D1974" s="105"/>
      <c r="E1974" s="105">
        <f t="shared" si="70"/>
        <v>1</v>
      </c>
      <c r="F1974" s="105"/>
      <c r="G1974" s="2">
        <f t="shared" si="71"/>
        <v>1</v>
      </c>
      <c r="H1974" s="2" t="e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#VALUE!</v>
      </c>
      <c r="I1974" s="95"/>
    </row>
    <row r="1975" spans="2:9" x14ac:dyDescent="0.3">
      <c r="B1975" s="6"/>
      <c r="C1975" s="1">
        <v>-1</v>
      </c>
      <c r="D1975" s="105"/>
      <c r="E1975" s="105">
        <f t="shared" si="70"/>
        <v>1</v>
      </c>
      <c r="F1975" s="105"/>
      <c r="G1975" s="2">
        <f t="shared" si="71"/>
        <v>1</v>
      </c>
      <c r="H1975" s="2" t="e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#VALUE!</v>
      </c>
      <c r="I1975" s="95"/>
    </row>
    <row r="1976" spans="2:9" x14ac:dyDescent="0.3">
      <c r="B1976" s="6"/>
      <c r="C1976" s="1">
        <v>-1</v>
      </c>
      <c r="D1976" s="105"/>
      <c r="E1976" s="105">
        <f t="shared" si="70"/>
        <v>1</v>
      </c>
      <c r="F1976" s="105"/>
      <c r="G1976" s="2">
        <f t="shared" si="71"/>
        <v>1</v>
      </c>
      <c r="H1976" s="2" t="e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#VALUE!</v>
      </c>
      <c r="I1976" s="95"/>
    </row>
    <row r="1977" spans="2:9" x14ac:dyDescent="0.3">
      <c r="B1977" s="6"/>
      <c r="C1977" s="1">
        <v>-1</v>
      </c>
      <c r="D1977" s="105"/>
      <c r="E1977" s="105">
        <f t="shared" si="70"/>
        <v>1</v>
      </c>
      <c r="F1977" s="105"/>
      <c r="G1977" s="2">
        <f t="shared" si="71"/>
        <v>1</v>
      </c>
      <c r="H1977" s="2" t="e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#VALUE!</v>
      </c>
      <c r="I1977" s="95"/>
    </row>
    <row r="1978" spans="2:9" x14ac:dyDescent="0.3">
      <c r="B1978" s="6"/>
      <c r="C1978" s="1">
        <v>-1</v>
      </c>
      <c r="D1978" s="105"/>
      <c r="E1978" s="105">
        <f t="shared" si="70"/>
        <v>1</v>
      </c>
      <c r="F1978" s="105"/>
      <c r="G1978" s="2">
        <f t="shared" si="71"/>
        <v>1</v>
      </c>
      <c r="H1978" s="2" t="e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#VALUE!</v>
      </c>
      <c r="I1978" s="95"/>
    </row>
    <row r="1979" spans="2:9" x14ac:dyDescent="0.3">
      <c r="B1979" s="6"/>
      <c r="D1979" s="105"/>
      <c r="E1979" s="105">
        <f t="shared" ref="E1979:E2000" si="72">G1979</f>
        <v>1</v>
      </c>
      <c r="F1979" s="105"/>
      <c r="G1979" s="2">
        <f t="shared" si="71"/>
        <v>1</v>
      </c>
      <c r="H1979" s="2" t="e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#VALUE!</v>
      </c>
      <c r="I1979" s="95"/>
    </row>
    <row r="1980" spans="2:9" x14ac:dyDescent="0.3">
      <c r="B1980" s="6"/>
      <c r="D1980" s="105"/>
      <c r="E1980" s="105">
        <f t="shared" si="72"/>
        <v>1</v>
      </c>
      <c r="F1980" s="105"/>
      <c r="G1980" s="2">
        <f t="shared" si="71"/>
        <v>1</v>
      </c>
      <c r="H1980" s="2" t="e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#VALUE!</v>
      </c>
      <c r="I1980" s="95"/>
    </row>
    <row r="1981" spans="2:9" x14ac:dyDescent="0.3">
      <c r="B1981" s="6"/>
      <c r="D1981" s="105"/>
      <c r="E1981" s="105">
        <f t="shared" si="72"/>
        <v>1</v>
      </c>
      <c r="F1981" s="105"/>
      <c r="G1981" s="2">
        <f t="shared" si="71"/>
        <v>1</v>
      </c>
      <c r="H1981" s="2" t="e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#VALUE!</v>
      </c>
      <c r="I1981" s="95"/>
    </row>
    <row r="1982" spans="2:9" x14ac:dyDescent="0.3">
      <c r="B1982" s="6"/>
      <c r="D1982" s="105"/>
      <c r="E1982" s="105">
        <f t="shared" si="72"/>
        <v>1</v>
      </c>
      <c r="F1982" s="105"/>
      <c r="G1982" s="2">
        <f t="shared" si="71"/>
        <v>1</v>
      </c>
      <c r="H1982" s="2" t="e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#VALUE!</v>
      </c>
      <c r="I1982" s="95"/>
    </row>
    <row r="1983" spans="2:9" x14ac:dyDescent="0.3">
      <c r="B1983" s="6"/>
      <c r="D1983" s="105"/>
      <c r="E1983" s="105">
        <f t="shared" si="72"/>
        <v>1</v>
      </c>
      <c r="F1983" s="105"/>
      <c r="G1983" s="2">
        <f t="shared" si="71"/>
        <v>1</v>
      </c>
      <c r="H1983" s="2" t="e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#VALUE!</v>
      </c>
      <c r="I1983" s="95"/>
    </row>
    <row r="1984" spans="2:9" x14ac:dyDescent="0.3">
      <c r="B1984" s="6"/>
      <c r="D1984" s="105"/>
      <c r="E1984" s="105">
        <f t="shared" si="72"/>
        <v>1</v>
      </c>
      <c r="F1984" s="105"/>
      <c r="G1984" s="2">
        <f t="shared" si="71"/>
        <v>1</v>
      </c>
      <c r="H1984" s="2" t="e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#VALUE!</v>
      </c>
      <c r="I1984" s="95"/>
    </row>
    <row r="1985" spans="2:9" x14ac:dyDescent="0.3">
      <c r="B1985" s="6"/>
      <c r="D1985" s="105"/>
      <c r="E1985" s="105">
        <f t="shared" si="72"/>
        <v>1</v>
      </c>
      <c r="F1985" s="105"/>
      <c r="G1985" s="2">
        <f t="shared" si="71"/>
        <v>1</v>
      </c>
      <c r="H1985" s="2" t="e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#VALUE!</v>
      </c>
      <c r="I1985" s="95"/>
    </row>
    <row r="1986" spans="2:9" x14ac:dyDescent="0.3">
      <c r="B1986" s="6"/>
      <c r="D1986" s="105"/>
      <c r="E1986" s="105">
        <f t="shared" si="72"/>
        <v>1</v>
      </c>
      <c r="F1986" s="105"/>
      <c r="G1986" s="2">
        <f t="shared" si="71"/>
        <v>1</v>
      </c>
      <c r="H1986" s="2" t="e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#VALUE!</v>
      </c>
      <c r="I1986" s="95"/>
    </row>
    <row r="1987" spans="2:9" x14ac:dyDescent="0.3">
      <c r="B1987" s="6"/>
      <c r="D1987" s="105"/>
      <c r="E1987" s="105">
        <f t="shared" si="72"/>
        <v>1</v>
      </c>
      <c r="F1987" s="105"/>
      <c r="G1987" s="2">
        <f t="shared" si="71"/>
        <v>1</v>
      </c>
      <c r="H1987" s="2" t="e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#VALUE!</v>
      </c>
      <c r="I1987" s="95"/>
    </row>
    <row r="1988" spans="2:9" x14ac:dyDescent="0.3">
      <c r="B1988" s="6"/>
      <c r="D1988" s="105"/>
      <c r="E1988" s="105">
        <f t="shared" si="72"/>
        <v>1</v>
      </c>
      <c r="F1988" s="105"/>
      <c r="G1988" s="2">
        <f t="shared" si="71"/>
        <v>1</v>
      </c>
      <c r="H1988" s="2" t="e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#VALUE!</v>
      </c>
      <c r="I1988" s="95"/>
    </row>
    <row r="1989" spans="2:9" x14ac:dyDescent="0.3">
      <c r="B1989" s="6"/>
      <c r="D1989" s="105"/>
      <c r="E1989" s="105">
        <f t="shared" si="72"/>
        <v>1</v>
      </c>
      <c r="F1989" s="105"/>
      <c r="G1989" s="2">
        <f t="shared" si="71"/>
        <v>1</v>
      </c>
      <c r="H1989" s="2" t="e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#VALUE!</v>
      </c>
      <c r="I1989" s="95"/>
    </row>
    <row r="1990" spans="2:9" x14ac:dyDescent="0.3">
      <c r="B1990" s="6"/>
      <c r="D1990" s="105"/>
      <c r="E1990" s="105">
        <f t="shared" si="72"/>
        <v>1</v>
      </c>
      <c r="F1990" s="105"/>
      <c r="G1990" s="2">
        <f t="shared" si="71"/>
        <v>1</v>
      </c>
      <c r="H1990" s="2" t="e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#VALUE!</v>
      </c>
      <c r="I1990" s="95"/>
    </row>
    <row r="1991" spans="2:9" x14ac:dyDescent="0.3">
      <c r="B1991" s="6"/>
      <c r="D1991" s="105"/>
      <c r="E1991" s="105">
        <f t="shared" si="72"/>
        <v>1</v>
      </c>
      <c r="F1991" s="105"/>
      <c r="G1991" s="2">
        <f t="shared" si="71"/>
        <v>1</v>
      </c>
      <c r="H1991" s="2" t="e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#VALUE!</v>
      </c>
      <c r="I1991" s="95"/>
    </row>
    <row r="1992" spans="2:9" x14ac:dyDescent="0.3">
      <c r="B1992" s="6"/>
      <c r="D1992" s="105"/>
      <c r="E1992" s="105">
        <f t="shared" si="72"/>
        <v>1</v>
      </c>
      <c r="F1992" s="105"/>
      <c r="G1992" s="2">
        <f t="shared" si="71"/>
        <v>1</v>
      </c>
      <c r="H1992" s="2" t="e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#VALUE!</v>
      </c>
      <c r="I1992" s="95"/>
    </row>
    <row r="1993" spans="2:9" x14ac:dyDescent="0.3">
      <c r="B1993" s="6"/>
      <c r="D1993" s="105"/>
      <c r="E1993" s="105">
        <f t="shared" si="72"/>
        <v>1</v>
      </c>
      <c r="F1993" s="105"/>
      <c r="G1993" s="2">
        <f t="shared" si="71"/>
        <v>1</v>
      </c>
      <c r="H1993" s="2" t="e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#VALUE!</v>
      </c>
      <c r="I1993" s="95"/>
    </row>
    <row r="1994" spans="2:9" x14ac:dyDescent="0.3">
      <c r="B1994" s="6"/>
      <c r="D1994" s="105"/>
      <c r="E1994" s="105">
        <f t="shared" si="72"/>
        <v>1</v>
      </c>
      <c r="F1994" s="105"/>
      <c r="G1994" s="2">
        <f t="shared" si="71"/>
        <v>1</v>
      </c>
      <c r="H1994" s="2" t="e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#VALUE!</v>
      </c>
      <c r="I1994" s="95"/>
    </row>
    <row r="1995" spans="2:9" x14ac:dyDescent="0.3">
      <c r="B1995" s="6"/>
      <c r="D1995" s="105"/>
      <c r="E1995" s="105">
        <f t="shared" si="72"/>
        <v>1</v>
      </c>
      <c r="F1995" s="105"/>
      <c r="G1995" s="2">
        <f t="shared" si="71"/>
        <v>1</v>
      </c>
      <c r="H1995" s="2" t="e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#VALUE!</v>
      </c>
      <c r="I1995" s="95"/>
    </row>
    <row r="1996" spans="2:9" x14ac:dyDescent="0.3">
      <c r="B1996" s="6"/>
      <c r="D1996" s="105"/>
      <c r="E1996" s="105">
        <f t="shared" si="72"/>
        <v>1</v>
      </c>
      <c r="F1996" s="105"/>
      <c r="G1996" s="2">
        <f t="shared" si="71"/>
        <v>1</v>
      </c>
      <c r="H1996" s="2" t="e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#VALUE!</v>
      </c>
      <c r="I1996" s="95"/>
    </row>
    <row r="1997" spans="2:9" x14ac:dyDescent="0.3">
      <c r="B1997" s="6"/>
      <c r="D1997" s="105"/>
      <c r="E1997" s="105">
        <f t="shared" si="72"/>
        <v>1</v>
      </c>
      <c r="F1997" s="105"/>
      <c r="G1997" s="2">
        <f t="shared" si="71"/>
        <v>1</v>
      </c>
      <c r="H1997" s="2" t="e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#VALUE!</v>
      </c>
      <c r="I1997" s="95"/>
    </row>
    <row r="1998" spans="2:9" x14ac:dyDescent="0.3">
      <c r="B1998" s="6"/>
      <c r="D1998" s="105"/>
      <c r="E1998" s="105">
        <f t="shared" si="72"/>
        <v>1</v>
      </c>
      <c r="F1998" s="105"/>
      <c r="G1998" s="2">
        <f t="shared" si="71"/>
        <v>1</v>
      </c>
      <c r="H1998" s="2" t="e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#VALUE!</v>
      </c>
      <c r="I1998" s="95"/>
    </row>
    <row r="1999" spans="2:9" x14ac:dyDescent="0.3">
      <c r="B1999" s="6"/>
      <c r="D1999" s="105"/>
      <c r="E1999" s="105">
        <f t="shared" si="72"/>
        <v>1</v>
      </c>
      <c r="F1999" s="105"/>
      <c r="G1999" s="2">
        <f t="shared" si="71"/>
        <v>1</v>
      </c>
      <c r="H1999" s="2" t="e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#VALUE!</v>
      </c>
      <c r="I1999" s="95"/>
    </row>
    <row r="2000" spans="2:9" x14ac:dyDescent="0.3">
      <c r="B2000" s="6"/>
      <c r="D2000" s="105"/>
      <c r="E2000" s="105">
        <f t="shared" si="72"/>
        <v>1</v>
      </c>
      <c r="F2000" s="105"/>
      <c r="G2000" s="2">
        <f t="shared" si="71"/>
        <v>1</v>
      </c>
      <c r="H2000" s="2" t="e">
        <f>DATE(YEAR(DATEVALUE(_xlfn.TEXTAFTER(Stop_Sale[[#This Row],[Received Time]], " ", 1))), MONTH(DATEVALUE(_xlfn.TEXTAFTER(Stop_Sale[[#This Row],[Received Time]], " ", 1))), DAY(DATEVALUE(_xlfn.TEXTAFTER(Stop_Sale[[#This Row],[Received Time]], " ", 1))))</f>
        <v>#VALUE!</v>
      </c>
      <c r="I2000" s="95"/>
    </row>
  </sheetData>
  <dataValidations count="5">
    <dataValidation type="custom" showInputMessage="1" showErrorMessage="1" error="Number entered in cell is not correct _x000a_number should be -1" prompt="Number entered in cell is not correct _x000a_number should be -1" sqref="C1" xr:uid="{00000000-0002-0000-0200-000001000000}">
      <formula1>-1</formula1>
    </dataValidation>
    <dataValidation type="list" allowBlank="1" showInputMessage="1" showErrorMessage="1" sqref="A2:A399 A403:A459 A461:A694 A696:A810 A812:A1068 A1071:A2000" xr:uid="{00000000-0002-0000-0200-000002000000}">
      <formula1>Hotel_Name</formula1>
    </dataValidation>
    <dataValidation type="list" allowBlank="1" showInputMessage="1" showErrorMessage="1" errorTitle="غلط يا ادهم" error="اختار من اللستة يا ادهم كده غلط ما تكتبش اسم الفندق بايدك" sqref="A400" xr:uid="{0ED5BC4A-9990-4FF0-A1E8-F6FC041A7557}">
      <formula1>Hotel_Name</formula1>
    </dataValidation>
    <dataValidation type="list" errorStyle="warning" allowBlank="1" showErrorMessage="1" errorTitle="غلط يا ادهم" error="ما تكتبش اسم الفندق بايدك كده غلط عيب عليك" sqref="A401:A402" xr:uid="{DD1A0086-E040-445A-9B20-588243373753}">
      <formula1>Hotel_Name</formula1>
    </dataValidation>
    <dataValidation type="whole" operator="equal" showInputMessage="1" showErrorMessage="1" error="Number entered in cell is not correct _x000a_number should be -1" prompt="Number entered in cell is not correct _x000a_number should be -1" sqref="C2:C2000" xr:uid="{00000000-0002-0000-0200-000000000000}">
      <formula1>-1</formula1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B0177F-ACFC-4EC4-914C-0F5C745285F4}">
  <sheetPr codeName="Sheet12"/>
  <dimension ref="A1:AA7"/>
  <sheetViews>
    <sheetView workbookViewId="0">
      <selection activeCell="D15" sqref="D15"/>
    </sheetView>
  </sheetViews>
  <sheetFormatPr defaultColWidth="9.109375" defaultRowHeight="14.4" x14ac:dyDescent="0.3"/>
  <cols>
    <col min="1" max="1" width="12.109375" customWidth="1"/>
    <col min="2" max="2" width="9.6640625" customWidth="1"/>
    <col min="3" max="3" width="11.109375" customWidth="1"/>
    <col min="4" max="4" width="14" customWidth="1"/>
    <col min="5" max="5" width="10.5546875" customWidth="1"/>
    <col min="6" max="6" width="13.6640625" customWidth="1"/>
    <col min="8" max="8" width="26.44140625" customWidth="1"/>
    <col min="9" max="9" width="20.44140625" customWidth="1"/>
    <col min="10" max="10" width="14" customWidth="1"/>
    <col min="11" max="11" width="12.5546875" customWidth="1"/>
    <col min="12" max="12" width="10.33203125" customWidth="1"/>
    <col min="13" max="13" width="9.109375" bestFit="1" customWidth="1"/>
    <col min="18" max="18" width="9.88671875" customWidth="1"/>
    <col min="19" max="19" width="26" customWidth="1"/>
    <col min="24" max="24" width="17.88671875" customWidth="1"/>
    <col min="25" max="25" width="17.109375" customWidth="1"/>
    <col min="27" max="27" width="10.44140625" customWidth="1"/>
  </cols>
  <sheetData>
    <row r="1" spans="1:27" ht="28.8" x14ac:dyDescent="0.3">
      <c r="A1" s="121" t="s">
        <v>0</v>
      </c>
      <c r="B1" s="122" t="s">
        <v>1</v>
      </c>
      <c r="C1" s="122" t="s">
        <v>2</v>
      </c>
      <c r="D1" s="122" t="s">
        <v>3</v>
      </c>
      <c r="E1" s="122" t="s">
        <v>4</v>
      </c>
      <c r="F1" s="123" t="s">
        <v>1264</v>
      </c>
      <c r="G1" s="123" t="s">
        <v>7</v>
      </c>
      <c r="H1" s="123" t="s">
        <v>8</v>
      </c>
      <c r="I1" s="123" t="s">
        <v>9</v>
      </c>
      <c r="J1" s="123" t="s">
        <v>10</v>
      </c>
      <c r="K1" s="123" t="s">
        <v>11</v>
      </c>
      <c r="L1" s="123" t="s">
        <v>12</v>
      </c>
      <c r="M1" s="123" t="s">
        <v>13</v>
      </c>
      <c r="N1" s="122" t="s">
        <v>14</v>
      </c>
      <c r="O1" s="123" t="s">
        <v>15</v>
      </c>
      <c r="P1" s="123" t="s">
        <v>16</v>
      </c>
      <c r="Q1" s="123" t="s">
        <v>17</v>
      </c>
      <c r="R1" s="123" t="s">
        <v>18</v>
      </c>
      <c r="S1" s="123" t="s">
        <v>19</v>
      </c>
      <c r="T1" s="122" t="s">
        <v>20</v>
      </c>
      <c r="U1" s="122" t="s">
        <v>21</v>
      </c>
      <c r="V1" s="122" t="s">
        <v>22</v>
      </c>
      <c r="W1" s="122" t="s">
        <v>23</v>
      </c>
      <c r="X1" s="123" t="s">
        <v>1265</v>
      </c>
      <c r="Y1" s="123" t="s">
        <v>1266</v>
      </c>
      <c r="Z1" s="123" t="s">
        <v>1267</v>
      </c>
      <c r="AA1" s="122" t="s">
        <v>31</v>
      </c>
    </row>
    <row r="2" spans="1:27" s="120" customFormat="1" x14ac:dyDescent="0.3">
      <c r="A2" s="139">
        <v>46296</v>
      </c>
      <c r="B2" s="136" t="s">
        <v>47</v>
      </c>
      <c r="C2" s="136" t="s">
        <v>47</v>
      </c>
      <c r="D2" s="136" t="s">
        <v>1268</v>
      </c>
      <c r="E2" s="136" t="s">
        <v>1269</v>
      </c>
      <c r="F2" s="136" t="s">
        <v>1270</v>
      </c>
      <c r="G2" s="136" t="s">
        <v>50</v>
      </c>
      <c r="H2" s="136" t="s">
        <v>1271</v>
      </c>
      <c r="I2" s="136" t="s">
        <v>171</v>
      </c>
      <c r="J2" s="119">
        <v>46034</v>
      </c>
      <c r="K2" s="119">
        <v>46036</v>
      </c>
      <c r="L2" s="136">
        <f>K2-J2</f>
        <v>2</v>
      </c>
      <c r="M2" s="136" t="s">
        <v>1272</v>
      </c>
      <c r="N2" s="136">
        <v>1</v>
      </c>
      <c r="O2" s="136">
        <v>1</v>
      </c>
      <c r="P2" s="136"/>
      <c r="Q2" s="136"/>
      <c r="R2" s="136" t="s">
        <v>1273</v>
      </c>
      <c r="S2" s="136" t="s">
        <v>1274</v>
      </c>
      <c r="T2" s="136"/>
      <c r="U2" s="136"/>
      <c r="X2" s="143">
        <f>1200*2</f>
        <v>2400</v>
      </c>
      <c r="Y2" s="120">
        <f>1250*2</f>
        <v>2500</v>
      </c>
      <c r="Z2" s="120">
        <f>Y2-X2</f>
        <v>100</v>
      </c>
    </row>
    <row r="3" spans="1:27" x14ac:dyDescent="0.3">
      <c r="A3" s="139">
        <v>46236</v>
      </c>
      <c r="B3" s="136" t="s">
        <v>47</v>
      </c>
      <c r="C3" s="136" t="s">
        <v>47</v>
      </c>
      <c r="D3" s="136" t="s">
        <v>1268</v>
      </c>
      <c r="E3" s="136" t="s">
        <v>1269</v>
      </c>
      <c r="F3" s="136" t="s">
        <v>1275</v>
      </c>
      <c r="G3" s="136" t="s">
        <v>50</v>
      </c>
      <c r="H3" s="136" t="s">
        <v>1271</v>
      </c>
      <c r="I3" s="136" t="s">
        <v>171</v>
      </c>
      <c r="J3" s="119">
        <v>46062</v>
      </c>
      <c r="K3" s="119">
        <v>46064</v>
      </c>
      <c r="L3" s="136">
        <f t="shared" ref="L3" si="0">K3-J3</f>
        <v>2</v>
      </c>
      <c r="M3" s="137" t="s">
        <v>1272</v>
      </c>
      <c r="N3" s="137">
        <v>1</v>
      </c>
      <c r="O3" s="137">
        <v>1</v>
      </c>
      <c r="P3" s="137"/>
      <c r="Q3" s="137"/>
      <c r="R3" s="136" t="s">
        <v>1273</v>
      </c>
      <c r="S3" s="137" t="s">
        <v>1274</v>
      </c>
      <c r="T3" s="137"/>
      <c r="U3" s="137"/>
      <c r="V3" s="144"/>
      <c r="W3" s="144"/>
      <c r="X3" s="145">
        <f>1200*2</f>
        <v>2400</v>
      </c>
      <c r="Y3" s="144">
        <f>1250*2</f>
        <v>2500</v>
      </c>
      <c r="Z3" s="144">
        <f>Y3-X3</f>
        <v>100</v>
      </c>
      <c r="AA3" s="144"/>
    </row>
    <row r="4" spans="1:27" x14ac:dyDescent="0.3">
      <c r="A4" s="139">
        <v>46114</v>
      </c>
      <c r="B4" s="136" t="s">
        <v>47</v>
      </c>
      <c r="C4" s="136" t="s">
        <v>47</v>
      </c>
      <c r="D4" s="136" t="s">
        <v>1276</v>
      </c>
      <c r="E4" s="136" t="s">
        <v>1269</v>
      </c>
      <c r="F4" s="136" t="s">
        <v>1277</v>
      </c>
      <c r="G4" s="136" t="s">
        <v>50</v>
      </c>
      <c r="H4" s="136" t="s">
        <v>1278</v>
      </c>
      <c r="I4" s="136" t="s">
        <v>1279</v>
      </c>
      <c r="J4" s="119">
        <v>46126</v>
      </c>
      <c r="K4" s="119">
        <v>46129</v>
      </c>
      <c r="L4" s="138">
        <f>K4-J4</f>
        <v>3</v>
      </c>
      <c r="M4" s="136" t="s">
        <v>52</v>
      </c>
      <c r="N4" s="136">
        <v>1</v>
      </c>
      <c r="O4" s="136">
        <v>2</v>
      </c>
      <c r="P4" s="136">
        <v>2</v>
      </c>
      <c r="Q4" s="136"/>
      <c r="R4" s="136" t="s">
        <v>1280</v>
      </c>
      <c r="S4" s="136" t="s">
        <v>1281</v>
      </c>
      <c r="T4" s="136">
        <v>7</v>
      </c>
      <c r="U4" s="136">
        <v>2</v>
      </c>
      <c r="V4" s="120"/>
      <c r="W4" s="120"/>
      <c r="X4" s="120">
        <f>6000*2.5*3*0.85</f>
        <v>38250</v>
      </c>
      <c r="Y4" s="120">
        <f>6000*2.5*3*0.85</f>
        <v>38250</v>
      </c>
      <c r="Z4" s="120"/>
      <c r="AA4" s="146">
        <v>46146</v>
      </c>
    </row>
    <row r="5" spans="1:27" x14ac:dyDescent="0.3">
      <c r="A5" s="139">
        <v>46117</v>
      </c>
      <c r="B5" s="136" t="s">
        <v>47</v>
      </c>
      <c r="C5" s="136" t="s">
        <v>47</v>
      </c>
      <c r="D5" s="136" t="s">
        <v>1268</v>
      </c>
      <c r="E5" s="136" t="s">
        <v>1269</v>
      </c>
      <c r="F5" s="136" t="s">
        <v>1282</v>
      </c>
      <c r="G5" s="136" t="s">
        <v>50</v>
      </c>
      <c r="H5" s="136" t="s">
        <v>1271</v>
      </c>
      <c r="I5" s="136" t="s">
        <v>171</v>
      </c>
      <c r="J5" s="119">
        <v>46034</v>
      </c>
      <c r="K5" s="119">
        <v>46036</v>
      </c>
      <c r="L5" s="136">
        <f>K5-J5</f>
        <v>2</v>
      </c>
      <c r="M5" s="136" t="s">
        <v>1272</v>
      </c>
      <c r="N5" s="136">
        <v>1</v>
      </c>
      <c r="O5" s="136">
        <v>1</v>
      </c>
      <c r="P5" s="136"/>
      <c r="Q5" s="136"/>
      <c r="R5" s="136" t="s">
        <v>1283</v>
      </c>
      <c r="S5" s="136" t="s">
        <v>1274</v>
      </c>
      <c r="T5" s="136"/>
      <c r="U5" s="136"/>
      <c r="V5" s="120"/>
      <c r="W5" s="120"/>
      <c r="X5" s="143">
        <f>900*2</f>
        <v>1800</v>
      </c>
      <c r="Y5" s="120">
        <f>1100*2</f>
        <v>2200</v>
      </c>
      <c r="Z5" s="120">
        <f>Y5-X5</f>
        <v>400</v>
      </c>
      <c r="AA5" s="146">
        <v>46146</v>
      </c>
    </row>
    <row r="6" spans="1:27" x14ac:dyDescent="0.3">
      <c r="A6" s="140">
        <v>46139</v>
      </c>
      <c r="B6" s="137" t="s">
        <v>47</v>
      </c>
      <c r="C6" s="137" t="s">
        <v>47</v>
      </c>
      <c r="D6" s="137" t="s">
        <v>1268</v>
      </c>
      <c r="E6" s="137" t="s">
        <v>1269</v>
      </c>
      <c r="F6" s="137" t="s">
        <v>1284</v>
      </c>
      <c r="G6" s="137" t="s">
        <v>50</v>
      </c>
      <c r="H6" s="137" t="s">
        <v>1271</v>
      </c>
      <c r="I6" s="137" t="s">
        <v>171</v>
      </c>
      <c r="J6" s="129">
        <v>46146</v>
      </c>
      <c r="K6" s="129">
        <v>46148</v>
      </c>
      <c r="L6" s="137">
        <f>K6-J6</f>
        <v>2</v>
      </c>
      <c r="M6" s="137" t="s">
        <v>1272</v>
      </c>
      <c r="N6" s="137">
        <v>1</v>
      </c>
      <c r="O6" s="137">
        <v>1</v>
      </c>
      <c r="P6" s="137"/>
      <c r="Q6" s="137"/>
      <c r="R6" s="137" t="s">
        <v>1283</v>
      </c>
      <c r="S6" s="137" t="s">
        <v>1274</v>
      </c>
      <c r="T6" s="137"/>
      <c r="U6" s="137"/>
      <c r="V6" s="144"/>
      <c r="W6" s="144"/>
      <c r="X6" s="145">
        <f>1200*2</f>
        <v>2400</v>
      </c>
      <c r="Y6" s="144">
        <f>1300*2</f>
        <v>2600</v>
      </c>
      <c r="Z6" s="144">
        <f>Y6-X6</f>
        <v>200</v>
      </c>
      <c r="AA6" s="147" t="s">
        <v>1285</v>
      </c>
    </row>
    <row r="7" spans="1:27" x14ac:dyDescent="0.3">
      <c r="A7" s="141">
        <v>46208</v>
      </c>
      <c r="B7" s="136" t="s">
        <v>47</v>
      </c>
      <c r="C7" s="136" t="s">
        <v>47</v>
      </c>
      <c r="D7" s="142" t="s">
        <v>1276</v>
      </c>
      <c r="E7" s="136" t="s">
        <v>1269</v>
      </c>
      <c r="F7" s="136" t="s">
        <v>1286</v>
      </c>
      <c r="G7" s="136" t="s">
        <v>50</v>
      </c>
      <c r="H7" s="136" t="s">
        <v>1287</v>
      </c>
      <c r="I7" s="136" t="s">
        <v>1288</v>
      </c>
      <c r="J7" s="119">
        <v>46161</v>
      </c>
      <c r="K7" s="119">
        <v>46166</v>
      </c>
      <c r="L7" s="136">
        <f>K7-J7</f>
        <v>5</v>
      </c>
      <c r="M7" s="136" t="s">
        <v>52</v>
      </c>
      <c r="N7" s="136">
        <v>1</v>
      </c>
      <c r="O7" s="136">
        <v>2</v>
      </c>
      <c r="P7" s="136"/>
      <c r="Q7" s="136"/>
      <c r="R7" s="136" t="s">
        <v>1273</v>
      </c>
      <c r="S7" s="136" t="s">
        <v>1289</v>
      </c>
      <c r="T7" s="136"/>
      <c r="U7" s="136"/>
      <c r="V7" s="120"/>
      <c r="W7" s="120"/>
      <c r="X7" s="120">
        <f>2650*5</f>
        <v>13250</v>
      </c>
      <c r="Y7" s="120">
        <f>2850*5</f>
        <v>14250</v>
      </c>
      <c r="Z7" s="120">
        <f>Y7-X7</f>
        <v>1000</v>
      </c>
      <c r="AA7" s="146">
        <v>46208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5C2D20-0D5A-4702-A919-491ABE30F2D1}">
  <sheetPr codeName="Sheet13">
    <pageSetUpPr fitToPage="1"/>
  </sheetPr>
  <dimension ref="A1:N31"/>
  <sheetViews>
    <sheetView zoomScaleNormal="100" workbookViewId="0">
      <selection sqref="A1:N10"/>
    </sheetView>
  </sheetViews>
  <sheetFormatPr defaultRowHeight="14.4" x14ac:dyDescent="0.3"/>
  <cols>
    <col min="1" max="1" width="6.6640625" bestFit="1" customWidth="1"/>
    <col min="2" max="2" width="7.33203125" bestFit="1" customWidth="1"/>
    <col min="3" max="3" width="48.109375" bestFit="1" customWidth="1"/>
    <col min="4" max="4" width="33.44140625" bestFit="1" customWidth="1"/>
    <col min="5" max="5" width="109.33203125" bestFit="1" customWidth="1"/>
    <col min="6" max="7" width="8.6640625" style="250" bestFit="1" customWidth="1"/>
    <col min="8" max="8" width="4" bestFit="1" customWidth="1"/>
    <col min="9" max="9" width="3.6640625" bestFit="1" customWidth="1"/>
    <col min="10" max="11" width="3.33203125" bestFit="1" customWidth="1"/>
    <col min="12" max="12" width="3.6640625" bestFit="1" customWidth="1"/>
    <col min="13" max="13" width="11.6640625" bestFit="1" customWidth="1"/>
    <col min="14" max="14" width="12.33203125" bestFit="1" customWidth="1"/>
  </cols>
  <sheetData>
    <row r="1" spans="1:14" x14ac:dyDescent="0.3">
      <c r="A1" s="261" t="s">
        <v>4</v>
      </c>
      <c r="B1" s="261" t="s">
        <v>14</v>
      </c>
      <c r="C1" s="261" t="s">
        <v>8</v>
      </c>
      <c r="D1" s="261" t="s">
        <v>9</v>
      </c>
      <c r="E1" s="261" t="s">
        <v>19</v>
      </c>
      <c r="F1" s="261" t="s">
        <v>10</v>
      </c>
      <c r="G1" s="261" t="s">
        <v>11</v>
      </c>
      <c r="H1" s="261" t="s">
        <v>12</v>
      </c>
      <c r="I1" s="261" t="s">
        <v>18</v>
      </c>
      <c r="J1" s="261" t="s">
        <v>15</v>
      </c>
      <c r="K1" s="261" t="s">
        <v>16</v>
      </c>
      <c r="L1" s="261" t="s">
        <v>17</v>
      </c>
      <c r="M1" s="261" t="s">
        <v>20</v>
      </c>
      <c r="N1" s="261" t="s">
        <v>22</v>
      </c>
    </row>
    <row r="2" spans="1:14" x14ac:dyDescent="0.3">
      <c r="A2" s="251" t="s">
        <v>49</v>
      </c>
      <c r="B2" s="251">
        <v>1</v>
      </c>
      <c r="C2" s="245" t="s">
        <v>67</v>
      </c>
      <c r="D2" s="245" t="s">
        <v>164</v>
      </c>
      <c r="E2" s="245" t="s">
        <v>1971</v>
      </c>
      <c r="F2" s="249">
        <v>46233</v>
      </c>
      <c r="G2" s="249">
        <v>46240</v>
      </c>
      <c r="H2" s="251">
        <v>7</v>
      </c>
      <c r="I2" s="251" t="s">
        <v>53</v>
      </c>
      <c r="J2" s="251">
        <v>2</v>
      </c>
      <c r="K2" s="251"/>
      <c r="L2" s="251"/>
      <c r="M2" s="251">
        <v>0</v>
      </c>
      <c r="N2" s="251">
        <v>0</v>
      </c>
    </row>
    <row r="3" spans="1:14" x14ac:dyDescent="0.3">
      <c r="A3" s="251" t="s">
        <v>49</v>
      </c>
      <c r="B3" s="251">
        <v>1</v>
      </c>
      <c r="C3" s="245" t="s">
        <v>82</v>
      </c>
      <c r="D3" s="245" t="s">
        <v>161</v>
      </c>
      <c r="E3" s="245" t="s">
        <v>2605</v>
      </c>
      <c r="F3" s="249">
        <v>46175</v>
      </c>
      <c r="G3" s="249">
        <v>46182</v>
      </c>
      <c r="H3" s="251">
        <v>7</v>
      </c>
      <c r="I3" s="251" t="s">
        <v>53</v>
      </c>
      <c r="J3" s="251">
        <v>2</v>
      </c>
      <c r="K3" s="251"/>
      <c r="L3" s="251"/>
      <c r="M3" s="251"/>
      <c r="N3" s="251"/>
    </row>
    <row r="4" spans="1:14" x14ac:dyDescent="0.3">
      <c r="A4" s="251" t="s">
        <v>49</v>
      </c>
      <c r="B4" s="251">
        <v>1</v>
      </c>
      <c r="C4" s="245" t="s">
        <v>68</v>
      </c>
      <c r="D4" s="245" t="s">
        <v>179</v>
      </c>
      <c r="E4" s="246" t="s">
        <v>180</v>
      </c>
      <c r="F4" s="249">
        <v>46211</v>
      </c>
      <c r="G4" s="249">
        <v>46225</v>
      </c>
      <c r="H4" s="251">
        <v>14</v>
      </c>
      <c r="I4" s="251" t="s">
        <v>53</v>
      </c>
      <c r="J4" s="251">
        <v>2</v>
      </c>
      <c r="K4" s="251">
        <v>2</v>
      </c>
      <c r="L4" s="251"/>
      <c r="M4" s="251">
        <v>14</v>
      </c>
      <c r="N4" s="251">
        <v>7</v>
      </c>
    </row>
    <row r="5" spans="1:14" x14ac:dyDescent="0.3">
      <c r="A5" s="251" t="s">
        <v>49</v>
      </c>
      <c r="B5" s="251">
        <v>1</v>
      </c>
      <c r="C5" s="245" t="s">
        <v>68</v>
      </c>
      <c r="D5" s="245" t="s">
        <v>179</v>
      </c>
      <c r="E5" s="245" t="s">
        <v>181</v>
      </c>
      <c r="F5" s="249">
        <v>46211</v>
      </c>
      <c r="G5" s="249">
        <v>46225</v>
      </c>
      <c r="H5" s="251">
        <v>14</v>
      </c>
      <c r="I5" s="251" t="s">
        <v>53</v>
      </c>
      <c r="J5" s="251">
        <v>2</v>
      </c>
      <c r="K5" s="251">
        <v>2</v>
      </c>
      <c r="L5" s="251"/>
      <c r="M5" s="251">
        <v>15</v>
      </c>
      <c r="N5" s="251">
        <v>13</v>
      </c>
    </row>
    <row r="6" spans="1:14" x14ac:dyDescent="0.3">
      <c r="A6" s="251" t="s">
        <v>49</v>
      </c>
      <c r="B6" s="251">
        <v>1</v>
      </c>
      <c r="C6" s="245" t="s">
        <v>68</v>
      </c>
      <c r="D6" s="245" t="s">
        <v>164</v>
      </c>
      <c r="E6" s="246" t="s">
        <v>188</v>
      </c>
      <c r="F6" s="249">
        <v>46216</v>
      </c>
      <c r="G6" s="249">
        <v>46226</v>
      </c>
      <c r="H6" s="251">
        <v>10</v>
      </c>
      <c r="I6" s="251" t="s">
        <v>53</v>
      </c>
      <c r="J6" s="251">
        <v>2</v>
      </c>
      <c r="K6" s="251">
        <v>1</v>
      </c>
      <c r="L6" s="251"/>
      <c r="M6" s="251">
        <v>15</v>
      </c>
      <c r="N6" s="251"/>
    </row>
    <row r="7" spans="1:14" x14ac:dyDescent="0.3">
      <c r="A7" s="251" t="s">
        <v>106</v>
      </c>
      <c r="B7" s="251">
        <v>1</v>
      </c>
      <c r="C7" s="245" t="s">
        <v>62</v>
      </c>
      <c r="D7" s="245" t="s">
        <v>146</v>
      </c>
      <c r="E7" s="245" t="s">
        <v>2096</v>
      </c>
      <c r="F7" s="249">
        <v>46215</v>
      </c>
      <c r="G7" s="249">
        <v>46222</v>
      </c>
      <c r="H7" s="251">
        <v>7</v>
      </c>
      <c r="I7" s="251" t="s">
        <v>53</v>
      </c>
      <c r="J7" s="251">
        <v>3</v>
      </c>
      <c r="K7" s="251"/>
      <c r="L7" s="251"/>
      <c r="M7" s="251"/>
      <c r="N7" s="251"/>
    </row>
    <row r="8" spans="1:14" x14ac:dyDescent="0.3">
      <c r="A8" s="251" t="s">
        <v>49</v>
      </c>
      <c r="B8" s="251">
        <v>1</v>
      </c>
      <c r="C8" s="245" t="s">
        <v>76</v>
      </c>
      <c r="D8" s="245" t="s">
        <v>159</v>
      </c>
      <c r="E8" s="246" t="s">
        <v>197</v>
      </c>
      <c r="F8" s="249">
        <v>46222</v>
      </c>
      <c r="G8" s="249">
        <v>46229</v>
      </c>
      <c r="H8" s="251">
        <v>7</v>
      </c>
      <c r="I8" s="251" t="s">
        <v>53</v>
      </c>
      <c r="J8" s="251">
        <v>2</v>
      </c>
      <c r="K8" s="251">
        <v>2</v>
      </c>
      <c r="L8" s="251"/>
      <c r="M8" s="251">
        <v>11</v>
      </c>
      <c r="N8" s="251">
        <v>8</v>
      </c>
    </row>
    <row r="9" spans="1:14" ht="27.6" x14ac:dyDescent="0.3">
      <c r="A9" s="251" t="s">
        <v>138</v>
      </c>
      <c r="B9" s="251">
        <v>1</v>
      </c>
      <c r="C9" s="245" t="s">
        <v>172</v>
      </c>
      <c r="D9" s="245" t="s">
        <v>198</v>
      </c>
      <c r="E9" s="246" t="s">
        <v>2624</v>
      </c>
      <c r="F9" s="249">
        <v>46229</v>
      </c>
      <c r="G9" s="249">
        <v>46236</v>
      </c>
      <c r="H9" s="251">
        <v>7</v>
      </c>
      <c r="I9" s="251" t="s">
        <v>53</v>
      </c>
      <c r="J9" s="251">
        <v>3</v>
      </c>
      <c r="K9" s="251">
        <v>2</v>
      </c>
      <c r="L9" s="251"/>
      <c r="M9" s="251">
        <v>11</v>
      </c>
      <c r="N9" s="251">
        <v>5</v>
      </c>
    </row>
    <row r="10" spans="1:14" x14ac:dyDescent="0.3">
      <c r="A10" s="251" t="s">
        <v>49</v>
      </c>
      <c r="B10" s="251">
        <v>1</v>
      </c>
      <c r="C10" s="245" t="s">
        <v>64</v>
      </c>
      <c r="D10" s="245" t="s">
        <v>169</v>
      </c>
      <c r="E10" s="246" t="s">
        <v>199</v>
      </c>
      <c r="F10" s="249">
        <v>46231</v>
      </c>
      <c r="G10" s="249">
        <v>46241</v>
      </c>
      <c r="H10" s="251">
        <v>10</v>
      </c>
      <c r="I10" s="251" t="s">
        <v>53</v>
      </c>
      <c r="J10" s="251">
        <v>2</v>
      </c>
      <c r="K10" s="251"/>
      <c r="L10" s="251"/>
      <c r="M10" s="251">
        <v>9</v>
      </c>
      <c r="N10" s="251">
        <v>2</v>
      </c>
    </row>
    <row r="11" spans="1:14" x14ac:dyDescent="0.3">
      <c r="A11" s="245" t="s">
        <v>49</v>
      </c>
      <c r="B11" s="245">
        <v>1</v>
      </c>
      <c r="C11" s="245" t="s">
        <v>68</v>
      </c>
      <c r="D11" s="245" t="s">
        <v>202</v>
      </c>
      <c r="E11" s="245" t="s">
        <v>203</v>
      </c>
      <c r="F11" s="249">
        <v>46233</v>
      </c>
      <c r="G11" s="249">
        <v>46240</v>
      </c>
      <c r="H11" s="245">
        <v>7</v>
      </c>
      <c r="I11" s="245" t="s">
        <v>53</v>
      </c>
      <c r="J11" s="245">
        <v>2</v>
      </c>
      <c r="K11" s="245">
        <v>2</v>
      </c>
      <c r="L11" s="245"/>
      <c r="M11" s="245">
        <v>15</v>
      </c>
      <c r="N11" s="245">
        <v>13</v>
      </c>
    </row>
    <row r="12" spans="1:14" ht="27.6" x14ac:dyDescent="0.3">
      <c r="A12" s="245" t="s">
        <v>49</v>
      </c>
      <c r="B12" s="245">
        <v>1</v>
      </c>
      <c r="C12" s="245" t="s">
        <v>62</v>
      </c>
      <c r="D12" s="245" t="s">
        <v>75</v>
      </c>
      <c r="E12" s="246" t="s">
        <v>2127</v>
      </c>
      <c r="F12" s="249">
        <v>46217</v>
      </c>
      <c r="G12" s="249">
        <v>46230</v>
      </c>
      <c r="H12" s="245">
        <v>13</v>
      </c>
      <c r="I12" s="245" t="s">
        <v>53</v>
      </c>
      <c r="J12" s="245">
        <v>3</v>
      </c>
      <c r="K12" s="245"/>
      <c r="L12" s="245"/>
      <c r="M12" s="245"/>
      <c r="N12" s="245"/>
    </row>
    <row r="13" spans="1:14" ht="27.6" x14ac:dyDescent="0.3">
      <c r="A13" s="245" t="s">
        <v>49</v>
      </c>
      <c r="B13" s="245">
        <v>1</v>
      </c>
      <c r="C13" s="245" t="s">
        <v>62</v>
      </c>
      <c r="D13" s="245" t="s">
        <v>63</v>
      </c>
      <c r="E13" s="246" t="s">
        <v>2138</v>
      </c>
      <c r="F13" s="249">
        <v>46233</v>
      </c>
      <c r="G13" s="249">
        <v>46240</v>
      </c>
      <c r="H13" s="245">
        <v>7</v>
      </c>
      <c r="I13" s="245" t="s">
        <v>53</v>
      </c>
      <c r="J13" s="245">
        <v>2</v>
      </c>
      <c r="K13" s="245">
        <v>1</v>
      </c>
      <c r="L13" s="245"/>
      <c r="M13" s="245">
        <v>10</v>
      </c>
      <c r="N13" s="245"/>
    </row>
    <row r="14" spans="1:14" x14ac:dyDescent="0.3">
      <c r="A14" s="245" t="s">
        <v>49</v>
      </c>
      <c r="B14" s="245">
        <v>1</v>
      </c>
      <c r="C14" s="245" t="s">
        <v>62</v>
      </c>
      <c r="D14" s="245" t="s">
        <v>63</v>
      </c>
      <c r="E14" s="246" t="s">
        <v>212</v>
      </c>
      <c r="F14" s="249">
        <v>46182</v>
      </c>
      <c r="G14" s="249">
        <v>46189</v>
      </c>
      <c r="H14" s="245">
        <v>7</v>
      </c>
      <c r="I14" s="245" t="s">
        <v>53</v>
      </c>
      <c r="J14" s="245">
        <v>2</v>
      </c>
      <c r="K14" s="245"/>
      <c r="L14" s="245"/>
      <c r="M14" s="245"/>
      <c r="N14" s="245"/>
    </row>
    <row r="15" spans="1:14" x14ac:dyDescent="0.3">
      <c r="A15" s="245" t="s">
        <v>49</v>
      </c>
      <c r="B15" s="245">
        <v>1</v>
      </c>
      <c r="C15" s="245" t="s">
        <v>68</v>
      </c>
      <c r="D15" s="245" t="s">
        <v>164</v>
      </c>
      <c r="E15" s="245" t="s">
        <v>215</v>
      </c>
      <c r="F15" s="249">
        <v>46203</v>
      </c>
      <c r="G15" s="249">
        <v>46210</v>
      </c>
      <c r="H15" s="245">
        <v>7</v>
      </c>
      <c r="I15" s="245" t="s">
        <v>53</v>
      </c>
      <c r="J15" s="245">
        <v>2</v>
      </c>
      <c r="K15" s="245"/>
      <c r="L15" s="245"/>
      <c r="M15" s="245"/>
      <c r="N15" s="245"/>
    </row>
    <row r="16" spans="1:14" x14ac:dyDescent="0.3">
      <c r="A16" s="245" t="s">
        <v>61</v>
      </c>
      <c r="B16" s="245">
        <v>1</v>
      </c>
      <c r="C16" s="245" t="s">
        <v>114</v>
      </c>
      <c r="D16" s="245" t="s">
        <v>128</v>
      </c>
      <c r="E16" s="245" t="s">
        <v>216</v>
      </c>
      <c r="F16" s="249">
        <v>46225</v>
      </c>
      <c r="G16" s="249">
        <v>46239</v>
      </c>
      <c r="H16" s="245">
        <v>14</v>
      </c>
      <c r="I16" s="245" t="s">
        <v>53</v>
      </c>
      <c r="J16" s="245">
        <v>3</v>
      </c>
      <c r="K16" s="245"/>
      <c r="L16" s="245"/>
      <c r="M16" s="245"/>
      <c r="N16" s="245"/>
    </row>
    <row r="17" spans="1:14" x14ac:dyDescent="0.3">
      <c r="A17" s="245" t="s">
        <v>49</v>
      </c>
      <c r="B17" s="245">
        <v>1</v>
      </c>
      <c r="C17" s="245" t="s">
        <v>67</v>
      </c>
      <c r="D17" s="245" t="s">
        <v>219</v>
      </c>
      <c r="E17" s="245" t="s">
        <v>220</v>
      </c>
      <c r="F17" s="249">
        <v>46217</v>
      </c>
      <c r="G17" s="249">
        <v>46224</v>
      </c>
      <c r="H17" s="245">
        <v>7</v>
      </c>
      <c r="I17" s="245" t="s">
        <v>53</v>
      </c>
      <c r="J17" s="245">
        <v>2</v>
      </c>
      <c r="K17" s="245">
        <v>1</v>
      </c>
      <c r="L17" s="245"/>
      <c r="M17" s="245"/>
      <c r="N17" s="245"/>
    </row>
    <row r="18" spans="1:14" x14ac:dyDescent="0.3">
      <c r="A18" s="245" t="s">
        <v>106</v>
      </c>
      <c r="B18" s="245">
        <v>1</v>
      </c>
      <c r="C18" s="245" t="s">
        <v>224</v>
      </c>
      <c r="D18" s="245" t="s">
        <v>225</v>
      </c>
      <c r="E18" s="246" t="s">
        <v>226</v>
      </c>
      <c r="F18" s="249">
        <v>46180</v>
      </c>
      <c r="G18" s="249">
        <v>46190</v>
      </c>
      <c r="H18" s="245">
        <v>10</v>
      </c>
      <c r="I18" s="245" t="s">
        <v>53</v>
      </c>
      <c r="J18" s="245">
        <v>2</v>
      </c>
      <c r="K18" s="245"/>
      <c r="L18" s="245"/>
      <c r="M18" s="245"/>
      <c r="N18" s="245"/>
    </row>
    <row r="19" spans="1:14" x14ac:dyDescent="0.3">
      <c r="A19" s="245" t="s">
        <v>49</v>
      </c>
      <c r="B19" s="245">
        <v>1</v>
      </c>
      <c r="C19" s="245" t="s">
        <v>62</v>
      </c>
      <c r="D19" s="245" t="s">
        <v>1562</v>
      </c>
      <c r="E19" s="246" t="s">
        <v>2197</v>
      </c>
      <c r="F19" s="249">
        <v>46204</v>
      </c>
      <c r="G19" s="249">
        <v>46213</v>
      </c>
      <c r="H19" s="245">
        <v>9</v>
      </c>
      <c r="I19" s="245" t="s">
        <v>53</v>
      </c>
      <c r="J19" s="245">
        <v>1</v>
      </c>
      <c r="K19" s="245"/>
      <c r="L19" s="245"/>
      <c r="M19" s="245"/>
      <c r="N19" s="245"/>
    </row>
    <row r="20" spans="1:14" x14ac:dyDescent="0.3">
      <c r="A20" s="245" t="s">
        <v>2656</v>
      </c>
      <c r="B20" s="245">
        <v>1</v>
      </c>
      <c r="C20" s="245" t="s">
        <v>2657</v>
      </c>
      <c r="D20" s="245" t="s">
        <v>2658</v>
      </c>
      <c r="E20" s="245" t="s">
        <v>2199</v>
      </c>
      <c r="F20" s="249">
        <v>46186</v>
      </c>
      <c r="G20" s="249">
        <v>46187</v>
      </c>
      <c r="H20" s="245">
        <v>1</v>
      </c>
      <c r="I20" s="245" t="s">
        <v>1294</v>
      </c>
      <c r="J20" s="245">
        <v>2</v>
      </c>
      <c r="K20" s="245"/>
      <c r="L20" s="245"/>
      <c r="M20" s="245"/>
      <c r="N20" s="245"/>
    </row>
    <row r="21" spans="1:14" x14ac:dyDescent="0.3">
      <c r="A21" s="245" t="s">
        <v>49</v>
      </c>
      <c r="B21" s="245">
        <v>1</v>
      </c>
      <c r="C21" s="245" t="s">
        <v>222</v>
      </c>
      <c r="D21" s="245" t="s">
        <v>2442</v>
      </c>
      <c r="E21" s="246" t="s">
        <v>2220</v>
      </c>
      <c r="F21" s="249">
        <v>46233</v>
      </c>
      <c r="G21" s="249">
        <v>46247</v>
      </c>
      <c r="H21" s="245">
        <v>14</v>
      </c>
      <c r="I21" s="245" t="s">
        <v>53</v>
      </c>
      <c r="J21" s="245">
        <v>2</v>
      </c>
      <c r="K21" s="245"/>
      <c r="L21" s="245"/>
      <c r="M21" s="245"/>
      <c r="N21" s="245"/>
    </row>
    <row r="22" spans="1:14" x14ac:dyDescent="0.3">
      <c r="A22" s="245"/>
      <c r="B22" s="245"/>
      <c r="C22" s="245"/>
      <c r="D22" s="245"/>
      <c r="E22" s="246"/>
      <c r="F22" s="249"/>
      <c r="G22" s="249"/>
      <c r="H22" s="245"/>
      <c r="I22" s="245"/>
      <c r="J22" s="245"/>
      <c r="K22" s="245"/>
      <c r="L22" s="245"/>
      <c r="M22" s="245"/>
      <c r="N22" s="245"/>
    </row>
    <row r="23" spans="1:14" x14ac:dyDescent="0.3">
      <c r="A23" s="245"/>
      <c r="B23" s="245"/>
      <c r="C23" s="245"/>
      <c r="D23" s="245"/>
      <c r="E23" s="246"/>
      <c r="F23" s="249"/>
      <c r="G23" s="249"/>
      <c r="H23" s="245"/>
      <c r="I23" s="245"/>
      <c r="J23" s="245"/>
      <c r="K23" s="245"/>
      <c r="L23" s="245"/>
      <c r="M23" s="245"/>
      <c r="N23" s="245"/>
    </row>
    <row r="24" spans="1:14" x14ac:dyDescent="0.3">
      <c r="A24" s="245"/>
      <c r="B24" s="245"/>
      <c r="C24" s="245"/>
      <c r="D24" s="245"/>
      <c r="E24" s="246"/>
      <c r="F24" s="249"/>
      <c r="G24" s="249"/>
      <c r="H24" s="245"/>
      <c r="I24" s="245"/>
      <c r="J24" s="245"/>
      <c r="K24" s="245"/>
      <c r="L24" s="245"/>
      <c r="M24" s="245"/>
      <c r="N24" s="245"/>
    </row>
    <row r="25" spans="1:14" x14ac:dyDescent="0.3">
      <c r="A25" s="245"/>
      <c r="B25" s="245"/>
      <c r="C25" s="245"/>
      <c r="D25" s="245"/>
      <c r="E25" s="245"/>
      <c r="F25" s="249"/>
      <c r="G25" s="249"/>
      <c r="H25" s="245"/>
      <c r="I25" s="245"/>
      <c r="J25" s="245"/>
      <c r="K25" s="245"/>
      <c r="L25" s="245"/>
      <c r="M25" s="245"/>
      <c r="N25" s="245"/>
    </row>
    <row r="26" spans="1:14" x14ac:dyDescent="0.3">
      <c r="A26" s="245"/>
      <c r="B26" s="245"/>
      <c r="C26" s="245"/>
      <c r="D26" s="245"/>
      <c r="E26" s="245"/>
      <c r="F26" s="249"/>
      <c r="G26" s="249"/>
      <c r="H26" s="245"/>
      <c r="I26" s="245"/>
      <c r="J26" s="245"/>
      <c r="K26" s="245"/>
      <c r="L26" s="245"/>
      <c r="M26" s="245"/>
      <c r="N26" s="245"/>
    </row>
    <row r="27" spans="1:14" x14ac:dyDescent="0.3">
      <c r="A27" s="245"/>
      <c r="B27" s="245"/>
      <c r="C27" s="245"/>
      <c r="D27" s="245"/>
      <c r="E27" s="246"/>
      <c r="F27" s="249"/>
      <c r="G27" s="249"/>
      <c r="H27" s="245"/>
      <c r="I27" s="245"/>
      <c r="J27" s="245"/>
      <c r="K27" s="245"/>
      <c r="L27" s="245"/>
      <c r="M27" s="245"/>
      <c r="N27" s="245"/>
    </row>
    <row r="28" spans="1:14" x14ac:dyDescent="0.3">
      <c r="A28" s="245"/>
      <c r="B28" s="245"/>
      <c r="C28" s="245"/>
      <c r="D28" s="245"/>
      <c r="E28" s="246"/>
      <c r="F28" s="249"/>
      <c r="G28" s="249"/>
      <c r="H28" s="245"/>
      <c r="I28" s="245"/>
      <c r="J28" s="245"/>
      <c r="K28" s="245"/>
      <c r="L28" s="245"/>
      <c r="M28" s="245"/>
      <c r="N28" s="245"/>
    </row>
    <row r="29" spans="1:14" x14ac:dyDescent="0.3">
      <c r="A29" s="245"/>
      <c r="B29" s="245"/>
      <c r="C29" s="245"/>
      <c r="D29" s="245"/>
      <c r="E29" s="245"/>
      <c r="F29" s="249"/>
      <c r="G29" s="249"/>
      <c r="H29" s="245"/>
      <c r="I29" s="245"/>
      <c r="J29" s="245"/>
      <c r="K29" s="245"/>
      <c r="L29" s="245"/>
      <c r="M29" s="245"/>
      <c r="N29" s="245"/>
    </row>
    <row r="30" spans="1:14" x14ac:dyDescent="0.3">
      <c r="A30" s="245"/>
      <c r="B30" s="245"/>
      <c r="C30" s="245"/>
      <c r="D30" s="245"/>
      <c r="E30" s="246"/>
      <c r="F30" s="249"/>
      <c r="G30" s="249"/>
      <c r="H30" s="245"/>
      <c r="I30" s="245"/>
      <c r="J30" s="245"/>
      <c r="K30" s="245"/>
      <c r="L30" s="245"/>
      <c r="M30" s="245"/>
      <c r="N30" s="245"/>
    </row>
    <row r="31" spans="1:14" x14ac:dyDescent="0.3">
      <c r="A31" s="245"/>
      <c r="B31" s="245"/>
      <c r="C31" s="245"/>
      <c r="D31" s="245"/>
      <c r="E31" s="246"/>
      <c r="F31" s="249"/>
      <c r="G31" s="249"/>
      <c r="H31" s="245"/>
      <c r="I31" s="245"/>
      <c r="J31" s="245"/>
      <c r="K31" s="245"/>
      <c r="L31" s="245"/>
      <c r="M31" s="245"/>
      <c r="N31" s="245"/>
    </row>
  </sheetData>
  <pageMargins left="0.3" right="0.3" top="0.89999999999999991" bottom="0.5" header="0.3" footer="0.3"/>
  <pageSetup scale="50" fitToHeight="0" orientation="landscape" r:id="rId1"/>
  <headerFooter>
    <oddHeader>&amp;LArrivals: 01/05/2026  to  31/05/2026&amp;C&amp;"Calibri,Bold"&amp;14Hotel Arrival List
&amp;"Calibri"&amp;10Arrivals: 01/06/2026  to  30/06/2026&amp;R&amp;"Calibri"&amp;9Printed: 20/06/2026 15:45</oddHeader>
    <oddFooter>&amp;CPage &amp;P of &amp;N</oddFooter>
  </headerFooter>
  <legacyDrawingHF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AA42C5-9388-40EC-8E81-DA2CCAC83CBE}">
  <sheetPr codeName="Sheet4">
    <pageSetUpPr fitToPage="1"/>
  </sheetPr>
  <dimension ref="A1:H548"/>
  <sheetViews>
    <sheetView view="pageLayout" zoomScaleNormal="100" workbookViewId="0">
      <selection activeCell="G2" sqref="G2:G1048576"/>
    </sheetView>
  </sheetViews>
  <sheetFormatPr defaultRowHeight="14.4" x14ac:dyDescent="0.3"/>
  <cols>
    <col min="1" max="2" width="9.88671875" style="254" bestFit="1" customWidth="1"/>
    <col min="3" max="3" width="8.88671875" style="254" bestFit="1" customWidth="1"/>
    <col min="4" max="5" width="10.88671875" style="255" bestFit="1" customWidth="1"/>
    <col min="6" max="6" width="9.88671875" style="255" bestFit="1" customWidth="1"/>
    <col min="7" max="7" width="9.5546875" style="248" bestFit="1" customWidth="1"/>
    <col min="8" max="8" width="9.5546875" bestFit="1" customWidth="1"/>
  </cols>
  <sheetData>
    <row r="1" spans="1:8" x14ac:dyDescent="0.3">
      <c r="A1" s="261" t="s">
        <v>24</v>
      </c>
      <c r="B1" s="261" t="s">
        <v>25</v>
      </c>
      <c r="C1" s="261" t="s">
        <v>26</v>
      </c>
      <c r="D1" s="261" t="s">
        <v>27</v>
      </c>
      <c r="E1" s="261" t="s">
        <v>28</v>
      </c>
      <c r="F1" s="261" t="s">
        <v>29</v>
      </c>
      <c r="G1" s="261" t="s">
        <v>10</v>
      </c>
      <c r="H1" s="261" t="s">
        <v>11</v>
      </c>
    </row>
    <row r="2" spans="1:8" x14ac:dyDescent="0.3">
      <c r="A2" s="258">
        <v>0</v>
      </c>
      <c r="B2" s="258">
        <v>0</v>
      </c>
      <c r="C2" s="258">
        <v>0</v>
      </c>
      <c r="D2" s="259">
        <v>1792.8</v>
      </c>
      <c r="E2" s="259">
        <v>1843.2</v>
      </c>
      <c r="F2" s="259">
        <v>50.400000000000091</v>
      </c>
      <c r="G2" s="260">
        <v>46211</v>
      </c>
      <c r="H2" s="260">
        <v>46225</v>
      </c>
    </row>
    <row r="3" spans="1:8" x14ac:dyDescent="0.3">
      <c r="A3" s="258">
        <v>0</v>
      </c>
      <c r="B3" s="258">
        <v>0</v>
      </c>
      <c r="C3" s="258">
        <v>0</v>
      </c>
      <c r="D3" s="259">
        <v>1792.8</v>
      </c>
      <c r="E3" s="259">
        <v>1843.2</v>
      </c>
      <c r="F3" s="259">
        <v>50.400000000000091</v>
      </c>
      <c r="G3" s="260">
        <v>46211</v>
      </c>
      <c r="H3" s="260">
        <v>46225</v>
      </c>
    </row>
    <row r="4" spans="1:8" x14ac:dyDescent="0.3">
      <c r="A4" s="258">
        <v>0</v>
      </c>
      <c r="B4" s="258">
        <v>0</v>
      </c>
      <c r="C4" s="258">
        <v>0</v>
      </c>
      <c r="D4" s="259">
        <v>0</v>
      </c>
      <c r="E4" s="259">
        <v>0</v>
      </c>
      <c r="F4" s="259">
        <v>0</v>
      </c>
      <c r="G4" s="260">
        <v>46211</v>
      </c>
      <c r="H4" s="260">
        <v>46218</v>
      </c>
    </row>
    <row r="5" spans="1:8" x14ac:dyDescent="0.3">
      <c r="A5" s="258">
        <v>0</v>
      </c>
      <c r="B5" s="258">
        <v>0</v>
      </c>
      <c r="C5" s="258">
        <v>0</v>
      </c>
      <c r="D5" s="259">
        <v>0</v>
      </c>
      <c r="E5" s="259">
        <v>0</v>
      </c>
      <c r="F5" s="259">
        <v>0</v>
      </c>
      <c r="G5" s="260">
        <v>46210</v>
      </c>
      <c r="H5" s="260">
        <v>46217</v>
      </c>
    </row>
    <row r="6" spans="1:8" x14ac:dyDescent="0.3">
      <c r="A6" s="258">
        <v>0</v>
      </c>
      <c r="B6" s="258">
        <v>0</v>
      </c>
      <c r="C6" s="258">
        <v>0</v>
      </c>
      <c r="D6" s="259">
        <v>684.8</v>
      </c>
      <c r="E6" s="259">
        <v>710.4</v>
      </c>
      <c r="F6" s="259">
        <v>25.600000000000023</v>
      </c>
      <c r="G6" s="260">
        <v>46203</v>
      </c>
      <c r="H6" s="260">
        <v>46210</v>
      </c>
    </row>
    <row r="7" spans="1:8" x14ac:dyDescent="0.3">
      <c r="A7" s="258">
        <v>0</v>
      </c>
      <c r="B7" s="258">
        <v>0</v>
      </c>
      <c r="C7" s="258">
        <v>0</v>
      </c>
      <c r="D7" s="259">
        <v>603</v>
      </c>
      <c r="E7" s="259">
        <v>597.6</v>
      </c>
      <c r="F7" s="259">
        <v>-5.3999999999999773</v>
      </c>
      <c r="G7" s="260">
        <v>46204</v>
      </c>
      <c r="H7" s="260">
        <v>46213</v>
      </c>
    </row>
    <row r="8" spans="1:8" x14ac:dyDescent="0.3">
      <c r="A8" s="258"/>
      <c r="B8" s="258"/>
      <c r="C8" s="258"/>
      <c r="D8" s="259"/>
      <c r="E8" s="259"/>
      <c r="F8" s="259"/>
      <c r="G8" s="260"/>
      <c r="H8" s="260"/>
    </row>
    <row r="9" spans="1:8" x14ac:dyDescent="0.3">
      <c r="A9" s="258"/>
      <c r="B9" s="258"/>
      <c r="C9" s="258"/>
      <c r="D9" s="259"/>
      <c r="E9" s="259"/>
      <c r="F9" s="259"/>
      <c r="G9" s="260"/>
      <c r="H9" s="260"/>
    </row>
    <row r="10" spans="1:8" x14ac:dyDescent="0.3">
      <c r="A10" s="258"/>
      <c r="B10" s="258"/>
      <c r="C10" s="258"/>
      <c r="D10" s="259"/>
      <c r="E10" s="259"/>
      <c r="F10" s="259"/>
      <c r="G10" s="260"/>
      <c r="H10" s="260"/>
    </row>
    <row r="11" spans="1:8" x14ac:dyDescent="0.3">
      <c r="A11" s="258"/>
      <c r="B11" s="258"/>
      <c r="C11" s="258"/>
      <c r="D11" s="259"/>
      <c r="E11" s="259"/>
      <c r="F11" s="259"/>
      <c r="G11" s="260"/>
      <c r="H11" s="260"/>
    </row>
    <row r="12" spans="1:8" x14ac:dyDescent="0.3">
      <c r="A12" s="258"/>
      <c r="B12" s="258"/>
      <c r="C12" s="258"/>
      <c r="D12" s="259"/>
      <c r="E12" s="259"/>
      <c r="F12" s="259"/>
      <c r="G12" s="260"/>
      <c r="H12" s="260"/>
    </row>
    <row r="13" spans="1:8" x14ac:dyDescent="0.3">
      <c r="A13" s="258"/>
      <c r="B13" s="258"/>
      <c r="C13" s="258"/>
      <c r="D13" s="259"/>
      <c r="E13" s="259"/>
      <c r="F13" s="259"/>
      <c r="G13" s="260"/>
      <c r="H13" s="260"/>
    </row>
    <row r="14" spans="1:8" x14ac:dyDescent="0.3">
      <c r="A14" s="258"/>
      <c r="B14" s="258"/>
      <c r="C14" s="258"/>
      <c r="D14" s="259"/>
      <c r="E14" s="259"/>
      <c r="F14" s="259"/>
      <c r="G14" s="260"/>
      <c r="H14" s="260"/>
    </row>
    <row r="15" spans="1:8" x14ac:dyDescent="0.3">
      <c r="A15" s="258"/>
      <c r="B15" s="258"/>
      <c r="C15" s="258"/>
      <c r="D15" s="259"/>
      <c r="E15" s="259"/>
      <c r="F15" s="259"/>
      <c r="G15" s="260"/>
      <c r="H15" s="260"/>
    </row>
    <row r="16" spans="1:8" x14ac:dyDescent="0.3">
      <c r="A16" s="258"/>
      <c r="B16" s="258"/>
      <c r="C16" s="258"/>
      <c r="D16" s="259"/>
      <c r="E16" s="259"/>
      <c r="F16" s="259"/>
      <c r="G16" s="260"/>
      <c r="H16" s="260"/>
    </row>
    <row r="17" spans="1:8" x14ac:dyDescent="0.3">
      <c r="A17" s="258"/>
      <c r="B17" s="258"/>
      <c r="C17" s="258"/>
      <c r="D17" s="259"/>
      <c r="E17" s="259"/>
      <c r="F17" s="259"/>
      <c r="G17" s="260"/>
      <c r="H17" s="260"/>
    </row>
    <row r="18" spans="1:8" x14ac:dyDescent="0.3">
      <c r="A18" s="258"/>
      <c r="B18" s="258"/>
      <c r="C18" s="258"/>
      <c r="D18" s="259"/>
      <c r="E18" s="259"/>
      <c r="F18" s="259"/>
      <c r="G18" s="260"/>
      <c r="H18" s="260"/>
    </row>
    <row r="19" spans="1:8" x14ac:dyDescent="0.3">
      <c r="A19" s="258"/>
      <c r="B19" s="258"/>
      <c r="C19" s="258"/>
      <c r="D19" s="259"/>
      <c r="E19" s="259"/>
      <c r="F19" s="259"/>
      <c r="G19" s="260"/>
      <c r="H19" s="260"/>
    </row>
    <row r="20" spans="1:8" x14ac:dyDescent="0.3">
      <c r="A20" s="258"/>
      <c r="B20" s="258"/>
      <c r="C20" s="258"/>
      <c r="D20" s="259"/>
      <c r="E20" s="259"/>
      <c r="F20" s="259"/>
      <c r="G20" s="260"/>
      <c r="H20" s="260"/>
    </row>
    <row r="21" spans="1:8" x14ac:dyDescent="0.3">
      <c r="A21" s="258"/>
      <c r="B21" s="258"/>
      <c r="C21" s="258"/>
      <c r="D21" s="259"/>
      <c r="E21" s="259"/>
      <c r="F21" s="259"/>
      <c r="G21" s="260"/>
      <c r="H21" s="260"/>
    </row>
    <row r="22" spans="1:8" x14ac:dyDescent="0.3">
      <c r="A22" s="258"/>
      <c r="B22" s="258"/>
      <c r="C22" s="258"/>
      <c r="D22" s="259"/>
      <c r="E22" s="259"/>
      <c r="F22" s="259"/>
      <c r="G22" s="260"/>
      <c r="H22" s="260"/>
    </row>
    <row r="23" spans="1:8" x14ac:dyDescent="0.3">
      <c r="A23" s="258"/>
      <c r="B23" s="258"/>
      <c r="C23" s="258"/>
      <c r="D23" s="259"/>
      <c r="E23" s="259"/>
      <c r="F23" s="259"/>
      <c r="G23" s="260"/>
      <c r="H23" s="260"/>
    </row>
    <row r="24" spans="1:8" x14ac:dyDescent="0.3">
      <c r="A24" s="258"/>
      <c r="B24" s="258"/>
      <c r="C24" s="258"/>
      <c r="D24" s="259"/>
      <c r="E24" s="259"/>
      <c r="F24" s="259"/>
      <c r="G24" s="260"/>
      <c r="H24" s="260"/>
    </row>
    <row r="25" spans="1:8" x14ac:dyDescent="0.3">
      <c r="A25" s="258"/>
      <c r="B25" s="258"/>
      <c r="C25" s="258"/>
      <c r="D25" s="259"/>
      <c r="E25" s="259"/>
      <c r="F25" s="259"/>
      <c r="G25" s="260"/>
      <c r="H25" s="260"/>
    </row>
    <row r="26" spans="1:8" x14ac:dyDescent="0.3">
      <c r="A26" s="258"/>
      <c r="B26" s="258"/>
      <c r="C26" s="258"/>
      <c r="D26" s="259"/>
      <c r="E26" s="259"/>
      <c r="F26" s="259"/>
      <c r="G26" s="260"/>
      <c r="H26" s="260"/>
    </row>
    <row r="27" spans="1:8" x14ac:dyDescent="0.3">
      <c r="A27" s="258"/>
      <c r="B27" s="258"/>
      <c r="C27" s="258"/>
      <c r="D27" s="259"/>
      <c r="E27" s="259"/>
      <c r="F27" s="259"/>
      <c r="G27" s="260"/>
      <c r="H27" s="260"/>
    </row>
    <row r="28" spans="1:8" x14ac:dyDescent="0.3">
      <c r="A28" s="258"/>
      <c r="B28" s="258"/>
      <c r="C28" s="258"/>
      <c r="D28" s="259"/>
      <c r="E28" s="259"/>
      <c r="F28" s="259"/>
      <c r="G28" s="260"/>
      <c r="H28" s="260"/>
    </row>
    <row r="29" spans="1:8" x14ac:dyDescent="0.3">
      <c r="A29" s="258"/>
      <c r="B29" s="258"/>
      <c r="C29" s="258"/>
      <c r="D29" s="259"/>
      <c r="E29" s="259"/>
      <c r="F29" s="259"/>
      <c r="G29" s="260"/>
      <c r="H29" s="260"/>
    </row>
    <row r="30" spans="1:8" x14ac:dyDescent="0.3">
      <c r="A30" s="258"/>
      <c r="B30" s="258"/>
      <c r="C30" s="258"/>
      <c r="D30" s="259"/>
      <c r="E30" s="259"/>
      <c r="F30" s="259"/>
      <c r="G30" s="260"/>
      <c r="H30" s="260"/>
    </row>
    <row r="31" spans="1:8" x14ac:dyDescent="0.3">
      <c r="A31" s="258"/>
      <c r="B31" s="258"/>
      <c r="C31" s="258"/>
      <c r="D31" s="259"/>
      <c r="E31" s="259"/>
      <c r="F31" s="259"/>
      <c r="G31" s="260"/>
      <c r="H31" s="260"/>
    </row>
    <row r="32" spans="1:8" x14ac:dyDescent="0.3">
      <c r="A32" s="262"/>
      <c r="B32" s="262"/>
      <c r="C32" s="262"/>
      <c r="D32" s="263"/>
      <c r="E32" s="263"/>
      <c r="F32" s="263"/>
      <c r="G32" s="264"/>
      <c r="H32" s="264"/>
    </row>
    <row r="33" spans="1:8" x14ac:dyDescent="0.3">
      <c r="A33" s="258"/>
      <c r="B33" s="258"/>
      <c r="C33" s="258"/>
      <c r="D33" s="259"/>
      <c r="E33" s="259"/>
      <c r="F33" s="259"/>
      <c r="G33" s="260"/>
      <c r="H33" s="260"/>
    </row>
    <row r="34" spans="1:8" x14ac:dyDescent="0.3">
      <c r="A34" s="258"/>
      <c r="B34" s="258"/>
      <c r="C34" s="258"/>
      <c r="D34" s="259"/>
      <c r="E34" s="259"/>
      <c r="F34" s="259"/>
      <c r="G34" s="260"/>
      <c r="H34" s="260"/>
    </row>
    <row r="35" spans="1:8" x14ac:dyDescent="0.3">
      <c r="A35" s="258"/>
      <c r="B35" s="258"/>
      <c r="C35" s="258"/>
      <c r="D35" s="259"/>
      <c r="E35" s="259"/>
      <c r="F35" s="259"/>
      <c r="G35" s="260"/>
      <c r="H35" s="260"/>
    </row>
    <row r="36" spans="1:8" x14ac:dyDescent="0.3">
      <c r="A36" s="258"/>
      <c r="B36" s="258"/>
      <c r="C36" s="258"/>
      <c r="D36" s="259"/>
      <c r="E36" s="259"/>
      <c r="F36" s="259"/>
      <c r="G36" s="260"/>
      <c r="H36" s="260"/>
    </row>
    <row r="37" spans="1:8" x14ac:dyDescent="0.3">
      <c r="A37" s="258"/>
      <c r="B37" s="258"/>
      <c r="C37" s="258"/>
      <c r="D37" s="259"/>
      <c r="E37" s="259"/>
      <c r="F37" s="259"/>
      <c r="G37" s="260"/>
      <c r="H37" s="260"/>
    </row>
    <row r="38" spans="1:8" x14ac:dyDescent="0.3">
      <c r="A38" s="258"/>
      <c r="B38" s="258"/>
      <c r="C38" s="258"/>
      <c r="D38" s="259"/>
      <c r="E38" s="259"/>
      <c r="F38" s="259"/>
      <c r="G38" s="260"/>
      <c r="H38" s="260"/>
    </row>
    <row r="39" spans="1:8" x14ac:dyDescent="0.3">
      <c r="A39" s="258"/>
      <c r="B39" s="258"/>
      <c r="C39" s="258"/>
      <c r="D39" s="259"/>
      <c r="E39" s="259"/>
      <c r="F39" s="259"/>
      <c r="G39" s="260"/>
      <c r="H39" s="260"/>
    </row>
    <row r="40" spans="1:8" x14ac:dyDescent="0.3">
      <c r="A40" s="258"/>
      <c r="B40" s="258"/>
      <c r="C40" s="258"/>
      <c r="D40" s="259"/>
      <c r="E40" s="259"/>
      <c r="F40" s="259"/>
      <c r="G40" s="260"/>
      <c r="H40" s="260"/>
    </row>
    <row r="41" spans="1:8" x14ac:dyDescent="0.3">
      <c r="A41" s="258"/>
      <c r="B41" s="258"/>
      <c r="C41" s="258"/>
      <c r="D41" s="259"/>
      <c r="E41" s="259"/>
      <c r="F41" s="259"/>
      <c r="G41" s="260"/>
      <c r="H41" s="260"/>
    </row>
    <row r="42" spans="1:8" x14ac:dyDescent="0.3">
      <c r="A42" s="258"/>
      <c r="B42" s="258"/>
      <c r="C42" s="258"/>
      <c r="D42" s="259"/>
      <c r="E42" s="259"/>
      <c r="F42" s="259"/>
      <c r="G42" s="260"/>
      <c r="H42" s="260"/>
    </row>
    <row r="43" spans="1:8" x14ac:dyDescent="0.3">
      <c r="A43" s="258"/>
      <c r="B43" s="258"/>
      <c r="C43" s="258"/>
      <c r="D43" s="259"/>
      <c r="E43" s="259"/>
      <c r="F43" s="259"/>
      <c r="G43" s="260"/>
      <c r="H43" s="260"/>
    </row>
    <row r="44" spans="1:8" x14ac:dyDescent="0.3">
      <c r="A44" s="262"/>
      <c r="B44" s="262"/>
      <c r="C44" s="262"/>
      <c r="D44" s="263"/>
      <c r="E44" s="263"/>
      <c r="F44" s="263"/>
      <c r="G44" s="264"/>
      <c r="H44" s="264"/>
    </row>
    <row r="45" spans="1:8" x14ac:dyDescent="0.3">
      <c r="A45" s="258"/>
      <c r="B45" s="258"/>
      <c r="C45" s="258"/>
      <c r="D45" s="259"/>
      <c r="E45" s="259"/>
      <c r="F45" s="259"/>
      <c r="G45" s="260"/>
      <c r="H45" s="260"/>
    </row>
    <row r="46" spans="1:8" x14ac:dyDescent="0.3">
      <c r="A46" s="258"/>
      <c r="B46" s="258"/>
      <c r="C46" s="258"/>
      <c r="D46" s="259"/>
      <c r="E46" s="259"/>
      <c r="F46" s="259"/>
      <c r="G46" s="260"/>
      <c r="H46" s="260"/>
    </row>
    <row r="47" spans="1:8" x14ac:dyDescent="0.3">
      <c r="A47" s="258"/>
      <c r="B47" s="258"/>
      <c r="C47" s="258"/>
      <c r="D47" s="259"/>
      <c r="E47" s="259"/>
      <c r="F47" s="259"/>
      <c r="G47" s="260"/>
      <c r="H47" s="260"/>
    </row>
    <row r="48" spans="1:8" x14ac:dyDescent="0.3">
      <c r="A48" s="258"/>
      <c r="B48" s="258"/>
      <c r="C48" s="258"/>
      <c r="D48" s="259"/>
      <c r="E48" s="259"/>
      <c r="F48" s="259"/>
      <c r="G48" s="260"/>
      <c r="H48" s="260"/>
    </row>
    <row r="49" spans="1:8" x14ac:dyDescent="0.3">
      <c r="A49" s="258"/>
      <c r="B49" s="258"/>
      <c r="C49" s="258"/>
      <c r="D49" s="259"/>
      <c r="E49" s="259"/>
      <c r="F49" s="259"/>
      <c r="G49" s="260"/>
      <c r="H49" s="260"/>
    </row>
    <row r="50" spans="1:8" x14ac:dyDescent="0.3">
      <c r="A50" s="258"/>
      <c r="B50" s="258"/>
      <c r="C50" s="258"/>
      <c r="D50" s="259"/>
      <c r="E50" s="259"/>
      <c r="F50" s="259"/>
      <c r="G50" s="260"/>
      <c r="H50" s="260"/>
    </row>
    <row r="51" spans="1:8" x14ac:dyDescent="0.3">
      <c r="A51" s="258"/>
      <c r="B51" s="258"/>
      <c r="C51" s="258"/>
      <c r="D51" s="259"/>
      <c r="E51" s="259"/>
      <c r="F51" s="259"/>
      <c r="G51" s="260"/>
      <c r="H51" s="260"/>
    </row>
    <row r="52" spans="1:8" x14ac:dyDescent="0.3">
      <c r="A52" s="258"/>
      <c r="B52" s="258"/>
      <c r="C52" s="258"/>
      <c r="D52" s="259"/>
      <c r="E52" s="259"/>
      <c r="F52" s="259"/>
      <c r="G52" s="260"/>
      <c r="H52" s="260"/>
    </row>
    <row r="53" spans="1:8" x14ac:dyDescent="0.3">
      <c r="A53" s="258"/>
      <c r="B53" s="258"/>
      <c r="C53" s="258"/>
      <c r="D53" s="259"/>
      <c r="E53" s="259"/>
      <c r="F53" s="259"/>
      <c r="G53" s="260"/>
      <c r="H53" s="260"/>
    </row>
    <row r="54" spans="1:8" x14ac:dyDescent="0.3">
      <c r="A54" s="258"/>
      <c r="B54" s="258"/>
      <c r="C54" s="258"/>
      <c r="D54" s="259"/>
      <c r="E54" s="259"/>
      <c r="F54" s="259"/>
      <c r="G54" s="260"/>
      <c r="H54" s="260"/>
    </row>
    <row r="55" spans="1:8" x14ac:dyDescent="0.3">
      <c r="A55" s="258"/>
      <c r="B55" s="258"/>
      <c r="C55" s="258"/>
      <c r="D55" s="259"/>
      <c r="E55" s="259"/>
      <c r="F55" s="259"/>
      <c r="G55" s="260"/>
      <c r="H55" s="260"/>
    </row>
    <row r="56" spans="1:8" x14ac:dyDescent="0.3">
      <c r="A56" s="258"/>
      <c r="B56" s="258"/>
      <c r="C56" s="258"/>
      <c r="D56" s="259"/>
      <c r="E56" s="259"/>
      <c r="F56" s="259"/>
      <c r="G56" s="260"/>
      <c r="H56" s="260"/>
    </row>
    <row r="57" spans="1:8" x14ac:dyDescent="0.3">
      <c r="A57" s="258"/>
      <c r="B57" s="258"/>
      <c r="C57" s="258"/>
      <c r="D57" s="259"/>
      <c r="E57" s="259"/>
      <c r="F57" s="259"/>
      <c r="G57" s="260"/>
      <c r="H57" s="260"/>
    </row>
    <row r="58" spans="1:8" x14ac:dyDescent="0.3">
      <c r="A58" s="258"/>
      <c r="B58" s="258"/>
      <c r="C58" s="258"/>
      <c r="D58" s="259"/>
      <c r="E58" s="259"/>
      <c r="F58" s="259"/>
      <c r="G58" s="260"/>
      <c r="H58" s="260"/>
    </row>
    <row r="59" spans="1:8" x14ac:dyDescent="0.3">
      <c r="A59" s="258"/>
      <c r="B59" s="258"/>
      <c r="C59" s="258"/>
      <c r="D59" s="259"/>
      <c r="E59" s="259"/>
      <c r="F59" s="259"/>
      <c r="G59" s="260"/>
      <c r="H59" s="260"/>
    </row>
    <row r="60" spans="1:8" x14ac:dyDescent="0.3">
      <c r="A60" s="258"/>
      <c r="B60" s="258"/>
      <c r="C60" s="258"/>
      <c r="D60" s="259"/>
      <c r="E60" s="259"/>
      <c r="F60" s="259"/>
      <c r="G60" s="260"/>
      <c r="H60" s="260"/>
    </row>
    <row r="61" spans="1:8" x14ac:dyDescent="0.3">
      <c r="A61" s="258"/>
      <c r="B61" s="258"/>
      <c r="C61" s="258"/>
      <c r="D61" s="259"/>
      <c r="E61" s="259"/>
      <c r="F61" s="259"/>
      <c r="G61" s="260"/>
      <c r="H61" s="260"/>
    </row>
    <row r="62" spans="1:8" x14ac:dyDescent="0.3">
      <c r="A62" s="258"/>
      <c r="B62" s="258"/>
      <c r="C62" s="258"/>
      <c r="D62" s="259"/>
      <c r="E62" s="259"/>
      <c r="F62" s="259"/>
      <c r="G62" s="260"/>
      <c r="H62" s="260"/>
    </row>
    <row r="63" spans="1:8" x14ac:dyDescent="0.3">
      <c r="A63" s="258"/>
      <c r="B63" s="258"/>
      <c r="C63" s="258"/>
      <c r="D63" s="259"/>
      <c r="E63" s="259"/>
      <c r="F63" s="259"/>
      <c r="G63" s="260"/>
      <c r="H63" s="260"/>
    </row>
    <row r="64" spans="1:8" x14ac:dyDescent="0.3">
      <c r="A64" s="258"/>
      <c r="B64" s="258"/>
      <c r="C64" s="258"/>
      <c r="D64" s="259"/>
      <c r="E64" s="259"/>
      <c r="F64" s="259"/>
      <c r="G64" s="260"/>
      <c r="H64" s="260"/>
    </row>
    <row r="65" spans="1:8" x14ac:dyDescent="0.3">
      <c r="A65" s="258"/>
      <c r="B65" s="258"/>
      <c r="C65" s="258"/>
      <c r="D65" s="259"/>
      <c r="E65" s="259"/>
      <c r="F65" s="259"/>
      <c r="G65" s="260"/>
      <c r="H65" s="260"/>
    </row>
    <row r="66" spans="1:8" x14ac:dyDescent="0.3">
      <c r="A66" s="258"/>
      <c r="B66" s="258"/>
      <c r="C66" s="258"/>
      <c r="D66" s="259"/>
      <c r="E66" s="259"/>
      <c r="F66" s="259"/>
      <c r="G66" s="260"/>
      <c r="H66" s="260"/>
    </row>
    <row r="67" spans="1:8" x14ac:dyDescent="0.3">
      <c r="A67" s="258"/>
      <c r="B67" s="258"/>
      <c r="C67" s="258"/>
      <c r="D67" s="259"/>
      <c r="E67" s="259"/>
      <c r="F67" s="259"/>
      <c r="G67" s="260"/>
      <c r="H67" s="260"/>
    </row>
    <row r="68" spans="1:8" x14ac:dyDescent="0.3">
      <c r="A68" s="258"/>
      <c r="B68" s="258"/>
      <c r="C68" s="258"/>
      <c r="D68" s="259"/>
      <c r="E68" s="259"/>
      <c r="F68" s="259"/>
      <c r="G68" s="260"/>
      <c r="H68" s="260"/>
    </row>
    <row r="69" spans="1:8" x14ac:dyDescent="0.3">
      <c r="A69" s="258"/>
      <c r="B69" s="258"/>
      <c r="C69" s="258"/>
      <c r="D69" s="259"/>
      <c r="E69" s="259"/>
      <c r="F69" s="259"/>
      <c r="G69" s="260"/>
      <c r="H69" s="260"/>
    </row>
    <row r="70" spans="1:8" x14ac:dyDescent="0.3">
      <c r="A70" s="258"/>
      <c r="B70" s="258"/>
      <c r="C70" s="258"/>
      <c r="D70" s="259"/>
      <c r="E70" s="259"/>
      <c r="F70" s="259"/>
      <c r="G70" s="260"/>
      <c r="H70" s="260"/>
    </row>
    <row r="71" spans="1:8" x14ac:dyDescent="0.3">
      <c r="A71" s="258"/>
      <c r="B71" s="258"/>
      <c r="C71" s="258"/>
      <c r="D71" s="259"/>
      <c r="E71" s="259"/>
      <c r="F71" s="259"/>
      <c r="G71" s="260"/>
      <c r="H71" s="260"/>
    </row>
    <row r="72" spans="1:8" x14ac:dyDescent="0.3">
      <c r="A72" s="258"/>
      <c r="B72" s="258"/>
      <c r="C72" s="258"/>
      <c r="D72" s="259"/>
      <c r="E72" s="259"/>
      <c r="F72" s="259"/>
      <c r="G72" s="260"/>
      <c r="H72" s="260"/>
    </row>
    <row r="73" spans="1:8" x14ac:dyDescent="0.3">
      <c r="A73" s="258"/>
      <c r="B73" s="258"/>
      <c r="C73" s="258"/>
      <c r="D73" s="259"/>
      <c r="E73" s="259"/>
      <c r="F73" s="259"/>
      <c r="G73" s="260"/>
      <c r="H73" s="260"/>
    </row>
    <row r="74" spans="1:8" x14ac:dyDescent="0.3">
      <c r="A74" s="258"/>
      <c r="B74" s="258"/>
      <c r="C74" s="258"/>
      <c r="D74" s="259"/>
      <c r="E74" s="259"/>
      <c r="F74" s="259"/>
      <c r="G74" s="260"/>
      <c r="H74" s="260"/>
    </row>
    <row r="75" spans="1:8" x14ac:dyDescent="0.3">
      <c r="A75" s="258"/>
      <c r="B75" s="258"/>
      <c r="C75" s="258"/>
      <c r="D75" s="259"/>
      <c r="E75" s="259"/>
      <c r="F75" s="259"/>
      <c r="G75" s="260"/>
      <c r="H75" s="260"/>
    </row>
    <row r="76" spans="1:8" x14ac:dyDescent="0.3">
      <c r="A76" s="258"/>
      <c r="B76" s="258"/>
      <c r="C76" s="258"/>
      <c r="D76" s="259"/>
      <c r="E76" s="259"/>
      <c r="F76" s="259"/>
      <c r="G76" s="260"/>
      <c r="H76" s="260"/>
    </row>
    <row r="77" spans="1:8" x14ac:dyDescent="0.3">
      <c r="A77" s="258"/>
      <c r="B77" s="258"/>
      <c r="C77" s="258"/>
      <c r="D77" s="259"/>
      <c r="E77" s="259"/>
      <c r="F77" s="259"/>
      <c r="G77" s="260"/>
      <c r="H77" s="260"/>
    </row>
    <row r="78" spans="1:8" x14ac:dyDescent="0.3">
      <c r="A78" s="258"/>
      <c r="B78" s="258"/>
      <c r="C78" s="258"/>
      <c r="D78" s="259"/>
      <c r="E78" s="259"/>
      <c r="F78" s="259"/>
      <c r="G78" s="260"/>
      <c r="H78" s="260"/>
    </row>
    <row r="79" spans="1:8" x14ac:dyDescent="0.3">
      <c r="A79" s="258"/>
      <c r="B79" s="258"/>
      <c r="C79" s="258"/>
      <c r="D79" s="259"/>
      <c r="E79" s="259"/>
      <c r="F79" s="259"/>
      <c r="G79" s="260"/>
      <c r="H79" s="260"/>
    </row>
    <row r="80" spans="1:8" x14ac:dyDescent="0.3">
      <c r="A80" s="258"/>
      <c r="B80" s="258"/>
      <c r="C80" s="258"/>
      <c r="D80" s="259"/>
      <c r="E80" s="259"/>
      <c r="F80" s="259"/>
      <c r="G80" s="260"/>
      <c r="H80" s="260"/>
    </row>
    <row r="81" spans="1:8" x14ac:dyDescent="0.3">
      <c r="A81" s="258"/>
      <c r="B81" s="258"/>
      <c r="C81" s="258"/>
      <c r="D81" s="259"/>
      <c r="E81" s="259"/>
      <c r="F81" s="259"/>
      <c r="G81" s="260"/>
      <c r="H81" s="260"/>
    </row>
    <row r="82" spans="1:8" x14ac:dyDescent="0.3">
      <c r="A82" s="258"/>
      <c r="B82" s="258"/>
      <c r="C82" s="258"/>
      <c r="D82" s="259"/>
      <c r="E82" s="259"/>
      <c r="F82" s="259"/>
      <c r="G82" s="260"/>
      <c r="H82" s="260"/>
    </row>
    <row r="83" spans="1:8" x14ac:dyDescent="0.3">
      <c r="A83" s="258"/>
      <c r="B83" s="258"/>
      <c r="C83" s="258"/>
      <c r="D83" s="259"/>
      <c r="E83" s="259"/>
      <c r="F83" s="259"/>
      <c r="G83" s="260"/>
      <c r="H83" s="260"/>
    </row>
    <row r="84" spans="1:8" x14ac:dyDescent="0.3">
      <c r="A84" s="258"/>
      <c r="B84" s="258"/>
      <c r="C84" s="258"/>
      <c r="D84" s="259"/>
      <c r="E84" s="259"/>
      <c r="F84" s="259"/>
      <c r="G84" s="260"/>
      <c r="H84" s="260"/>
    </row>
    <row r="85" spans="1:8" x14ac:dyDescent="0.3">
      <c r="A85" s="258"/>
      <c r="B85" s="258"/>
      <c r="C85" s="258"/>
      <c r="D85" s="259"/>
      <c r="E85" s="259"/>
      <c r="F85" s="259"/>
      <c r="G85" s="260"/>
      <c r="H85" s="260"/>
    </row>
    <row r="86" spans="1:8" x14ac:dyDescent="0.3">
      <c r="A86" s="258"/>
      <c r="B86" s="258"/>
      <c r="C86" s="258"/>
      <c r="D86" s="259"/>
      <c r="E86" s="259"/>
      <c r="F86" s="259"/>
      <c r="G86" s="260"/>
      <c r="H86" s="260"/>
    </row>
    <row r="87" spans="1:8" x14ac:dyDescent="0.3">
      <c r="A87" s="258"/>
      <c r="B87" s="258"/>
      <c r="C87" s="258"/>
      <c r="D87" s="259"/>
      <c r="E87" s="259"/>
      <c r="F87" s="259"/>
      <c r="G87" s="260"/>
      <c r="H87" s="260"/>
    </row>
    <row r="88" spans="1:8" x14ac:dyDescent="0.3">
      <c r="A88" s="258"/>
      <c r="B88" s="258"/>
      <c r="C88" s="258"/>
      <c r="D88" s="259"/>
      <c r="E88" s="259"/>
      <c r="F88" s="259"/>
      <c r="G88" s="260"/>
      <c r="H88" s="260"/>
    </row>
    <row r="89" spans="1:8" x14ac:dyDescent="0.3">
      <c r="A89" s="258"/>
      <c r="B89" s="258"/>
      <c r="C89" s="258"/>
      <c r="D89" s="259"/>
      <c r="E89" s="259"/>
      <c r="F89" s="259"/>
      <c r="G89" s="260"/>
      <c r="H89" s="260"/>
    </row>
    <row r="90" spans="1:8" x14ac:dyDescent="0.3">
      <c r="A90" s="258"/>
      <c r="B90" s="258"/>
      <c r="C90" s="258"/>
      <c r="D90" s="259"/>
      <c r="E90" s="259"/>
      <c r="F90" s="259"/>
      <c r="G90" s="260"/>
      <c r="H90" s="260"/>
    </row>
    <row r="91" spans="1:8" x14ac:dyDescent="0.3">
      <c r="A91" s="258"/>
      <c r="B91" s="258"/>
      <c r="C91" s="258"/>
      <c r="D91" s="259"/>
      <c r="E91" s="259"/>
      <c r="F91" s="259"/>
      <c r="G91" s="260"/>
      <c r="H91" s="260"/>
    </row>
    <row r="92" spans="1:8" x14ac:dyDescent="0.3">
      <c r="A92" s="258"/>
      <c r="B92" s="258"/>
      <c r="C92" s="258"/>
      <c r="D92" s="259"/>
      <c r="E92" s="259"/>
      <c r="F92" s="259"/>
      <c r="G92" s="260"/>
      <c r="H92" s="260"/>
    </row>
    <row r="93" spans="1:8" x14ac:dyDescent="0.3">
      <c r="A93" s="258"/>
      <c r="B93" s="258"/>
      <c r="C93" s="258"/>
      <c r="D93" s="259"/>
      <c r="E93" s="259"/>
      <c r="F93" s="259"/>
      <c r="G93" s="260"/>
      <c r="H93" s="260"/>
    </row>
    <row r="94" spans="1:8" x14ac:dyDescent="0.3">
      <c r="A94" s="258"/>
      <c r="B94" s="258"/>
      <c r="C94" s="258"/>
      <c r="D94" s="259"/>
      <c r="E94" s="259"/>
      <c r="F94" s="259"/>
      <c r="G94" s="260"/>
      <c r="H94" s="260"/>
    </row>
    <row r="95" spans="1:8" x14ac:dyDescent="0.3">
      <c r="A95" s="258"/>
      <c r="B95" s="258"/>
      <c r="C95" s="258"/>
      <c r="D95" s="259"/>
      <c r="E95" s="259"/>
      <c r="F95" s="259"/>
      <c r="G95" s="260"/>
      <c r="H95" s="260"/>
    </row>
    <row r="96" spans="1:8" x14ac:dyDescent="0.3">
      <c r="A96" s="258"/>
      <c r="B96" s="258"/>
      <c r="C96" s="258"/>
      <c r="D96" s="259"/>
      <c r="E96" s="259"/>
      <c r="F96" s="259"/>
      <c r="G96" s="260"/>
      <c r="H96" s="260"/>
    </row>
    <row r="97" spans="1:8" x14ac:dyDescent="0.3">
      <c r="A97" s="258"/>
      <c r="B97" s="258"/>
      <c r="C97" s="258"/>
      <c r="D97" s="259"/>
      <c r="E97" s="259"/>
      <c r="F97" s="259"/>
      <c r="G97" s="260"/>
      <c r="H97" s="260"/>
    </row>
    <row r="98" spans="1:8" x14ac:dyDescent="0.3">
      <c r="A98" s="258"/>
      <c r="B98" s="258"/>
      <c r="C98" s="258"/>
      <c r="D98" s="259"/>
      <c r="E98" s="259"/>
      <c r="F98" s="259"/>
      <c r="G98" s="260"/>
      <c r="H98" s="260"/>
    </row>
    <row r="99" spans="1:8" x14ac:dyDescent="0.3">
      <c r="A99" s="258"/>
      <c r="B99" s="258"/>
      <c r="C99" s="258"/>
      <c r="D99" s="259"/>
      <c r="E99" s="259"/>
      <c r="F99" s="259"/>
      <c r="G99" s="260"/>
      <c r="H99" s="260"/>
    </row>
    <row r="100" spans="1:8" x14ac:dyDescent="0.3">
      <c r="A100" s="258"/>
      <c r="B100" s="258"/>
      <c r="C100" s="258"/>
      <c r="D100" s="259"/>
      <c r="E100" s="259"/>
      <c r="F100" s="259"/>
      <c r="G100" s="260"/>
      <c r="H100" s="260"/>
    </row>
    <row r="101" spans="1:8" x14ac:dyDescent="0.3">
      <c r="A101" s="258"/>
      <c r="B101" s="258"/>
      <c r="C101" s="258"/>
      <c r="D101" s="259"/>
      <c r="E101" s="259"/>
      <c r="F101" s="259"/>
      <c r="G101" s="260"/>
      <c r="H101" s="260"/>
    </row>
    <row r="102" spans="1:8" x14ac:dyDescent="0.3">
      <c r="A102" s="258"/>
      <c r="B102" s="258"/>
      <c r="C102" s="258"/>
      <c r="D102" s="259"/>
      <c r="E102" s="259"/>
      <c r="F102" s="259"/>
      <c r="G102" s="260"/>
      <c r="H102" s="260"/>
    </row>
    <row r="103" spans="1:8" x14ac:dyDescent="0.3">
      <c r="A103" s="258"/>
      <c r="B103" s="258"/>
      <c r="C103" s="258"/>
      <c r="D103" s="259"/>
      <c r="E103" s="259"/>
      <c r="F103" s="259"/>
      <c r="G103" s="260"/>
      <c r="H103" s="260"/>
    </row>
    <row r="104" spans="1:8" x14ac:dyDescent="0.3">
      <c r="A104" s="258"/>
      <c r="B104" s="258"/>
      <c r="C104" s="258"/>
      <c r="D104" s="259"/>
      <c r="E104" s="259"/>
      <c r="F104" s="259"/>
      <c r="G104" s="260"/>
      <c r="H104" s="260"/>
    </row>
    <row r="105" spans="1:8" x14ac:dyDescent="0.3">
      <c r="A105" s="258"/>
      <c r="B105" s="258"/>
      <c r="C105" s="258"/>
      <c r="D105" s="259"/>
      <c r="E105" s="259"/>
      <c r="F105" s="259"/>
      <c r="G105" s="260"/>
      <c r="H105" s="260"/>
    </row>
    <row r="106" spans="1:8" x14ac:dyDescent="0.3">
      <c r="A106" s="258"/>
      <c r="B106" s="258"/>
      <c r="C106" s="258"/>
      <c r="D106" s="259"/>
      <c r="E106" s="259"/>
      <c r="F106" s="259"/>
      <c r="G106" s="260"/>
      <c r="H106" s="260"/>
    </row>
    <row r="107" spans="1:8" x14ac:dyDescent="0.3">
      <c r="A107" s="258"/>
      <c r="B107" s="258"/>
      <c r="C107" s="258"/>
      <c r="D107" s="259"/>
      <c r="E107" s="259"/>
      <c r="F107" s="259"/>
      <c r="G107" s="260"/>
      <c r="H107" s="260"/>
    </row>
    <row r="108" spans="1:8" x14ac:dyDescent="0.3">
      <c r="A108" s="258"/>
      <c r="B108" s="258"/>
      <c r="C108" s="258"/>
      <c r="D108" s="259"/>
      <c r="E108" s="259"/>
      <c r="F108" s="259"/>
      <c r="G108" s="260"/>
      <c r="H108" s="260"/>
    </row>
    <row r="109" spans="1:8" x14ac:dyDescent="0.3">
      <c r="A109" s="258"/>
      <c r="B109" s="258"/>
      <c r="C109" s="258"/>
      <c r="D109" s="259"/>
      <c r="E109" s="259"/>
      <c r="F109" s="259"/>
      <c r="G109" s="260"/>
      <c r="H109" s="260"/>
    </row>
    <row r="110" spans="1:8" x14ac:dyDescent="0.3">
      <c r="A110" s="258"/>
      <c r="B110" s="258"/>
      <c r="C110" s="258"/>
      <c r="D110" s="259"/>
      <c r="E110" s="259"/>
      <c r="F110" s="259"/>
      <c r="G110" s="260"/>
      <c r="H110" s="260"/>
    </row>
    <row r="111" spans="1:8" x14ac:dyDescent="0.3">
      <c r="A111" s="258"/>
      <c r="B111" s="258"/>
      <c r="C111" s="258"/>
      <c r="D111" s="259"/>
      <c r="E111" s="259"/>
      <c r="F111" s="259"/>
      <c r="G111" s="260"/>
      <c r="H111" s="260"/>
    </row>
    <row r="112" spans="1:8" x14ac:dyDescent="0.3">
      <c r="A112" s="258"/>
      <c r="B112" s="258"/>
      <c r="C112" s="258"/>
      <c r="D112" s="259"/>
      <c r="E112" s="259"/>
      <c r="F112" s="259"/>
      <c r="G112" s="260"/>
      <c r="H112" s="260"/>
    </row>
    <row r="113" spans="1:8" x14ac:dyDescent="0.3">
      <c r="A113" s="258"/>
      <c r="B113" s="258"/>
      <c r="C113" s="258"/>
      <c r="D113" s="259"/>
      <c r="E113" s="259"/>
      <c r="F113" s="259"/>
      <c r="G113" s="260"/>
      <c r="H113" s="260"/>
    </row>
    <row r="114" spans="1:8" x14ac:dyDescent="0.3">
      <c r="A114" s="258"/>
      <c r="B114" s="258"/>
      <c r="C114" s="258"/>
      <c r="D114" s="259"/>
      <c r="E114" s="259"/>
      <c r="F114" s="259"/>
      <c r="G114" s="260"/>
      <c r="H114" s="260"/>
    </row>
    <row r="115" spans="1:8" x14ac:dyDescent="0.3">
      <c r="A115" s="258"/>
      <c r="B115" s="258"/>
      <c r="C115" s="258"/>
      <c r="D115" s="259"/>
      <c r="E115" s="259"/>
      <c r="F115" s="259"/>
      <c r="G115" s="260"/>
      <c r="H115" s="260"/>
    </row>
    <row r="116" spans="1:8" x14ac:dyDescent="0.3">
      <c r="A116" s="258"/>
      <c r="B116" s="258"/>
      <c r="C116" s="258"/>
      <c r="D116" s="259"/>
      <c r="E116" s="259"/>
      <c r="F116" s="259"/>
      <c r="G116" s="260"/>
      <c r="H116" s="260"/>
    </row>
    <row r="117" spans="1:8" x14ac:dyDescent="0.3">
      <c r="A117" s="258"/>
      <c r="B117" s="258"/>
      <c r="C117" s="258"/>
      <c r="D117" s="259"/>
      <c r="E117" s="259"/>
      <c r="F117" s="259"/>
      <c r="G117" s="260"/>
      <c r="H117" s="260"/>
    </row>
    <row r="118" spans="1:8" x14ac:dyDescent="0.3">
      <c r="A118" s="258"/>
      <c r="B118" s="258"/>
      <c r="C118" s="258"/>
      <c r="D118" s="259"/>
      <c r="E118" s="259"/>
      <c r="F118" s="259"/>
      <c r="G118" s="260"/>
      <c r="H118" s="260"/>
    </row>
    <row r="119" spans="1:8" x14ac:dyDescent="0.3">
      <c r="A119" s="258"/>
      <c r="B119" s="258"/>
      <c r="C119" s="258"/>
      <c r="D119" s="259"/>
      <c r="E119" s="259"/>
      <c r="F119" s="259"/>
      <c r="G119" s="260"/>
      <c r="H119" s="260"/>
    </row>
    <row r="120" spans="1:8" x14ac:dyDescent="0.3">
      <c r="A120" s="258"/>
      <c r="B120" s="258"/>
      <c r="C120" s="258"/>
      <c r="D120" s="259"/>
      <c r="E120" s="259"/>
      <c r="F120" s="259"/>
      <c r="G120" s="260"/>
      <c r="H120" s="260"/>
    </row>
    <row r="121" spans="1:8" x14ac:dyDescent="0.3">
      <c r="A121" s="258"/>
      <c r="B121" s="258"/>
      <c r="C121" s="258"/>
      <c r="D121" s="259"/>
      <c r="E121" s="259"/>
      <c r="F121" s="259"/>
      <c r="G121" s="260"/>
      <c r="H121" s="260"/>
    </row>
    <row r="122" spans="1:8" x14ac:dyDescent="0.3">
      <c r="A122" s="258"/>
      <c r="B122" s="258"/>
      <c r="C122" s="258"/>
      <c r="D122" s="259"/>
      <c r="E122" s="259"/>
      <c r="F122" s="259"/>
      <c r="G122" s="260"/>
      <c r="H122" s="260"/>
    </row>
    <row r="123" spans="1:8" x14ac:dyDescent="0.3">
      <c r="A123" s="258"/>
      <c r="B123" s="258"/>
      <c r="C123" s="258"/>
      <c r="D123" s="259"/>
      <c r="E123" s="259"/>
      <c r="F123" s="259"/>
      <c r="G123" s="260"/>
      <c r="H123" s="260"/>
    </row>
    <row r="124" spans="1:8" x14ac:dyDescent="0.3">
      <c r="A124" s="258"/>
      <c r="B124" s="258"/>
      <c r="C124" s="258"/>
      <c r="D124" s="259"/>
      <c r="E124" s="259"/>
      <c r="F124" s="259"/>
      <c r="G124" s="260"/>
      <c r="H124" s="260"/>
    </row>
    <row r="125" spans="1:8" x14ac:dyDescent="0.3">
      <c r="A125" s="258"/>
      <c r="B125" s="258"/>
      <c r="C125" s="258"/>
      <c r="D125" s="259"/>
      <c r="E125" s="259"/>
      <c r="F125" s="259"/>
      <c r="G125" s="260"/>
      <c r="H125" s="260"/>
    </row>
    <row r="126" spans="1:8" x14ac:dyDescent="0.3">
      <c r="A126" s="258"/>
      <c r="B126" s="258"/>
      <c r="C126" s="258"/>
      <c r="D126" s="259"/>
      <c r="E126" s="259"/>
      <c r="F126" s="259"/>
      <c r="G126" s="260"/>
      <c r="H126" s="260"/>
    </row>
    <row r="127" spans="1:8" x14ac:dyDescent="0.3">
      <c r="A127" s="258"/>
      <c r="B127" s="258"/>
      <c r="C127" s="258"/>
      <c r="D127" s="259"/>
      <c r="E127" s="259"/>
      <c r="F127" s="259"/>
      <c r="G127" s="260"/>
      <c r="H127" s="260"/>
    </row>
    <row r="128" spans="1:8" x14ac:dyDescent="0.3">
      <c r="A128" s="258"/>
      <c r="B128" s="258"/>
      <c r="C128" s="258"/>
      <c r="D128" s="259"/>
      <c r="E128" s="259"/>
      <c r="F128" s="259"/>
      <c r="G128" s="260"/>
      <c r="H128" s="260"/>
    </row>
    <row r="129" spans="1:8" x14ac:dyDescent="0.3">
      <c r="A129" s="258"/>
      <c r="B129" s="258"/>
      <c r="C129" s="258"/>
      <c r="D129" s="259"/>
      <c r="E129" s="259"/>
      <c r="F129" s="259"/>
      <c r="G129" s="260"/>
      <c r="H129" s="260"/>
    </row>
    <row r="130" spans="1:8" x14ac:dyDescent="0.3">
      <c r="A130" s="258"/>
      <c r="B130" s="258"/>
      <c r="C130" s="258"/>
      <c r="D130" s="259"/>
      <c r="E130" s="259"/>
      <c r="F130" s="259"/>
      <c r="G130" s="260"/>
      <c r="H130" s="260"/>
    </row>
    <row r="131" spans="1:8" x14ac:dyDescent="0.3">
      <c r="A131" s="258"/>
      <c r="B131" s="258"/>
      <c r="C131" s="258"/>
      <c r="D131" s="259"/>
      <c r="E131" s="259"/>
      <c r="F131" s="259"/>
      <c r="G131" s="260"/>
      <c r="H131" s="260"/>
    </row>
    <row r="132" spans="1:8" x14ac:dyDescent="0.3">
      <c r="A132" s="258"/>
      <c r="B132" s="258"/>
      <c r="C132" s="258"/>
      <c r="D132" s="259"/>
      <c r="E132" s="259"/>
      <c r="F132" s="259"/>
      <c r="G132" s="260"/>
      <c r="H132" s="260"/>
    </row>
    <row r="133" spans="1:8" x14ac:dyDescent="0.3">
      <c r="A133" s="258"/>
      <c r="B133" s="258"/>
      <c r="C133" s="258"/>
      <c r="D133" s="259"/>
      <c r="E133" s="259"/>
      <c r="F133" s="259"/>
      <c r="G133" s="260"/>
      <c r="H133" s="260"/>
    </row>
    <row r="134" spans="1:8" x14ac:dyDescent="0.3">
      <c r="A134" s="258"/>
      <c r="B134" s="258"/>
      <c r="C134" s="258"/>
      <c r="D134" s="259"/>
      <c r="E134" s="259"/>
      <c r="F134" s="259"/>
      <c r="G134" s="260"/>
      <c r="H134" s="260"/>
    </row>
    <row r="135" spans="1:8" x14ac:dyDescent="0.3">
      <c r="A135" s="258"/>
      <c r="B135" s="258"/>
      <c r="C135" s="258"/>
      <c r="D135" s="259"/>
      <c r="E135" s="259"/>
      <c r="F135" s="259"/>
      <c r="G135" s="260"/>
      <c r="H135" s="260"/>
    </row>
    <row r="136" spans="1:8" x14ac:dyDescent="0.3">
      <c r="A136" s="258"/>
      <c r="B136" s="258"/>
      <c r="C136" s="258"/>
      <c r="D136" s="259"/>
      <c r="E136" s="259"/>
      <c r="F136" s="259"/>
      <c r="G136" s="260"/>
      <c r="H136" s="260"/>
    </row>
    <row r="137" spans="1:8" x14ac:dyDescent="0.3">
      <c r="A137" s="258"/>
      <c r="B137" s="258"/>
      <c r="C137" s="258"/>
      <c r="D137" s="259"/>
      <c r="E137" s="259"/>
      <c r="F137" s="259"/>
      <c r="G137" s="260"/>
      <c r="H137" s="260"/>
    </row>
    <row r="138" spans="1:8" x14ac:dyDescent="0.3">
      <c r="A138" s="258"/>
      <c r="B138" s="258"/>
      <c r="C138" s="258"/>
      <c r="D138" s="259"/>
      <c r="E138" s="259"/>
      <c r="F138" s="259"/>
      <c r="G138" s="260"/>
      <c r="H138" s="260"/>
    </row>
    <row r="139" spans="1:8" x14ac:dyDescent="0.3">
      <c r="A139" s="258"/>
      <c r="B139" s="258"/>
      <c r="C139" s="258"/>
      <c r="D139" s="259"/>
      <c r="E139" s="259"/>
      <c r="F139" s="259"/>
      <c r="G139" s="260"/>
      <c r="H139" s="260"/>
    </row>
    <row r="140" spans="1:8" x14ac:dyDescent="0.3">
      <c r="A140" s="258"/>
      <c r="B140" s="258"/>
      <c r="C140" s="258"/>
      <c r="D140" s="259"/>
      <c r="E140" s="259"/>
      <c r="F140" s="259"/>
      <c r="G140" s="260"/>
      <c r="H140" s="260"/>
    </row>
    <row r="141" spans="1:8" x14ac:dyDescent="0.3">
      <c r="A141" s="258"/>
      <c r="B141" s="258"/>
      <c r="C141" s="258"/>
      <c r="D141" s="259"/>
      <c r="E141" s="259"/>
      <c r="F141" s="259"/>
      <c r="G141" s="260"/>
      <c r="H141" s="260"/>
    </row>
    <row r="142" spans="1:8" x14ac:dyDescent="0.3">
      <c r="A142" s="258"/>
      <c r="B142" s="258"/>
      <c r="C142" s="258"/>
      <c r="D142" s="259"/>
      <c r="E142" s="259"/>
      <c r="F142" s="259"/>
      <c r="G142" s="260"/>
      <c r="H142" s="260"/>
    </row>
    <row r="143" spans="1:8" x14ac:dyDescent="0.3">
      <c r="A143" s="258"/>
      <c r="B143" s="258"/>
      <c r="C143" s="258"/>
      <c r="D143" s="259"/>
      <c r="E143" s="259"/>
      <c r="F143" s="259"/>
      <c r="G143" s="260"/>
      <c r="H143" s="260"/>
    </row>
    <row r="144" spans="1:8" x14ac:dyDescent="0.3">
      <c r="A144" s="258"/>
      <c r="B144" s="258"/>
      <c r="C144" s="258"/>
      <c r="D144" s="259"/>
      <c r="E144" s="259"/>
      <c r="F144" s="259"/>
      <c r="G144" s="260"/>
      <c r="H144" s="260"/>
    </row>
    <row r="145" spans="1:8" x14ac:dyDescent="0.3">
      <c r="A145" s="258"/>
      <c r="B145" s="258"/>
      <c r="C145" s="258"/>
      <c r="D145" s="259"/>
      <c r="E145" s="259"/>
      <c r="F145" s="259"/>
      <c r="G145" s="260"/>
      <c r="H145" s="260"/>
    </row>
    <row r="146" spans="1:8" x14ac:dyDescent="0.3">
      <c r="A146" s="258"/>
      <c r="B146" s="258"/>
      <c r="C146" s="258"/>
      <c r="D146" s="259"/>
      <c r="E146" s="259"/>
      <c r="F146" s="259"/>
      <c r="G146" s="260"/>
      <c r="H146" s="260"/>
    </row>
    <row r="147" spans="1:8" x14ac:dyDescent="0.3">
      <c r="A147" s="258"/>
      <c r="B147" s="258"/>
      <c r="C147" s="258"/>
      <c r="D147" s="259"/>
      <c r="E147" s="259"/>
      <c r="F147" s="259"/>
      <c r="G147" s="260"/>
      <c r="H147" s="260"/>
    </row>
    <row r="148" spans="1:8" x14ac:dyDescent="0.3">
      <c r="A148" s="258"/>
      <c r="B148" s="258"/>
      <c r="C148" s="258"/>
      <c r="D148" s="259"/>
      <c r="E148" s="259"/>
      <c r="F148" s="259"/>
      <c r="G148" s="260"/>
      <c r="H148" s="260"/>
    </row>
    <row r="149" spans="1:8" x14ac:dyDescent="0.3">
      <c r="A149" s="258"/>
      <c r="B149" s="258"/>
      <c r="C149" s="258"/>
      <c r="D149" s="259"/>
      <c r="E149" s="259"/>
      <c r="F149" s="259"/>
      <c r="G149" s="260"/>
      <c r="H149" s="260"/>
    </row>
    <row r="150" spans="1:8" x14ac:dyDescent="0.3">
      <c r="A150" s="258"/>
      <c r="B150" s="258"/>
      <c r="C150" s="258"/>
      <c r="D150" s="259"/>
      <c r="E150" s="259"/>
      <c r="F150" s="259"/>
      <c r="G150" s="260"/>
      <c r="H150" s="260"/>
    </row>
    <row r="151" spans="1:8" x14ac:dyDescent="0.3">
      <c r="A151" s="258"/>
      <c r="B151" s="258"/>
      <c r="C151" s="258"/>
      <c r="D151" s="259"/>
      <c r="E151" s="259"/>
      <c r="F151" s="259"/>
      <c r="G151" s="260"/>
      <c r="H151" s="260"/>
    </row>
    <row r="152" spans="1:8" x14ac:dyDescent="0.3">
      <c r="A152" s="258"/>
      <c r="B152" s="258"/>
      <c r="C152" s="258"/>
      <c r="D152" s="259"/>
      <c r="E152" s="259"/>
      <c r="F152" s="259"/>
      <c r="G152" s="260"/>
      <c r="H152" s="260"/>
    </row>
    <row r="153" spans="1:8" x14ac:dyDescent="0.3">
      <c r="A153" s="258"/>
      <c r="B153" s="258"/>
      <c r="C153" s="258"/>
      <c r="D153" s="259"/>
      <c r="E153" s="259"/>
      <c r="F153" s="259"/>
      <c r="G153" s="260"/>
      <c r="H153" s="260"/>
    </row>
    <row r="154" spans="1:8" x14ac:dyDescent="0.3">
      <c r="A154" s="258"/>
      <c r="B154" s="258"/>
      <c r="C154" s="258"/>
      <c r="D154" s="259"/>
      <c r="E154" s="259"/>
      <c r="F154" s="259"/>
      <c r="G154" s="260"/>
      <c r="H154" s="260"/>
    </row>
    <row r="155" spans="1:8" x14ac:dyDescent="0.3">
      <c r="A155" s="258"/>
      <c r="B155" s="258"/>
      <c r="C155" s="258"/>
      <c r="D155" s="259"/>
      <c r="E155" s="259"/>
      <c r="F155" s="259"/>
      <c r="G155" s="260"/>
      <c r="H155" s="260"/>
    </row>
    <row r="156" spans="1:8" x14ac:dyDescent="0.3">
      <c r="A156" s="258"/>
      <c r="B156" s="258"/>
      <c r="C156" s="258"/>
      <c r="D156" s="259"/>
      <c r="E156" s="259"/>
      <c r="F156" s="259"/>
      <c r="G156" s="260"/>
      <c r="H156" s="260"/>
    </row>
    <row r="157" spans="1:8" x14ac:dyDescent="0.3">
      <c r="A157" s="258"/>
      <c r="B157" s="258"/>
      <c r="C157" s="258"/>
      <c r="D157" s="259"/>
      <c r="E157" s="259"/>
      <c r="F157" s="259"/>
      <c r="G157" s="260"/>
      <c r="H157" s="260"/>
    </row>
    <row r="158" spans="1:8" x14ac:dyDescent="0.3">
      <c r="A158" s="258"/>
      <c r="B158" s="258"/>
      <c r="C158" s="258"/>
      <c r="D158" s="259"/>
      <c r="E158" s="259"/>
      <c r="F158" s="259"/>
      <c r="G158" s="260"/>
      <c r="H158" s="260"/>
    </row>
    <row r="159" spans="1:8" x14ac:dyDescent="0.3">
      <c r="A159" s="258"/>
      <c r="B159" s="258"/>
      <c r="C159" s="258"/>
      <c r="D159" s="259"/>
      <c r="E159" s="259"/>
      <c r="F159" s="259"/>
      <c r="G159" s="260"/>
      <c r="H159" s="260"/>
    </row>
    <row r="160" spans="1:8" x14ac:dyDescent="0.3">
      <c r="A160" s="258"/>
      <c r="B160" s="258"/>
      <c r="C160" s="258"/>
      <c r="D160" s="259"/>
      <c r="E160" s="259"/>
      <c r="F160" s="259"/>
      <c r="G160" s="260"/>
      <c r="H160" s="260"/>
    </row>
    <row r="161" spans="1:8" x14ac:dyDescent="0.3">
      <c r="A161" s="258"/>
      <c r="B161" s="258"/>
      <c r="C161" s="258"/>
      <c r="D161" s="259"/>
      <c r="E161" s="259"/>
      <c r="F161" s="259"/>
      <c r="G161" s="260"/>
      <c r="H161" s="260"/>
    </row>
    <row r="162" spans="1:8" x14ac:dyDescent="0.3">
      <c r="A162" s="258"/>
      <c r="B162" s="258"/>
      <c r="C162" s="258"/>
      <c r="D162" s="259"/>
      <c r="E162" s="259"/>
      <c r="F162" s="259"/>
      <c r="G162" s="260"/>
      <c r="H162" s="260"/>
    </row>
    <row r="163" spans="1:8" x14ac:dyDescent="0.3">
      <c r="A163" s="258"/>
      <c r="B163" s="258"/>
      <c r="C163" s="258"/>
      <c r="D163" s="259"/>
      <c r="E163" s="259"/>
      <c r="F163" s="259"/>
      <c r="G163" s="260"/>
      <c r="H163" s="260"/>
    </row>
    <row r="164" spans="1:8" x14ac:dyDescent="0.3">
      <c r="A164" s="258"/>
      <c r="B164" s="258"/>
      <c r="C164" s="258"/>
      <c r="D164" s="259"/>
      <c r="E164" s="259"/>
      <c r="F164" s="259"/>
      <c r="G164" s="260"/>
      <c r="H164" s="260"/>
    </row>
    <row r="165" spans="1:8" x14ac:dyDescent="0.3">
      <c r="A165" s="258"/>
      <c r="B165" s="258"/>
      <c r="C165" s="258"/>
      <c r="D165" s="259"/>
      <c r="E165" s="259"/>
      <c r="F165" s="259"/>
      <c r="G165" s="260"/>
      <c r="H165" s="260"/>
    </row>
    <row r="166" spans="1:8" x14ac:dyDescent="0.3">
      <c r="A166" s="258"/>
      <c r="B166" s="258"/>
      <c r="C166" s="258"/>
      <c r="D166" s="259"/>
      <c r="E166" s="259"/>
      <c r="F166" s="259"/>
      <c r="G166" s="260"/>
      <c r="H166" s="260"/>
    </row>
    <row r="167" spans="1:8" x14ac:dyDescent="0.3">
      <c r="A167" s="258"/>
      <c r="B167" s="258"/>
      <c r="C167" s="258"/>
      <c r="D167" s="259"/>
      <c r="E167" s="259"/>
      <c r="F167" s="259"/>
      <c r="G167" s="260"/>
      <c r="H167" s="260"/>
    </row>
    <row r="168" spans="1:8" x14ac:dyDescent="0.3">
      <c r="A168" s="258"/>
      <c r="B168" s="258"/>
      <c r="C168" s="258"/>
      <c r="D168" s="259"/>
      <c r="E168" s="259"/>
      <c r="F168" s="259"/>
      <c r="G168" s="260"/>
      <c r="H168" s="260"/>
    </row>
    <row r="169" spans="1:8" x14ac:dyDescent="0.3">
      <c r="A169" s="258"/>
      <c r="B169" s="258"/>
      <c r="C169" s="258"/>
      <c r="D169" s="259"/>
      <c r="E169" s="259"/>
      <c r="F169" s="259"/>
      <c r="G169" s="260"/>
      <c r="H169" s="260"/>
    </row>
    <row r="170" spans="1:8" x14ac:dyDescent="0.3">
      <c r="A170" s="258"/>
      <c r="B170" s="258"/>
      <c r="C170" s="258"/>
      <c r="D170" s="259"/>
      <c r="E170" s="259"/>
      <c r="F170" s="259"/>
      <c r="G170" s="260"/>
      <c r="H170" s="260"/>
    </row>
    <row r="171" spans="1:8" x14ac:dyDescent="0.3">
      <c r="A171" s="258"/>
      <c r="B171" s="258"/>
      <c r="C171" s="258"/>
      <c r="D171" s="259"/>
      <c r="E171" s="259"/>
      <c r="F171" s="259"/>
      <c r="G171" s="260"/>
      <c r="H171" s="260"/>
    </row>
    <row r="172" spans="1:8" x14ac:dyDescent="0.3">
      <c r="A172" s="258"/>
      <c r="B172" s="258"/>
      <c r="C172" s="258"/>
      <c r="D172" s="259"/>
      <c r="E172" s="259"/>
      <c r="F172" s="259"/>
      <c r="G172" s="260"/>
      <c r="H172" s="260"/>
    </row>
    <row r="173" spans="1:8" x14ac:dyDescent="0.3">
      <c r="A173" s="258"/>
      <c r="B173" s="258"/>
      <c r="C173" s="258"/>
      <c r="D173" s="259"/>
      <c r="E173" s="259"/>
      <c r="F173" s="259"/>
      <c r="G173" s="260"/>
      <c r="H173" s="260"/>
    </row>
    <row r="174" spans="1:8" x14ac:dyDescent="0.3">
      <c r="A174" s="258"/>
      <c r="B174" s="258"/>
      <c r="C174" s="258"/>
      <c r="D174" s="259"/>
      <c r="E174" s="259"/>
      <c r="F174" s="259"/>
      <c r="G174" s="260"/>
      <c r="H174" s="260"/>
    </row>
    <row r="175" spans="1:8" x14ac:dyDescent="0.3">
      <c r="A175" s="258"/>
      <c r="B175" s="258"/>
      <c r="C175" s="258"/>
      <c r="D175" s="259"/>
      <c r="E175" s="259"/>
      <c r="F175" s="259"/>
      <c r="G175" s="260"/>
      <c r="H175" s="260"/>
    </row>
    <row r="176" spans="1:8" x14ac:dyDescent="0.3">
      <c r="A176" s="258"/>
      <c r="B176" s="258"/>
      <c r="C176" s="258"/>
      <c r="D176" s="259"/>
      <c r="E176" s="259"/>
      <c r="F176" s="259"/>
      <c r="G176" s="260"/>
      <c r="H176" s="260"/>
    </row>
    <row r="177" spans="1:8" x14ac:dyDescent="0.3">
      <c r="A177" s="258"/>
      <c r="B177" s="258"/>
      <c r="C177" s="258"/>
      <c r="D177" s="259"/>
      <c r="E177" s="259"/>
      <c r="F177" s="259"/>
      <c r="G177" s="260"/>
      <c r="H177" s="260"/>
    </row>
    <row r="178" spans="1:8" x14ac:dyDescent="0.3">
      <c r="A178" s="258"/>
      <c r="B178" s="258"/>
      <c r="C178" s="258"/>
      <c r="D178" s="259"/>
      <c r="E178" s="259"/>
      <c r="F178" s="259"/>
      <c r="G178" s="260"/>
      <c r="H178" s="260"/>
    </row>
    <row r="179" spans="1:8" x14ac:dyDescent="0.3">
      <c r="A179" s="258"/>
      <c r="B179" s="258"/>
      <c r="C179" s="258"/>
      <c r="D179" s="259"/>
      <c r="E179" s="259"/>
      <c r="F179" s="259"/>
      <c r="G179" s="260"/>
      <c r="H179" s="260"/>
    </row>
    <row r="180" spans="1:8" x14ac:dyDescent="0.3">
      <c r="A180" s="258"/>
      <c r="B180" s="258"/>
      <c r="C180" s="258"/>
      <c r="D180" s="259"/>
      <c r="E180" s="259"/>
      <c r="F180" s="259"/>
      <c r="G180" s="260"/>
      <c r="H180" s="260"/>
    </row>
    <row r="181" spans="1:8" x14ac:dyDescent="0.3">
      <c r="A181" s="258"/>
      <c r="B181" s="258"/>
      <c r="C181" s="258"/>
      <c r="D181" s="259"/>
      <c r="E181" s="259"/>
      <c r="F181" s="259"/>
      <c r="G181" s="260"/>
      <c r="H181" s="260"/>
    </row>
    <row r="182" spans="1:8" x14ac:dyDescent="0.3">
      <c r="A182" s="258"/>
      <c r="B182" s="258"/>
      <c r="C182" s="258"/>
      <c r="D182" s="259"/>
      <c r="E182" s="259"/>
      <c r="F182" s="259"/>
      <c r="G182" s="260"/>
      <c r="H182" s="260"/>
    </row>
    <row r="183" spans="1:8" x14ac:dyDescent="0.3">
      <c r="A183" s="258"/>
      <c r="B183" s="258"/>
      <c r="C183" s="258"/>
      <c r="D183" s="259"/>
      <c r="E183" s="259"/>
      <c r="F183" s="259"/>
      <c r="G183" s="260"/>
      <c r="H183" s="260"/>
    </row>
    <row r="184" spans="1:8" x14ac:dyDescent="0.3">
      <c r="A184" s="258"/>
      <c r="B184" s="258"/>
      <c r="C184" s="258"/>
      <c r="D184" s="259"/>
      <c r="E184" s="259"/>
      <c r="F184" s="259"/>
      <c r="G184" s="260"/>
      <c r="H184" s="260"/>
    </row>
    <row r="185" spans="1:8" x14ac:dyDescent="0.3">
      <c r="A185" s="258"/>
      <c r="B185" s="258"/>
      <c r="C185" s="258"/>
      <c r="D185" s="259"/>
      <c r="E185" s="259"/>
      <c r="F185" s="259"/>
      <c r="G185" s="260"/>
      <c r="H185" s="260"/>
    </row>
    <row r="186" spans="1:8" x14ac:dyDescent="0.3">
      <c r="A186" s="258"/>
      <c r="B186" s="258"/>
      <c r="C186" s="258"/>
      <c r="D186" s="259"/>
      <c r="E186" s="259"/>
      <c r="F186" s="259"/>
      <c r="G186" s="260"/>
      <c r="H186" s="260"/>
    </row>
    <row r="187" spans="1:8" x14ac:dyDescent="0.3">
      <c r="A187" s="258"/>
      <c r="B187" s="258"/>
      <c r="C187" s="258"/>
      <c r="D187" s="259"/>
      <c r="E187" s="259"/>
      <c r="F187" s="259"/>
      <c r="G187" s="260"/>
      <c r="H187" s="260"/>
    </row>
    <row r="188" spans="1:8" x14ac:dyDescent="0.3">
      <c r="A188" s="258"/>
      <c r="B188" s="258"/>
      <c r="C188" s="258"/>
      <c r="D188" s="259"/>
      <c r="E188" s="259"/>
      <c r="F188" s="259"/>
      <c r="G188" s="260"/>
      <c r="H188" s="260"/>
    </row>
    <row r="189" spans="1:8" x14ac:dyDescent="0.3">
      <c r="A189" s="258"/>
      <c r="B189" s="258"/>
      <c r="C189" s="258"/>
      <c r="D189" s="259"/>
      <c r="E189" s="259"/>
      <c r="F189" s="259"/>
      <c r="G189" s="260"/>
      <c r="H189" s="260"/>
    </row>
    <row r="190" spans="1:8" x14ac:dyDescent="0.3">
      <c r="A190" s="258"/>
      <c r="B190" s="258"/>
      <c r="C190" s="258"/>
      <c r="D190" s="259"/>
      <c r="E190" s="259"/>
      <c r="F190" s="259"/>
      <c r="G190" s="260"/>
      <c r="H190" s="260"/>
    </row>
    <row r="191" spans="1:8" x14ac:dyDescent="0.3">
      <c r="A191" s="258"/>
      <c r="B191" s="258"/>
      <c r="C191" s="258"/>
      <c r="D191" s="259"/>
      <c r="E191" s="259"/>
      <c r="F191" s="259"/>
      <c r="G191" s="260"/>
      <c r="H191" s="260"/>
    </row>
    <row r="192" spans="1:8" x14ac:dyDescent="0.3">
      <c r="A192" s="258"/>
      <c r="B192" s="258"/>
      <c r="C192" s="258"/>
      <c r="D192" s="259"/>
      <c r="E192" s="259"/>
      <c r="F192" s="259"/>
      <c r="G192" s="260"/>
      <c r="H192" s="260"/>
    </row>
    <row r="193" spans="1:8" x14ac:dyDescent="0.3">
      <c r="A193" s="258"/>
      <c r="B193" s="258"/>
      <c r="C193" s="258"/>
      <c r="D193" s="259"/>
      <c r="E193" s="259"/>
      <c r="F193" s="259"/>
      <c r="G193" s="260"/>
      <c r="H193" s="260"/>
    </row>
    <row r="194" spans="1:8" x14ac:dyDescent="0.3">
      <c r="A194" s="258"/>
      <c r="B194" s="258"/>
      <c r="C194" s="258"/>
      <c r="D194" s="259"/>
      <c r="E194" s="259"/>
      <c r="F194" s="259"/>
      <c r="G194" s="260"/>
      <c r="H194" s="260"/>
    </row>
    <row r="195" spans="1:8" x14ac:dyDescent="0.3">
      <c r="A195" s="258"/>
      <c r="B195" s="258"/>
      <c r="C195" s="258"/>
      <c r="D195" s="259"/>
      <c r="E195" s="259"/>
      <c r="F195" s="259"/>
      <c r="G195" s="260"/>
      <c r="H195" s="260"/>
    </row>
    <row r="196" spans="1:8" x14ac:dyDescent="0.3">
      <c r="A196" s="258"/>
      <c r="B196" s="258"/>
      <c r="C196" s="258"/>
      <c r="D196" s="259"/>
      <c r="E196" s="259"/>
      <c r="F196" s="259"/>
      <c r="G196" s="260"/>
      <c r="H196" s="260"/>
    </row>
    <row r="197" spans="1:8" x14ac:dyDescent="0.3">
      <c r="A197" s="258"/>
      <c r="B197" s="258"/>
      <c r="C197" s="258"/>
      <c r="D197" s="259"/>
      <c r="E197" s="259"/>
      <c r="F197" s="259"/>
      <c r="G197" s="260"/>
      <c r="H197" s="260"/>
    </row>
    <row r="198" spans="1:8" x14ac:dyDescent="0.3">
      <c r="A198" s="258"/>
      <c r="B198" s="258"/>
      <c r="C198" s="258"/>
      <c r="D198" s="259"/>
      <c r="E198" s="259"/>
      <c r="F198" s="259"/>
      <c r="G198" s="260"/>
      <c r="H198" s="260"/>
    </row>
    <row r="199" spans="1:8" x14ac:dyDescent="0.3">
      <c r="A199" s="258"/>
      <c r="B199" s="258"/>
      <c r="C199" s="258"/>
      <c r="D199" s="259"/>
      <c r="E199" s="259"/>
      <c r="F199" s="259"/>
      <c r="G199" s="260"/>
      <c r="H199" s="260"/>
    </row>
    <row r="200" spans="1:8" x14ac:dyDescent="0.3">
      <c r="A200" s="258"/>
      <c r="B200" s="258"/>
      <c r="C200" s="258"/>
      <c r="D200" s="259"/>
      <c r="E200" s="259"/>
      <c r="F200" s="259"/>
      <c r="G200" s="260"/>
      <c r="H200" s="260"/>
    </row>
    <row r="201" spans="1:8" x14ac:dyDescent="0.3">
      <c r="A201" s="258"/>
      <c r="B201" s="258"/>
      <c r="C201" s="258"/>
      <c r="D201" s="259"/>
      <c r="E201" s="259"/>
      <c r="F201" s="259"/>
      <c r="G201" s="260"/>
      <c r="H201" s="260"/>
    </row>
    <row r="202" spans="1:8" x14ac:dyDescent="0.3">
      <c r="A202" s="258"/>
      <c r="B202" s="258"/>
      <c r="C202" s="258"/>
      <c r="D202" s="259"/>
      <c r="E202" s="259"/>
      <c r="F202" s="259"/>
      <c r="G202" s="260"/>
      <c r="H202" s="260"/>
    </row>
    <row r="203" spans="1:8" x14ac:dyDescent="0.3">
      <c r="A203" s="258"/>
      <c r="B203" s="258"/>
      <c r="C203" s="258"/>
      <c r="D203" s="259"/>
      <c r="E203" s="259"/>
      <c r="F203" s="259"/>
      <c r="G203" s="260"/>
      <c r="H203" s="260"/>
    </row>
    <row r="204" spans="1:8" x14ac:dyDescent="0.3">
      <c r="A204" s="258"/>
      <c r="B204" s="258"/>
      <c r="C204" s="258"/>
      <c r="D204" s="259"/>
      <c r="E204" s="259"/>
      <c r="F204" s="259"/>
      <c r="G204" s="260"/>
      <c r="H204" s="260"/>
    </row>
    <row r="205" spans="1:8" x14ac:dyDescent="0.3">
      <c r="A205" s="258"/>
      <c r="B205" s="258"/>
      <c r="C205" s="258"/>
      <c r="D205" s="259"/>
      <c r="E205" s="259"/>
      <c r="F205" s="259"/>
      <c r="G205" s="260"/>
      <c r="H205" s="260"/>
    </row>
    <row r="206" spans="1:8" x14ac:dyDescent="0.3">
      <c r="A206" s="258"/>
      <c r="B206" s="258"/>
      <c r="C206" s="258"/>
      <c r="D206" s="259"/>
      <c r="E206" s="259"/>
      <c r="F206" s="259"/>
      <c r="G206" s="260"/>
      <c r="H206" s="260"/>
    </row>
    <row r="207" spans="1:8" x14ac:dyDescent="0.3">
      <c r="A207" s="258"/>
      <c r="B207" s="258"/>
      <c r="C207" s="258"/>
      <c r="D207" s="259"/>
      <c r="E207" s="259"/>
      <c r="F207" s="259"/>
      <c r="G207" s="260"/>
      <c r="H207" s="260"/>
    </row>
    <row r="208" spans="1:8" x14ac:dyDescent="0.3">
      <c r="A208" s="258"/>
      <c r="B208" s="258"/>
      <c r="C208" s="258"/>
      <c r="D208" s="259"/>
      <c r="E208" s="259"/>
      <c r="F208" s="259"/>
      <c r="G208" s="260"/>
      <c r="H208" s="260"/>
    </row>
    <row r="209" spans="1:8" x14ac:dyDescent="0.3">
      <c r="A209" s="258"/>
      <c r="B209" s="258"/>
      <c r="C209" s="258"/>
      <c r="D209" s="259"/>
      <c r="E209" s="259"/>
      <c r="F209" s="259"/>
      <c r="G209" s="260"/>
      <c r="H209" s="260"/>
    </row>
    <row r="210" spans="1:8" x14ac:dyDescent="0.3">
      <c r="A210" s="258"/>
      <c r="B210" s="258"/>
      <c r="C210" s="258"/>
      <c r="D210" s="259"/>
      <c r="E210" s="259"/>
      <c r="F210" s="259"/>
      <c r="G210" s="260"/>
      <c r="H210" s="260"/>
    </row>
    <row r="211" spans="1:8" x14ac:dyDescent="0.3">
      <c r="A211" s="258"/>
      <c r="B211" s="258"/>
      <c r="C211" s="258"/>
      <c r="D211" s="259"/>
      <c r="E211" s="259"/>
      <c r="F211" s="259"/>
      <c r="G211" s="260"/>
      <c r="H211" s="260"/>
    </row>
    <row r="212" spans="1:8" x14ac:dyDescent="0.3">
      <c r="A212" s="258"/>
      <c r="B212" s="258"/>
      <c r="C212" s="258"/>
      <c r="D212" s="259"/>
      <c r="E212" s="259"/>
      <c r="F212" s="259"/>
      <c r="G212" s="260"/>
      <c r="H212" s="260"/>
    </row>
    <row r="213" spans="1:8" x14ac:dyDescent="0.3">
      <c r="A213" s="258"/>
      <c r="B213" s="258"/>
      <c r="C213" s="258"/>
      <c r="D213" s="259"/>
      <c r="E213" s="259"/>
      <c r="F213" s="259"/>
      <c r="G213" s="260"/>
      <c r="H213" s="260"/>
    </row>
    <row r="214" spans="1:8" x14ac:dyDescent="0.3">
      <c r="A214" s="258"/>
      <c r="B214" s="258"/>
      <c r="C214" s="258"/>
      <c r="D214" s="259"/>
      <c r="E214" s="259"/>
      <c r="F214" s="259"/>
      <c r="G214" s="260"/>
      <c r="H214" s="260"/>
    </row>
    <row r="215" spans="1:8" x14ac:dyDescent="0.3">
      <c r="A215" s="258"/>
      <c r="B215" s="258"/>
      <c r="C215" s="258"/>
      <c r="D215" s="259"/>
      <c r="E215" s="259"/>
      <c r="F215" s="259"/>
      <c r="G215" s="260"/>
      <c r="H215" s="260"/>
    </row>
    <row r="216" spans="1:8" x14ac:dyDescent="0.3">
      <c r="A216" s="258"/>
      <c r="B216" s="258"/>
      <c r="C216" s="258"/>
      <c r="D216" s="259"/>
      <c r="E216" s="259"/>
      <c r="F216" s="259"/>
      <c r="G216" s="260"/>
      <c r="H216" s="260"/>
    </row>
    <row r="217" spans="1:8" x14ac:dyDescent="0.3">
      <c r="A217" s="258"/>
      <c r="B217" s="258"/>
      <c r="C217" s="258"/>
      <c r="D217" s="259"/>
      <c r="E217" s="259"/>
      <c r="F217" s="259"/>
      <c r="G217" s="260"/>
      <c r="H217" s="260"/>
    </row>
    <row r="218" spans="1:8" x14ac:dyDescent="0.3">
      <c r="A218" s="258"/>
      <c r="B218" s="258"/>
      <c r="C218" s="258"/>
      <c r="D218" s="259"/>
      <c r="E218" s="259"/>
      <c r="F218" s="259"/>
      <c r="G218" s="260"/>
      <c r="H218" s="260"/>
    </row>
    <row r="219" spans="1:8" x14ac:dyDescent="0.3">
      <c r="A219" s="258"/>
      <c r="B219" s="258"/>
      <c r="C219" s="258"/>
      <c r="D219" s="259"/>
      <c r="E219" s="259"/>
      <c r="F219" s="259"/>
      <c r="G219" s="260"/>
      <c r="H219" s="260"/>
    </row>
    <row r="220" spans="1:8" x14ac:dyDescent="0.3">
      <c r="A220" s="258"/>
      <c r="B220" s="258"/>
      <c r="C220" s="258"/>
      <c r="D220" s="259"/>
      <c r="E220" s="259"/>
      <c r="F220" s="259"/>
      <c r="G220" s="260"/>
      <c r="H220" s="260"/>
    </row>
    <row r="221" spans="1:8" x14ac:dyDescent="0.3">
      <c r="A221" s="258"/>
      <c r="B221" s="258"/>
      <c r="C221" s="258"/>
      <c r="D221" s="259"/>
      <c r="E221" s="259"/>
      <c r="F221" s="259"/>
      <c r="G221" s="260"/>
      <c r="H221" s="260"/>
    </row>
    <row r="222" spans="1:8" x14ac:dyDescent="0.3">
      <c r="A222" s="258"/>
      <c r="B222" s="258"/>
      <c r="C222" s="258"/>
      <c r="D222" s="259"/>
      <c r="E222" s="259"/>
      <c r="F222" s="259"/>
      <c r="G222" s="260"/>
      <c r="H222" s="260"/>
    </row>
    <row r="223" spans="1:8" x14ac:dyDescent="0.3">
      <c r="A223" s="258"/>
      <c r="B223" s="258"/>
      <c r="C223" s="258"/>
      <c r="D223" s="259"/>
      <c r="E223" s="259"/>
      <c r="F223" s="259"/>
      <c r="G223" s="260"/>
      <c r="H223" s="260"/>
    </row>
    <row r="224" spans="1:8" x14ac:dyDescent="0.3">
      <c r="A224" s="258"/>
      <c r="B224" s="258"/>
      <c r="C224" s="258"/>
      <c r="D224" s="259"/>
      <c r="E224" s="259"/>
      <c r="F224" s="259"/>
      <c r="G224" s="260"/>
      <c r="H224" s="260"/>
    </row>
    <row r="225" spans="1:8" x14ac:dyDescent="0.3">
      <c r="A225" s="258"/>
      <c r="B225" s="258"/>
      <c r="C225" s="258"/>
      <c r="D225" s="259"/>
      <c r="E225" s="259"/>
      <c r="F225" s="259"/>
      <c r="G225" s="260"/>
      <c r="H225" s="260"/>
    </row>
    <row r="226" spans="1:8" x14ac:dyDescent="0.3">
      <c r="A226" s="258"/>
      <c r="B226" s="258"/>
      <c r="C226" s="258"/>
      <c r="D226" s="259"/>
      <c r="E226" s="259"/>
      <c r="F226" s="259"/>
      <c r="G226" s="260"/>
      <c r="H226" s="260"/>
    </row>
    <row r="227" spans="1:8" x14ac:dyDescent="0.3">
      <c r="A227" s="258"/>
      <c r="B227" s="258"/>
      <c r="C227" s="258"/>
      <c r="D227" s="259"/>
      <c r="E227" s="259"/>
      <c r="F227" s="259"/>
      <c r="G227" s="260"/>
      <c r="H227" s="260"/>
    </row>
    <row r="228" spans="1:8" x14ac:dyDescent="0.3">
      <c r="A228" s="258"/>
      <c r="B228" s="258"/>
      <c r="C228" s="258"/>
      <c r="D228" s="259"/>
      <c r="E228" s="259"/>
      <c r="F228" s="259"/>
      <c r="G228" s="260"/>
      <c r="H228" s="260"/>
    </row>
    <row r="229" spans="1:8" x14ac:dyDescent="0.3">
      <c r="A229" s="258"/>
      <c r="B229" s="258"/>
      <c r="C229" s="258"/>
      <c r="D229" s="259"/>
      <c r="E229" s="259"/>
      <c r="F229" s="259"/>
      <c r="G229" s="260"/>
      <c r="H229" s="260"/>
    </row>
    <row r="230" spans="1:8" x14ac:dyDescent="0.3">
      <c r="A230" s="258"/>
      <c r="B230" s="258"/>
      <c r="C230" s="258"/>
      <c r="D230" s="259"/>
      <c r="E230" s="259"/>
      <c r="F230" s="259"/>
      <c r="G230" s="260"/>
      <c r="H230" s="260"/>
    </row>
    <row r="231" spans="1:8" x14ac:dyDescent="0.3">
      <c r="A231" s="258"/>
      <c r="B231" s="258"/>
      <c r="C231" s="258"/>
      <c r="D231" s="259"/>
      <c r="E231" s="259"/>
      <c r="F231" s="259"/>
      <c r="G231" s="260"/>
      <c r="H231" s="260"/>
    </row>
    <row r="232" spans="1:8" x14ac:dyDescent="0.3">
      <c r="A232" s="258"/>
      <c r="B232" s="258"/>
      <c r="C232" s="258"/>
      <c r="D232" s="259"/>
      <c r="E232" s="259"/>
      <c r="F232" s="259"/>
      <c r="G232" s="260"/>
      <c r="H232" s="260"/>
    </row>
    <row r="233" spans="1:8" x14ac:dyDescent="0.3">
      <c r="A233" s="258"/>
      <c r="B233" s="258"/>
      <c r="C233" s="258"/>
      <c r="D233" s="259"/>
      <c r="E233" s="259"/>
      <c r="F233" s="259"/>
      <c r="G233" s="260"/>
      <c r="H233" s="260"/>
    </row>
    <row r="234" spans="1:8" x14ac:dyDescent="0.3">
      <c r="A234" s="258"/>
      <c r="B234" s="258"/>
      <c r="C234" s="258"/>
      <c r="D234" s="259"/>
      <c r="E234" s="259"/>
      <c r="F234" s="259"/>
      <c r="G234" s="260"/>
      <c r="H234" s="260"/>
    </row>
    <row r="235" spans="1:8" x14ac:dyDescent="0.3">
      <c r="A235" s="258"/>
      <c r="B235" s="258"/>
      <c r="C235" s="258"/>
      <c r="D235" s="259"/>
      <c r="E235" s="259"/>
      <c r="F235" s="259"/>
      <c r="G235" s="260"/>
      <c r="H235" s="260"/>
    </row>
    <row r="236" spans="1:8" x14ac:dyDescent="0.3">
      <c r="A236" s="258"/>
      <c r="B236" s="258"/>
      <c r="C236" s="258"/>
      <c r="D236" s="259"/>
      <c r="E236" s="259"/>
      <c r="F236" s="259"/>
      <c r="G236" s="260"/>
      <c r="H236" s="260"/>
    </row>
    <row r="237" spans="1:8" x14ac:dyDescent="0.3">
      <c r="A237" s="258"/>
      <c r="B237" s="258"/>
      <c r="C237" s="258"/>
      <c r="D237" s="259"/>
      <c r="E237" s="259"/>
      <c r="F237" s="259"/>
      <c r="G237" s="260"/>
      <c r="H237" s="260"/>
    </row>
    <row r="238" spans="1:8" x14ac:dyDescent="0.3">
      <c r="A238" s="258"/>
      <c r="B238" s="258"/>
      <c r="C238" s="258"/>
      <c r="D238" s="259"/>
      <c r="E238" s="259"/>
      <c r="F238" s="259"/>
      <c r="G238" s="260"/>
      <c r="H238" s="260"/>
    </row>
    <row r="239" spans="1:8" x14ac:dyDescent="0.3">
      <c r="A239" s="258"/>
      <c r="B239" s="258"/>
      <c r="C239" s="258"/>
      <c r="D239" s="259"/>
      <c r="E239" s="259"/>
      <c r="F239" s="259"/>
      <c r="G239" s="260"/>
      <c r="H239" s="260"/>
    </row>
    <row r="240" spans="1:8" x14ac:dyDescent="0.3">
      <c r="A240" s="258"/>
      <c r="B240" s="258"/>
      <c r="C240" s="258"/>
      <c r="D240" s="259"/>
      <c r="E240" s="259"/>
      <c r="F240" s="259"/>
      <c r="G240" s="260"/>
      <c r="H240" s="260"/>
    </row>
    <row r="241" spans="1:8" x14ac:dyDescent="0.3">
      <c r="A241" s="258"/>
      <c r="B241" s="258"/>
      <c r="C241" s="258"/>
      <c r="D241" s="259"/>
      <c r="E241" s="259"/>
      <c r="F241" s="259"/>
      <c r="G241" s="260"/>
      <c r="H241" s="260"/>
    </row>
    <row r="242" spans="1:8" x14ac:dyDescent="0.3">
      <c r="A242" s="258"/>
      <c r="B242" s="258"/>
      <c r="C242" s="258"/>
      <c r="D242" s="259"/>
      <c r="E242" s="259"/>
      <c r="F242" s="259"/>
      <c r="G242" s="260"/>
      <c r="H242" s="260"/>
    </row>
    <row r="243" spans="1:8" x14ac:dyDescent="0.3">
      <c r="A243" s="258"/>
      <c r="B243" s="258"/>
      <c r="C243" s="258"/>
      <c r="D243" s="259"/>
      <c r="E243" s="259"/>
      <c r="F243" s="259"/>
      <c r="G243" s="260"/>
      <c r="H243" s="260"/>
    </row>
    <row r="244" spans="1:8" x14ac:dyDescent="0.3">
      <c r="A244" s="258"/>
      <c r="B244" s="258"/>
      <c r="C244" s="258"/>
      <c r="D244" s="259"/>
      <c r="E244" s="259"/>
      <c r="F244" s="259"/>
      <c r="G244" s="260"/>
      <c r="H244" s="260"/>
    </row>
    <row r="245" spans="1:8" x14ac:dyDescent="0.3">
      <c r="A245" s="258"/>
      <c r="B245" s="258"/>
      <c r="C245" s="258"/>
      <c r="D245" s="259"/>
      <c r="E245" s="259"/>
      <c r="F245" s="259"/>
      <c r="G245" s="260"/>
      <c r="H245" s="260"/>
    </row>
    <row r="246" spans="1:8" x14ac:dyDescent="0.3">
      <c r="A246" s="258"/>
      <c r="B246" s="258"/>
      <c r="C246" s="258"/>
      <c r="D246" s="259"/>
      <c r="E246" s="259"/>
      <c r="F246" s="259"/>
      <c r="G246" s="260"/>
      <c r="H246" s="260"/>
    </row>
    <row r="247" spans="1:8" x14ac:dyDescent="0.3">
      <c r="A247" s="258"/>
      <c r="B247" s="258"/>
      <c r="C247" s="258"/>
      <c r="D247" s="259"/>
      <c r="E247" s="259"/>
      <c r="F247" s="259"/>
      <c r="G247" s="260"/>
      <c r="H247" s="260"/>
    </row>
    <row r="248" spans="1:8" x14ac:dyDescent="0.3">
      <c r="A248" s="258"/>
      <c r="B248" s="258"/>
      <c r="C248" s="258"/>
      <c r="D248" s="259"/>
      <c r="E248" s="259"/>
      <c r="F248" s="259"/>
      <c r="G248" s="260"/>
      <c r="H248" s="260"/>
    </row>
    <row r="249" spans="1:8" x14ac:dyDescent="0.3">
      <c r="A249" s="258"/>
      <c r="B249" s="258"/>
      <c r="C249" s="258"/>
      <c r="D249" s="259"/>
      <c r="E249" s="259"/>
      <c r="F249" s="259"/>
      <c r="G249" s="260"/>
      <c r="H249" s="260"/>
    </row>
    <row r="250" spans="1:8" x14ac:dyDescent="0.3">
      <c r="A250" s="258"/>
      <c r="B250" s="258"/>
      <c r="C250" s="258"/>
      <c r="D250" s="259"/>
      <c r="E250" s="259"/>
      <c r="F250" s="259"/>
      <c r="G250" s="260"/>
      <c r="H250" s="260"/>
    </row>
    <row r="251" spans="1:8" x14ac:dyDescent="0.3">
      <c r="A251" s="258"/>
      <c r="B251" s="258"/>
      <c r="C251" s="258"/>
      <c r="D251" s="259"/>
      <c r="E251" s="259"/>
      <c r="F251" s="259"/>
      <c r="G251" s="260"/>
      <c r="H251" s="260"/>
    </row>
    <row r="252" spans="1:8" x14ac:dyDescent="0.3">
      <c r="A252" s="258"/>
      <c r="B252" s="258"/>
      <c r="C252" s="258"/>
      <c r="D252" s="259"/>
      <c r="E252" s="259"/>
      <c r="F252" s="259"/>
      <c r="G252" s="260"/>
      <c r="H252" s="260"/>
    </row>
    <row r="253" spans="1:8" x14ac:dyDescent="0.3">
      <c r="A253" s="258"/>
      <c r="B253" s="258"/>
      <c r="C253" s="258"/>
      <c r="D253" s="259"/>
      <c r="E253" s="259"/>
      <c r="F253" s="259"/>
      <c r="G253" s="260"/>
      <c r="H253" s="260"/>
    </row>
    <row r="254" spans="1:8" x14ac:dyDescent="0.3">
      <c r="A254" s="258"/>
      <c r="B254" s="258"/>
      <c r="C254" s="258"/>
      <c r="D254" s="259"/>
      <c r="E254" s="259"/>
      <c r="F254" s="259"/>
      <c r="G254" s="260"/>
      <c r="H254" s="260"/>
    </row>
    <row r="255" spans="1:8" x14ac:dyDescent="0.3">
      <c r="A255" s="258"/>
      <c r="B255" s="258"/>
      <c r="C255" s="258"/>
      <c r="D255" s="259"/>
      <c r="E255" s="259"/>
      <c r="F255" s="259"/>
      <c r="G255" s="260"/>
      <c r="H255" s="260"/>
    </row>
    <row r="256" spans="1:8" x14ac:dyDescent="0.3">
      <c r="A256" s="258"/>
      <c r="B256" s="258"/>
      <c r="C256" s="258"/>
      <c r="D256" s="259"/>
      <c r="E256" s="259"/>
      <c r="F256" s="259"/>
      <c r="G256" s="260"/>
      <c r="H256" s="260"/>
    </row>
    <row r="257" spans="1:8" x14ac:dyDescent="0.3">
      <c r="A257" s="258"/>
      <c r="B257" s="258"/>
      <c r="C257" s="258"/>
      <c r="D257" s="259"/>
      <c r="E257" s="259"/>
      <c r="F257" s="259"/>
      <c r="G257" s="260"/>
      <c r="H257" s="260"/>
    </row>
    <row r="258" spans="1:8" x14ac:dyDescent="0.3">
      <c r="A258" s="258"/>
      <c r="B258" s="258"/>
      <c r="C258" s="258"/>
      <c r="D258" s="259"/>
      <c r="E258" s="259"/>
      <c r="F258" s="259"/>
      <c r="G258" s="260"/>
      <c r="H258" s="260"/>
    </row>
    <row r="259" spans="1:8" x14ac:dyDescent="0.3">
      <c r="A259" s="258"/>
      <c r="B259" s="258"/>
      <c r="C259" s="258"/>
      <c r="D259" s="259"/>
      <c r="E259" s="259"/>
      <c r="F259" s="259"/>
      <c r="G259" s="260"/>
      <c r="H259" s="260"/>
    </row>
    <row r="260" spans="1:8" x14ac:dyDescent="0.3">
      <c r="A260" s="258"/>
      <c r="B260" s="258"/>
      <c r="C260" s="258"/>
      <c r="D260" s="259"/>
      <c r="E260" s="259"/>
      <c r="F260" s="259"/>
      <c r="G260" s="260"/>
      <c r="H260" s="260"/>
    </row>
    <row r="261" spans="1:8" x14ac:dyDescent="0.3">
      <c r="A261" s="258"/>
      <c r="B261" s="258"/>
      <c r="C261" s="258"/>
      <c r="D261" s="259"/>
      <c r="E261" s="259"/>
      <c r="F261" s="259"/>
      <c r="G261" s="260"/>
      <c r="H261" s="260"/>
    </row>
    <row r="262" spans="1:8" x14ac:dyDescent="0.3">
      <c r="A262" s="258"/>
      <c r="B262" s="258"/>
      <c r="C262" s="258"/>
      <c r="D262" s="259"/>
      <c r="E262" s="259"/>
      <c r="F262" s="259"/>
      <c r="G262" s="260"/>
      <c r="H262" s="260"/>
    </row>
    <row r="263" spans="1:8" x14ac:dyDescent="0.3">
      <c r="A263" s="258"/>
      <c r="B263" s="258"/>
      <c r="C263" s="258"/>
      <c r="D263" s="259"/>
      <c r="E263" s="259"/>
      <c r="F263" s="259"/>
      <c r="G263" s="260"/>
      <c r="H263" s="260"/>
    </row>
    <row r="264" spans="1:8" x14ac:dyDescent="0.3">
      <c r="A264" s="258"/>
      <c r="B264" s="258"/>
      <c r="C264" s="258"/>
      <c r="D264" s="259"/>
      <c r="E264" s="259"/>
      <c r="F264" s="259"/>
      <c r="G264" s="260"/>
      <c r="H264" s="260"/>
    </row>
    <row r="265" spans="1:8" x14ac:dyDescent="0.3">
      <c r="A265" s="258"/>
      <c r="B265" s="258"/>
      <c r="C265" s="258"/>
      <c r="D265" s="259"/>
      <c r="E265" s="259"/>
      <c r="F265" s="259"/>
      <c r="G265" s="260"/>
      <c r="H265" s="260"/>
    </row>
    <row r="266" spans="1:8" x14ac:dyDescent="0.3">
      <c r="A266" s="258"/>
      <c r="B266" s="258"/>
      <c r="C266" s="258"/>
      <c r="D266" s="259"/>
      <c r="E266" s="259"/>
      <c r="F266" s="259"/>
      <c r="G266" s="260"/>
      <c r="H266" s="260"/>
    </row>
    <row r="267" spans="1:8" x14ac:dyDescent="0.3">
      <c r="A267" s="258"/>
      <c r="B267" s="258"/>
      <c r="C267" s="258"/>
      <c r="D267" s="259"/>
      <c r="E267" s="259"/>
      <c r="F267" s="259"/>
      <c r="G267" s="260"/>
      <c r="H267" s="260"/>
    </row>
    <row r="268" spans="1:8" x14ac:dyDescent="0.3">
      <c r="A268" s="258"/>
      <c r="B268" s="258"/>
      <c r="C268" s="258"/>
      <c r="D268" s="259"/>
      <c r="E268" s="259"/>
      <c r="F268" s="259"/>
      <c r="G268" s="260"/>
      <c r="H268" s="260"/>
    </row>
    <row r="269" spans="1:8" x14ac:dyDescent="0.3">
      <c r="A269" s="258"/>
      <c r="B269" s="258"/>
      <c r="C269" s="258"/>
      <c r="D269" s="259"/>
      <c r="E269" s="259"/>
      <c r="F269" s="259"/>
      <c r="G269" s="260"/>
      <c r="H269" s="260"/>
    </row>
    <row r="270" spans="1:8" x14ac:dyDescent="0.3">
      <c r="A270" s="258"/>
      <c r="B270" s="258"/>
      <c r="C270" s="258"/>
      <c r="D270" s="259"/>
      <c r="E270" s="259"/>
      <c r="F270" s="259"/>
      <c r="G270" s="260"/>
      <c r="H270" s="260"/>
    </row>
    <row r="271" spans="1:8" x14ac:dyDescent="0.3">
      <c r="A271" s="258"/>
      <c r="B271" s="258"/>
      <c r="C271" s="258"/>
      <c r="D271" s="259"/>
      <c r="E271" s="259"/>
      <c r="F271" s="259"/>
      <c r="G271" s="260"/>
      <c r="H271" s="260"/>
    </row>
    <row r="272" spans="1:8" x14ac:dyDescent="0.3">
      <c r="A272" s="258"/>
      <c r="B272" s="258"/>
      <c r="C272" s="258"/>
      <c r="D272" s="259"/>
      <c r="E272" s="259"/>
      <c r="F272" s="259"/>
      <c r="G272" s="260"/>
      <c r="H272" s="260"/>
    </row>
    <row r="273" spans="1:8" x14ac:dyDescent="0.3">
      <c r="A273" s="258"/>
      <c r="B273" s="258"/>
      <c r="C273" s="258"/>
      <c r="D273" s="259"/>
      <c r="E273" s="259"/>
      <c r="F273" s="259"/>
      <c r="G273" s="260"/>
      <c r="H273" s="260"/>
    </row>
    <row r="274" spans="1:8" x14ac:dyDescent="0.3">
      <c r="A274" s="258"/>
      <c r="B274" s="258"/>
      <c r="C274" s="258"/>
      <c r="D274" s="259"/>
      <c r="E274" s="259"/>
      <c r="F274" s="259"/>
      <c r="G274" s="260"/>
      <c r="H274" s="260"/>
    </row>
    <row r="275" spans="1:8" x14ac:dyDescent="0.3">
      <c r="A275" s="258"/>
      <c r="B275" s="258"/>
      <c r="C275" s="258"/>
      <c r="D275" s="259"/>
      <c r="E275" s="259"/>
      <c r="F275" s="259"/>
      <c r="G275" s="260"/>
      <c r="H275" s="260"/>
    </row>
    <row r="276" spans="1:8" x14ac:dyDescent="0.3">
      <c r="A276" s="258"/>
      <c r="B276" s="258"/>
      <c r="C276" s="258"/>
      <c r="D276" s="259"/>
      <c r="E276" s="259"/>
      <c r="F276" s="259"/>
      <c r="G276" s="260"/>
      <c r="H276" s="260"/>
    </row>
    <row r="277" spans="1:8" x14ac:dyDescent="0.3">
      <c r="A277" s="258"/>
      <c r="B277" s="258"/>
      <c r="C277" s="258"/>
      <c r="D277" s="259"/>
      <c r="E277" s="259"/>
      <c r="F277" s="259"/>
      <c r="G277" s="260"/>
      <c r="H277" s="260"/>
    </row>
    <row r="278" spans="1:8" x14ac:dyDescent="0.3">
      <c r="A278" s="258"/>
      <c r="B278" s="258"/>
      <c r="C278" s="258"/>
      <c r="D278" s="259"/>
      <c r="E278" s="259"/>
      <c r="F278" s="259"/>
      <c r="G278" s="260"/>
      <c r="H278" s="260"/>
    </row>
    <row r="279" spans="1:8" x14ac:dyDescent="0.3">
      <c r="A279" s="258"/>
      <c r="B279" s="258"/>
      <c r="C279" s="258"/>
      <c r="D279" s="259"/>
      <c r="E279" s="259"/>
      <c r="F279" s="259"/>
      <c r="G279" s="260"/>
      <c r="H279" s="260"/>
    </row>
    <row r="280" spans="1:8" x14ac:dyDescent="0.3">
      <c r="A280" s="258"/>
      <c r="B280" s="258"/>
      <c r="C280" s="258"/>
      <c r="D280" s="259"/>
      <c r="E280" s="259"/>
      <c r="F280" s="259"/>
      <c r="G280" s="260"/>
      <c r="H280" s="260"/>
    </row>
    <row r="281" spans="1:8" x14ac:dyDescent="0.3">
      <c r="A281" s="258"/>
      <c r="B281" s="258"/>
      <c r="C281" s="258"/>
      <c r="D281" s="259"/>
      <c r="E281" s="259"/>
      <c r="F281" s="259"/>
      <c r="G281" s="260"/>
      <c r="H281" s="260"/>
    </row>
    <row r="282" spans="1:8" x14ac:dyDescent="0.3">
      <c r="A282" s="258"/>
      <c r="B282" s="258"/>
      <c r="C282" s="258"/>
      <c r="D282" s="259"/>
      <c r="E282" s="259"/>
      <c r="F282" s="259"/>
      <c r="G282" s="260"/>
      <c r="H282" s="260"/>
    </row>
    <row r="283" spans="1:8" x14ac:dyDescent="0.3">
      <c r="A283" s="258"/>
      <c r="B283" s="258"/>
      <c r="C283" s="258"/>
      <c r="D283" s="259"/>
      <c r="E283" s="259"/>
      <c r="F283" s="259"/>
      <c r="G283" s="260"/>
      <c r="H283" s="260"/>
    </row>
    <row r="284" spans="1:8" x14ac:dyDescent="0.3">
      <c r="A284" s="258"/>
      <c r="B284" s="258"/>
      <c r="C284" s="258"/>
      <c r="D284" s="259"/>
      <c r="E284" s="259"/>
      <c r="F284" s="259"/>
      <c r="G284" s="260"/>
      <c r="H284" s="260"/>
    </row>
    <row r="285" spans="1:8" x14ac:dyDescent="0.3">
      <c r="A285" s="258"/>
      <c r="B285" s="258"/>
      <c r="C285" s="258"/>
      <c r="D285" s="259"/>
      <c r="E285" s="259"/>
      <c r="F285" s="259"/>
      <c r="G285" s="260"/>
      <c r="H285" s="260"/>
    </row>
    <row r="286" spans="1:8" x14ac:dyDescent="0.3">
      <c r="A286" s="258"/>
      <c r="B286" s="258"/>
      <c r="C286" s="258"/>
      <c r="D286" s="259"/>
      <c r="E286" s="259"/>
      <c r="F286" s="259"/>
      <c r="G286" s="260"/>
      <c r="H286" s="260"/>
    </row>
    <row r="287" spans="1:8" x14ac:dyDescent="0.3">
      <c r="A287" s="258"/>
      <c r="B287" s="258"/>
      <c r="C287" s="258"/>
      <c r="D287" s="259"/>
      <c r="E287" s="259"/>
      <c r="F287" s="259"/>
      <c r="G287" s="260"/>
      <c r="H287" s="260"/>
    </row>
    <row r="288" spans="1:8" x14ac:dyDescent="0.3">
      <c r="A288" s="258"/>
      <c r="B288" s="258"/>
      <c r="C288" s="258"/>
      <c r="D288" s="259"/>
      <c r="E288" s="259"/>
      <c r="F288" s="259"/>
      <c r="G288" s="260"/>
      <c r="H288" s="260"/>
    </row>
    <row r="289" spans="1:8" x14ac:dyDescent="0.3">
      <c r="A289" s="258"/>
      <c r="B289" s="258"/>
      <c r="C289" s="258"/>
      <c r="D289" s="259"/>
      <c r="E289" s="259"/>
      <c r="F289" s="259"/>
      <c r="G289" s="260"/>
      <c r="H289" s="260"/>
    </row>
    <row r="290" spans="1:8" x14ac:dyDescent="0.3">
      <c r="A290" s="258"/>
      <c r="B290" s="258"/>
      <c r="C290" s="258"/>
      <c r="D290" s="259"/>
      <c r="E290" s="259"/>
      <c r="F290" s="259"/>
      <c r="G290" s="260"/>
      <c r="H290" s="260"/>
    </row>
    <row r="291" spans="1:8" x14ac:dyDescent="0.3">
      <c r="A291" s="258"/>
      <c r="B291" s="258"/>
      <c r="C291" s="258"/>
      <c r="D291" s="259"/>
      <c r="E291" s="259"/>
      <c r="F291" s="259"/>
      <c r="G291" s="260"/>
      <c r="H291" s="260"/>
    </row>
    <row r="292" spans="1:8" x14ac:dyDescent="0.3">
      <c r="A292" s="258"/>
      <c r="B292" s="258"/>
      <c r="C292" s="258"/>
      <c r="D292" s="259"/>
      <c r="E292" s="259"/>
      <c r="F292" s="259"/>
      <c r="G292" s="260"/>
      <c r="H292" s="260"/>
    </row>
    <row r="293" spans="1:8" x14ac:dyDescent="0.3">
      <c r="A293" s="258"/>
      <c r="B293" s="258"/>
      <c r="C293" s="258"/>
      <c r="D293" s="259"/>
      <c r="E293" s="259"/>
      <c r="F293" s="259"/>
      <c r="G293" s="260"/>
      <c r="H293" s="260"/>
    </row>
    <row r="294" spans="1:8" x14ac:dyDescent="0.3">
      <c r="A294" s="258"/>
      <c r="B294" s="258"/>
      <c r="C294" s="258"/>
      <c r="D294" s="259"/>
      <c r="E294" s="259"/>
      <c r="F294" s="259"/>
      <c r="G294" s="260"/>
      <c r="H294" s="260"/>
    </row>
    <row r="295" spans="1:8" x14ac:dyDescent="0.3">
      <c r="A295" s="258"/>
      <c r="B295" s="258"/>
      <c r="C295" s="258"/>
      <c r="D295" s="259"/>
      <c r="E295" s="259"/>
      <c r="F295" s="259"/>
      <c r="G295" s="260"/>
      <c r="H295" s="260"/>
    </row>
    <row r="296" spans="1:8" x14ac:dyDescent="0.3">
      <c r="A296" s="258"/>
      <c r="B296" s="258"/>
      <c r="C296" s="258"/>
      <c r="D296" s="259"/>
      <c r="E296" s="259"/>
      <c r="F296" s="259"/>
      <c r="G296" s="260"/>
      <c r="H296" s="260"/>
    </row>
    <row r="297" spans="1:8" x14ac:dyDescent="0.3">
      <c r="A297" s="258"/>
      <c r="B297" s="258"/>
      <c r="C297" s="258"/>
      <c r="D297" s="259"/>
      <c r="E297" s="259"/>
      <c r="F297" s="259"/>
      <c r="G297" s="260"/>
      <c r="H297" s="260"/>
    </row>
    <row r="298" spans="1:8" x14ac:dyDescent="0.3">
      <c r="A298" s="258"/>
      <c r="B298" s="258"/>
      <c r="C298" s="258"/>
      <c r="D298" s="259"/>
      <c r="E298" s="259"/>
      <c r="F298" s="259"/>
      <c r="G298" s="260"/>
      <c r="H298" s="260"/>
    </row>
    <row r="299" spans="1:8" x14ac:dyDescent="0.3">
      <c r="A299" s="258"/>
      <c r="B299" s="258"/>
      <c r="C299" s="258"/>
      <c r="D299" s="259"/>
      <c r="E299" s="259"/>
      <c r="F299" s="259"/>
      <c r="G299" s="260"/>
      <c r="H299" s="260"/>
    </row>
    <row r="300" spans="1:8" x14ac:dyDescent="0.3">
      <c r="A300" s="258"/>
      <c r="B300" s="258"/>
      <c r="C300" s="258"/>
      <c r="D300" s="259"/>
      <c r="E300" s="259"/>
      <c r="F300" s="259"/>
      <c r="G300" s="260"/>
      <c r="H300" s="260"/>
    </row>
    <row r="301" spans="1:8" x14ac:dyDescent="0.3">
      <c r="A301" s="258"/>
      <c r="B301" s="258"/>
      <c r="C301" s="258"/>
      <c r="D301" s="259"/>
      <c r="E301" s="259"/>
      <c r="F301" s="259"/>
      <c r="G301" s="260"/>
      <c r="H301" s="260"/>
    </row>
    <row r="302" spans="1:8" x14ac:dyDescent="0.3">
      <c r="A302" s="258"/>
      <c r="B302" s="258"/>
      <c r="C302" s="258"/>
      <c r="D302" s="259"/>
      <c r="E302" s="259"/>
      <c r="F302" s="259"/>
      <c r="G302" s="260"/>
      <c r="H302" s="260"/>
    </row>
    <row r="303" spans="1:8" x14ac:dyDescent="0.3">
      <c r="A303" s="258"/>
      <c r="B303" s="258"/>
      <c r="C303" s="258"/>
      <c r="D303" s="259"/>
      <c r="E303" s="259"/>
      <c r="F303" s="259"/>
      <c r="G303" s="260"/>
      <c r="H303" s="260"/>
    </row>
    <row r="304" spans="1:8" x14ac:dyDescent="0.3">
      <c r="A304" s="258"/>
      <c r="B304" s="258"/>
      <c r="C304" s="258"/>
      <c r="D304" s="259"/>
      <c r="E304" s="259"/>
      <c r="F304" s="259"/>
      <c r="G304" s="260"/>
      <c r="H304" s="260"/>
    </row>
    <row r="305" spans="1:8" x14ac:dyDescent="0.3">
      <c r="A305" s="258"/>
      <c r="B305" s="258"/>
      <c r="C305" s="258"/>
      <c r="D305" s="259"/>
      <c r="E305" s="259"/>
      <c r="F305" s="259"/>
      <c r="G305" s="260"/>
      <c r="H305" s="260"/>
    </row>
    <row r="306" spans="1:8" x14ac:dyDescent="0.3">
      <c r="A306" s="258"/>
      <c r="B306" s="258"/>
      <c r="C306" s="258"/>
      <c r="D306" s="259"/>
      <c r="E306" s="259"/>
      <c r="F306" s="259"/>
      <c r="G306" s="260"/>
      <c r="H306" s="260"/>
    </row>
    <row r="307" spans="1:8" x14ac:dyDescent="0.3">
      <c r="A307" s="258"/>
      <c r="B307" s="258"/>
      <c r="C307" s="258"/>
      <c r="D307" s="259"/>
      <c r="E307" s="259"/>
      <c r="F307" s="259"/>
      <c r="G307" s="260"/>
      <c r="H307" s="260"/>
    </row>
    <row r="308" spans="1:8" x14ac:dyDescent="0.3">
      <c r="A308" s="258"/>
      <c r="B308" s="258"/>
      <c r="C308" s="258"/>
      <c r="D308" s="259"/>
      <c r="E308" s="259"/>
      <c r="F308" s="259"/>
      <c r="G308" s="260"/>
      <c r="H308" s="260"/>
    </row>
    <row r="309" spans="1:8" x14ac:dyDescent="0.3">
      <c r="A309" s="258"/>
      <c r="B309" s="258"/>
      <c r="C309" s="258"/>
      <c r="D309" s="259"/>
      <c r="E309" s="259"/>
      <c r="F309" s="259"/>
      <c r="G309" s="260"/>
      <c r="H309" s="260"/>
    </row>
    <row r="310" spans="1:8" x14ac:dyDescent="0.3">
      <c r="A310" s="258"/>
      <c r="B310" s="258"/>
      <c r="C310" s="258"/>
      <c r="D310" s="259"/>
      <c r="E310" s="259"/>
      <c r="F310" s="259"/>
      <c r="G310" s="260"/>
      <c r="H310" s="260"/>
    </row>
    <row r="311" spans="1:8" x14ac:dyDescent="0.3">
      <c r="A311" s="258"/>
      <c r="B311" s="258"/>
      <c r="C311" s="258"/>
      <c r="D311" s="259"/>
      <c r="E311" s="259"/>
      <c r="F311" s="259"/>
      <c r="G311" s="260"/>
      <c r="H311" s="260"/>
    </row>
    <row r="312" spans="1:8" x14ac:dyDescent="0.3">
      <c r="A312" s="258"/>
      <c r="B312" s="258"/>
      <c r="C312" s="258"/>
      <c r="D312" s="259"/>
      <c r="E312" s="259"/>
      <c r="F312" s="259"/>
      <c r="G312" s="260"/>
      <c r="H312" s="260"/>
    </row>
    <row r="313" spans="1:8" x14ac:dyDescent="0.3">
      <c r="A313" s="258"/>
      <c r="B313" s="258"/>
      <c r="C313" s="258"/>
      <c r="D313" s="259"/>
      <c r="E313" s="259"/>
      <c r="F313" s="259"/>
      <c r="G313" s="260"/>
      <c r="H313" s="260"/>
    </row>
    <row r="314" spans="1:8" x14ac:dyDescent="0.3">
      <c r="A314" s="258"/>
      <c r="B314" s="258"/>
      <c r="C314" s="258"/>
      <c r="D314" s="259"/>
      <c r="E314" s="259"/>
      <c r="F314" s="259"/>
      <c r="G314" s="260"/>
      <c r="H314" s="260"/>
    </row>
    <row r="315" spans="1:8" x14ac:dyDescent="0.3">
      <c r="A315" s="258"/>
      <c r="B315" s="258"/>
      <c r="C315" s="258"/>
      <c r="D315" s="259"/>
      <c r="E315" s="259"/>
      <c r="F315" s="259"/>
      <c r="G315" s="260"/>
      <c r="H315" s="260"/>
    </row>
    <row r="316" spans="1:8" x14ac:dyDescent="0.3">
      <c r="A316" s="258"/>
      <c r="B316" s="258"/>
      <c r="C316" s="258"/>
      <c r="D316" s="259"/>
      <c r="E316" s="259"/>
      <c r="F316" s="259"/>
      <c r="G316" s="260"/>
      <c r="H316" s="260"/>
    </row>
    <row r="317" spans="1:8" x14ac:dyDescent="0.3">
      <c r="A317" s="258"/>
      <c r="B317" s="258"/>
      <c r="C317" s="258"/>
      <c r="D317" s="259"/>
      <c r="E317" s="259"/>
      <c r="F317" s="259"/>
      <c r="G317" s="260"/>
      <c r="H317" s="260"/>
    </row>
    <row r="318" spans="1:8" x14ac:dyDescent="0.3">
      <c r="A318" s="258"/>
      <c r="B318" s="258"/>
      <c r="C318" s="258"/>
      <c r="D318" s="259"/>
      <c r="E318" s="259"/>
      <c r="F318" s="259"/>
      <c r="G318" s="260"/>
      <c r="H318" s="260"/>
    </row>
    <row r="319" spans="1:8" x14ac:dyDescent="0.3">
      <c r="A319" s="258"/>
      <c r="B319" s="258"/>
      <c r="C319" s="258"/>
      <c r="D319" s="259"/>
      <c r="E319" s="259"/>
      <c r="F319" s="259"/>
      <c r="G319" s="260"/>
      <c r="H319" s="260"/>
    </row>
    <row r="320" spans="1:8" x14ac:dyDescent="0.3">
      <c r="A320" s="258"/>
      <c r="B320" s="258"/>
      <c r="C320" s="258"/>
      <c r="D320" s="259"/>
      <c r="E320" s="259"/>
      <c r="F320" s="259"/>
      <c r="G320" s="260"/>
      <c r="H320" s="260"/>
    </row>
    <row r="321" spans="1:8" x14ac:dyDescent="0.3">
      <c r="A321" s="258"/>
      <c r="B321" s="258"/>
      <c r="C321" s="258"/>
      <c r="D321" s="259"/>
      <c r="E321" s="259"/>
      <c r="F321" s="259"/>
      <c r="G321" s="260"/>
      <c r="H321" s="260"/>
    </row>
    <row r="322" spans="1:8" x14ac:dyDescent="0.3">
      <c r="A322" s="258"/>
      <c r="B322" s="258"/>
      <c r="C322" s="258"/>
      <c r="D322" s="259"/>
      <c r="E322" s="259"/>
      <c r="F322" s="259"/>
      <c r="G322" s="260"/>
      <c r="H322" s="260"/>
    </row>
    <row r="323" spans="1:8" x14ac:dyDescent="0.3">
      <c r="A323" s="258"/>
      <c r="B323" s="258"/>
      <c r="C323" s="258"/>
      <c r="D323" s="259"/>
      <c r="E323" s="259"/>
      <c r="F323" s="259"/>
      <c r="G323" s="260"/>
      <c r="H323" s="260"/>
    </row>
    <row r="324" spans="1:8" x14ac:dyDescent="0.3">
      <c r="A324" s="258"/>
      <c r="B324" s="258"/>
      <c r="C324" s="258"/>
      <c r="D324" s="259"/>
      <c r="E324" s="259"/>
      <c r="F324" s="259"/>
      <c r="G324" s="260"/>
      <c r="H324" s="260"/>
    </row>
    <row r="325" spans="1:8" x14ac:dyDescent="0.3">
      <c r="A325" s="258"/>
      <c r="B325" s="258"/>
      <c r="C325" s="258"/>
      <c r="D325" s="259"/>
      <c r="E325" s="259"/>
      <c r="F325" s="259"/>
      <c r="G325" s="260"/>
      <c r="H325" s="260"/>
    </row>
    <row r="326" spans="1:8" x14ac:dyDescent="0.3">
      <c r="A326" s="258"/>
      <c r="B326" s="258"/>
      <c r="C326" s="258"/>
      <c r="D326" s="259"/>
      <c r="E326" s="259"/>
      <c r="F326" s="259"/>
      <c r="G326" s="260"/>
      <c r="H326" s="260"/>
    </row>
    <row r="327" spans="1:8" x14ac:dyDescent="0.3">
      <c r="A327" s="258"/>
      <c r="B327" s="258"/>
      <c r="C327" s="258"/>
      <c r="D327" s="259"/>
      <c r="E327" s="259"/>
      <c r="F327" s="259"/>
      <c r="G327" s="260"/>
      <c r="H327" s="260"/>
    </row>
    <row r="328" spans="1:8" x14ac:dyDescent="0.3">
      <c r="A328" s="258"/>
      <c r="B328" s="258"/>
      <c r="C328" s="258"/>
      <c r="D328" s="259"/>
      <c r="E328" s="259"/>
      <c r="F328" s="259"/>
      <c r="G328" s="260"/>
      <c r="H328" s="260"/>
    </row>
    <row r="329" spans="1:8" x14ac:dyDescent="0.3">
      <c r="A329" s="258"/>
      <c r="B329" s="258"/>
      <c r="C329" s="258"/>
      <c r="D329" s="259"/>
      <c r="E329" s="259"/>
      <c r="F329" s="259"/>
      <c r="G329" s="260"/>
      <c r="H329" s="260"/>
    </row>
    <row r="330" spans="1:8" x14ac:dyDescent="0.3">
      <c r="A330" s="258"/>
      <c r="B330" s="258"/>
      <c r="C330" s="258"/>
      <c r="D330" s="259"/>
      <c r="E330" s="259"/>
      <c r="F330" s="259"/>
      <c r="G330" s="260"/>
      <c r="H330" s="260"/>
    </row>
    <row r="331" spans="1:8" x14ac:dyDescent="0.3">
      <c r="A331" s="258"/>
      <c r="B331" s="258"/>
      <c r="C331" s="258"/>
      <c r="D331" s="259"/>
      <c r="E331" s="259"/>
      <c r="F331" s="259"/>
      <c r="G331" s="260"/>
      <c r="H331" s="260"/>
    </row>
    <row r="332" spans="1:8" x14ac:dyDescent="0.3">
      <c r="A332" s="258"/>
      <c r="B332" s="258"/>
      <c r="C332" s="258"/>
      <c r="D332" s="259"/>
      <c r="E332" s="259"/>
      <c r="F332" s="259"/>
      <c r="G332" s="260"/>
      <c r="H332" s="260"/>
    </row>
    <row r="333" spans="1:8" x14ac:dyDescent="0.3">
      <c r="A333" s="258"/>
      <c r="B333" s="258"/>
      <c r="C333" s="258"/>
      <c r="D333" s="259"/>
      <c r="E333" s="259"/>
      <c r="F333" s="259"/>
      <c r="G333" s="260"/>
      <c r="H333" s="260"/>
    </row>
    <row r="334" spans="1:8" x14ac:dyDescent="0.3">
      <c r="A334" s="258"/>
      <c r="B334" s="258"/>
      <c r="C334" s="258"/>
      <c r="D334" s="259"/>
      <c r="E334" s="259"/>
      <c r="F334" s="259"/>
      <c r="G334" s="260"/>
      <c r="H334" s="260"/>
    </row>
    <row r="335" spans="1:8" x14ac:dyDescent="0.3">
      <c r="A335" s="258"/>
      <c r="B335" s="258"/>
      <c r="C335" s="258"/>
      <c r="D335" s="259"/>
      <c r="E335" s="259"/>
      <c r="F335" s="259"/>
      <c r="G335" s="260"/>
      <c r="H335" s="260"/>
    </row>
    <row r="336" spans="1:8" x14ac:dyDescent="0.3">
      <c r="A336" s="258"/>
      <c r="B336" s="258"/>
      <c r="C336" s="258"/>
      <c r="D336" s="259"/>
      <c r="E336" s="259"/>
      <c r="F336" s="259"/>
      <c r="G336" s="260"/>
      <c r="H336" s="260"/>
    </row>
    <row r="337" spans="1:8" x14ac:dyDescent="0.3">
      <c r="A337" s="258"/>
      <c r="B337" s="258"/>
      <c r="C337" s="258"/>
      <c r="D337" s="259"/>
      <c r="E337" s="259"/>
      <c r="F337" s="259"/>
      <c r="G337" s="260"/>
      <c r="H337" s="260"/>
    </row>
    <row r="338" spans="1:8" x14ac:dyDescent="0.3">
      <c r="A338" s="258"/>
      <c r="B338" s="258"/>
      <c r="C338" s="258"/>
      <c r="D338" s="259"/>
      <c r="E338" s="259"/>
      <c r="F338" s="259"/>
      <c r="G338" s="260"/>
      <c r="H338" s="260"/>
    </row>
    <row r="339" spans="1:8" x14ac:dyDescent="0.3">
      <c r="A339" s="258"/>
      <c r="B339" s="258"/>
      <c r="C339" s="258"/>
      <c r="D339" s="259"/>
      <c r="E339" s="259"/>
      <c r="F339" s="259"/>
      <c r="G339" s="260"/>
      <c r="H339" s="260"/>
    </row>
    <row r="340" spans="1:8" x14ac:dyDescent="0.3">
      <c r="A340" s="258"/>
      <c r="B340" s="258"/>
      <c r="C340" s="258"/>
      <c r="D340" s="259"/>
      <c r="E340" s="259"/>
      <c r="F340" s="259"/>
      <c r="G340" s="260"/>
      <c r="H340" s="260"/>
    </row>
    <row r="341" spans="1:8" x14ac:dyDescent="0.3">
      <c r="A341" s="258"/>
      <c r="B341" s="258"/>
      <c r="C341" s="258"/>
      <c r="D341" s="259"/>
      <c r="E341" s="259"/>
      <c r="F341" s="259"/>
      <c r="G341" s="260"/>
      <c r="H341" s="260"/>
    </row>
    <row r="342" spans="1:8" x14ac:dyDescent="0.3">
      <c r="A342" s="258"/>
      <c r="B342" s="258"/>
      <c r="C342" s="258"/>
      <c r="D342" s="259"/>
      <c r="E342" s="259"/>
      <c r="F342" s="259"/>
      <c r="G342" s="260"/>
      <c r="H342" s="260"/>
    </row>
    <row r="343" spans="1:8" x14ac:dyDescent="0.3">
      <c r="A343" s="258"/>
      <c r="B343" s="258"/>
      <c r="C343" s="258"/>
      <c r="D343" s="259"/>
      <c r="E343" s="259"/>
      <c r="F343" s="259"/>
      <c r="G343" s="260"/>
      <c r="H343" s="260"/>
    </row>
    <row r="344" spans="1:8" x14ac:dyDescent="0.3">
      <c r="A344" s="258"/>
      <c r="B344" s="258"/>
      <c r="C344" s="258"/>
      <c r="D344" s="259"/>
      <c r="E344" s="259"/>
      <c r="F344" s="259"/>
      <c r="G344" s="260"/>
      <c r="H344" s="260"/>
    </row>
    <row r="345" spans="1:8" x14ac:dyDescent="0.3">
      <c r="A345" s="258"/>
      <c r="B345" s="258"/>
      <c r="C345" s="258"/>
      <c r="D345" s="259"/>
      <c r="E345" s="259"/>
      <c r="F345" s="259"/>
      <c r="G345" s="260"/>
      <c r="H345" s="260"/>
    </row>
    <row r="346" spans="1:8" x14ac:dyDescent="0.3">
      <c r="A346" s="258"/>
      <c r="B346" s="258"/>
      <c r="C346" s="258"/>
      <c r="D346" s="259"/>
      <c r="E346" s="259"/>
      <c r="F346" s="259"/>
      <c r="G346" s="260"/>
      <c r="H346" s="260"/>
    </row>
    <row r="347" spans="1:8" x14ac:dyDescent="0.3">
      <c r="A347" s="258"/>
      <c r="B347" s="258"/>
      <c r="C347" s="258"/>
      <c r="D347" s="259"/>
      <c r="E347" s="259"/>
      <c r="F347" s="259"/>
      <c r="G347" s="260"/>
      <c r="H347" s="260"/>
    </row>
    <row r="348" spans="1:8" x14ac:dyDescent="0.3">
      <c r="A348" s="258"/>
      <c r="B348" s="258"/>
      <c r="C348" s="258"/>
      <c r="D348" s="259"/>
      <c r="E348" s="259"/>
      <c r="F348" s="259"/>
      <c r="G348" s="260"/>
      <c r="H348" s="260"/>
    </row>
    <row r="349" spans="1:8" x14ac:dyDescent="0.3">
      <c r="A349" s="258"/>
      <c r="B349" s="258"/>
      <c r="C349" s="258"/>
      <c r="D349" s="259"/>
      <c r="E349" s="259"/>
      <c r="F349" s="259"/>
      <c r="G349" s="260"/>
      <c r="H349" s="260"/>
    </row>
    <row r="350" spans="1:8" x14ac:dyDescent="0.3">
      <c r="A350" s="258"/>
      <c r="B350" s="258"/>
      <c r="C350" s="258"/>
      <c r="D350" s="259"/>
      <c r="E350" s="259"/>
      <c r="F350" s="259"/>
      <c r="G350" s="260"/>
      <c r="H350" s="260"/>
    </row>
    <row r="351" spans="1:8" x14ac:dyDescent="0.3">
      <c r="A351" s="258"/>
      <c r="B351" s="258"/>
      <c r="C351" s="258"/>
      <c r="D351" s="259"/>
      <c r="E351" s="259"/>
      <c r="F351" s="259"/>
      <c r="G351" s="260"/>
      <c r="H351" s="260"/>
    </row>
    <row r="352" spans="1:8" x14ac:dyDescent="0.3">
      <c r="A352" s="258"/>
      <c r="B352" s="258"/>
      <c r="C352" s="258"/>
      <c r="D352" s="259"/>
      <c r="E352" s="259"/>
      <c r="F352" s="259"/>
      <c r="G352" s="260"/>
      <c r="H352" s="260"/>
    </row>
    <row r="353" spans="1:8" x14ac:dyDescent="0.3">
      <c r="A353" s="258"/>
      <c r="B353" s="258"/>
      <c r="C353" s="258"/>
      <c r="D353" s="259"/>
      <c r="E353" s="259"/>
      <c r="F353" s="259"/>
      <c r="G353" s="260"/>
      <c r="H353" s="260"/>
    </row>
    <row r="354" spans="1:8" x14ac:dyDescent="0.3">
      <c r="A354" s="258"/>
      <c r="B354" s="258"/>
      <c r="C354" s="258"/>
      <c r="D354" s="259"/>
      <c r="E354" s="259"/>
      <c r="F354" s="259"/>
      <c r="G354" s="260"/>
      <c r="H354" s="260"/>
    </row>
    <row r="355" spans="1:8" x14ac:dyDescent="0.3">
      <c r="A355" s="258"/>
      <c r="B355" s="258"/>
      <c r="C355" s="258"/>
      <c r="D355" s="259"/>
      <c r="E355" s="259"/>
      <c r="F355" s="259"/>
      <c r="G355" s="260"/>
      <c r="H355" s="260"/>
    </row>
    <row r="356" spans="1:8" x14ac:dyDescent="0.3">
      <c r="A356" s="258"/>
      <c r="B356" s="258"/>
      <c r="C356" s="258"/>
      <c r="D356" s="259"/>
      <c r="E356" s="259"/>
      <c r="F356" s="259"/>
      <c r="G356" s="260"/>
      <c r="H356" s="260"/>
    </row>
    <row r="357" spans="1:8" x14ac:dyDescent="0.3">
      <c r="A357" s="258"/>
      <c r="B357" s="258"/>
      <c r="C357" s="258"/>
      <c r="D357" s="259"/>
      <c r="E357" s="259"/>
      <c r="F357" s="259"/>
      <c r="G357" s="260"/>
      <c r="H357" s="260"/>
    </row>
    <row r="358" spans="1:8" x14ac:dyDescent="0.3">
      <c r="A358" s="258"/>
      <c r="B358" s="258"/>
      <c r="C358" s="258"/>
      <c r="D358" s="259"/>
      <c r="E358" s="259"/>
      <c r="F358" s="259"/>
      <c r="G358" s="260"/>
      <c r="H358" s="260"/>
    </row>
    <row r="359" spans="1:8" x14ac:dyDescent="0.3">
      <c r="A359" s="258"/>
      <c r="B359" s="258"/>
      <c r="C359" s="258"/>
      <c r="D359" s="259"/>
      <c r="E359" s="259"/>
      <c r="F359" s="259"/>
      <c r="G359" s="260"/>
      <c r="H359" s="260"/>
    </row>
    <row r="360" spans="1:8" x14ac:dyDescent="0.3">
      <c r="A360" s="258"/>
      <c r="B360" s="258"/>
      <c r="C360" s="258"/>
      <c r="D360" s="259"/>
      <c r="E360" s="259"/>
      <c r="F360" s="259"/>
      <c r="G360" s="260"/>
      <c r="H360" s="260"/>
    </row>
    <row r="361" spans="1:8" x14ac:dyDescent="0.3">
      <c r="A361" s="258"/>
      <c r="B361" s="258"/>
      <c r="C361" s="258"/>
      <c r="D361" s="259"/>
      <c r="E361" s="259"/>
      <c r="F361" s="259"/>
      <c r="G361" s="260"/>
      <c r="H361" s="260"/>
    </row>
    <row r="362" spans="1:8" x14ac:dyDescent="0.3">
      <c r="A362" s="258"/>
      <c r="B362" s="258"/>
      <c r="C362" s="258"/>
      <c r="D362" s="259"/>
      <c r="E362" s="259"/>
      <c r="F362" s="259"/>
      <c r="G362" s="260"/>
      <c r="H362" s="260"/>
    </row>
    <row r="363" spans="1:8" x14ac:dyDescent="0.3">
      <c r="A363" s="258"/>
      <c r="B363" s="258"/>
      <c r="C363" s="258"/>
      <c r="D363" s="259"/>
      <c r="E363" s="259"/>
      <c r="F363" s="259"/>
      <c r="G363" s="260"/>
      <c r="H363" s="260"/>
    </row>
    <row r="364" spans="1:8" x14ac:dyDescent="0.3">
      <c r="A364" s="258"/>
      <c r="B364" s="258"/>
      <c r="C364" s="258"/>
      <c r="D364" s="259"/>
      <c r="E364" s="259"/>
      <c r="F364" s="259"/>
      <c r="G364" s="260"/>
      <c r="H364" s="260"/>
    </row>
    <row r="365" spans="1:8" x14ac:dyDescent="0.3">
      <c r="A365" s="258"/>
      <c r="B365" s="258"/>
      <c r="C365" s="258"/>
      <c r="D365" s="259"/>
      <c r="E365" s="259"/>
      <c r="F365" s="259"/>
      <c r="G365" s="260"/>
      <c r="H365" s="260"/>
    </row>
    <row r="366" spans="1:8" x14ac:dyDescent="0.3">
      <c r="A366" s="258"/>
      <c r="B366" s="258"/>
      <c r="C366" s="258"/>
      <c r="D366" s="259"/>
      <c r="E366" s="259"/>
      <c r="F366" s="259"/>
      <c r="G366" s="260"/>
      <c r="H366" s="260"/>
    </row>
    <row r="367" spans="1:8" x14ac:dyDescent="0.3">
      <c r="A367" s="258"/>
      <c r="B367" s="258"/>
      <c r="C367" s="258"/>
      <c r="D367" s="259"/>
      <c r="E367" s="259"/>
      <c r="F367" s="259"/>
      <c r="G367" s="260"/>
      <c r="H367" s="260"/>
    </row>
    <row r="368" spans="1:8" x14ac:dyDescent="0.3">
      <c r="A368" s="258"/>
      <c r="B368" s="258"/>
      <c r="C368" s="258"/>
      <c r="D368" s="259"/>
      <c r="E368" s="259"/>
      <c r="F368" s="259"/>
      <c r="G368" s="260"/>
      <c r="H368" s="260"/>
    </row>
    <row r="369" spans="1:8" x14ac:dyDescent="0.3">
      <c r="A369" s="258"/>
      <c r="B369" s="258"/>
      <c r="C369" s="258"/>
      <c r="D369" s="259"/>
      <c r="E369" s="259"/>
      <c r="F369" s="259"/>
      <c r="G369" s="260"/>
      <c r="H369" s="260"/>
    </row>
    <row r="370" spans="1:8" x14ac:dyDescent="0.3">
      <c r="A370" s="258"/>
      <c r="B370" s="258"/>
      <c r="C370" s="258"/>
      <c r="D370" s="259"/>
      <c r="E370" s="259"/>
      <c r="F370" s="259"/>
      <c r="G370" s="260"/>
      <c r="H370" s="260"/>
    </row>
    <row r="371" spans="1:8" x14ac:dyDescent="0.3">
      <c r="A371" s="258"/>
      <c r="B371" s="258"/>
      <c r="C371" s="258"/>
      <c r="D371" s="259"/>
      <c r="E371" s="259"/>
      <c r="F371" s="259"/>
      <c r="G371" s="260"/>
      <c r="H371" s="260"/>
    </row>
    <row r="372" spans="1:8" x14ac:dyDescent="0.3">
      <c r="A372" s="258"/>
      <c r="B372" s="258"/>
      <c r="C372" s="258"/>
      <c r="D372" s="259"/>
      <c r="E372" s="259"/>
      <c r="F372" s="259"/>
      <c r="G372" s="260"/>
      <c r="H372" s="260"/>
    </row>
    <row r="373" spans="1:8" x14ac:dyDescent="0.3">
      <c r="A373" s="258"/>
      <c r="B373" s="258"/>
      <c r="C373" s="258"/>
      <c r="D373" s="259"/>
      <c r="E373" s="259"/>
      <c r="F373" s="259"/>
      <c r="G373" s="260"/>
      <c r="H373" s="260"/>
    </row>
    <row r="374" spans="1:8" x14ac:dyDescent="0.3">
      <c r="A374" s="258"/>
      <c r="B374" s="258"/>
      <c r="C374" s="258"/>
      <c r="D374" s="259"/>
      <c r="E374" s="259"/>
      <c r="F374" s="259"/>
      <c r="G374" s="260"/>
      <c r="H374" s="260"/>
    </row>
    <row r="375" spans="1:8" x14ac:dyDescent="0.3">
      <c r="A375" s="258"/>
      <c r="B375" s="258"/>
      <c r="C375" s="258"/>
      <c r="D375" s="259"/>
      <c r="E375" s="259"/>
      <c r="F375" s="259"/>
      <c r="G375" s="260"/>
      <c r="H375" s="260"/>
    </row>
    <row r="376" spans="1:8" x14ac:dyDescent="0.3">
      <c r="A376" s="258"/>
      <c r="B376" s="258"/>
      <c r="C376" s="258"/>
      <c r="D376" s="259"/>
      <c r="E376" s="259"/>
      <c r="F376" s="259"/>
      <c r="G376" s="260"/>
      <c r="H376" s="260"/>
    </row>
    <row r="377" spans="1:8" x14ac:dyDescent="0.3">
      <c r="A377" s="258"/>
      <c r="B377" s="258"/>
      <c r="C377" s="258"/>
      <c r="D377" s="259"/>
      <c r="E377" s="259"/>
      <c r="F377" s="259"/>
      <c r="G377" s="260"/>
      <c r="H377" s="260"/>
    </row>
    <row r="378" spans="1:8" x14ac:dyDescent="0.3">
      <c r="A378" s="258"/>
      <c r="B378" s="258"/>
      <c r="C378" s="258"/>
      <c r="D378" s="259"/>
      <c r="E378" s="259"/>
      <c r="F378" s="259"/>
      <c r="G378" s="260"/>
      <c r="H378" s="260"/>
    </row>
    <row r="379" spans="1:8" x14ac:dyDescent="0.3">
      <c r="A379" s="258"/>
      <c r="B379" s="258"/>
      <c r="C379" s="258"/>
      <c r="D379" s="259"/>
      <c r="E379" s="259"/>
      <c r="F379" s="259"/>
      <c r="G379" s="260"/>
      <c r="H379" s="260"/>
    </row>
    <row r="380" spans="1:8" x14ac:dyDescent="0.3">
      <c r="A380" s="258"/>
      <c r="B380" s="258"/>
      <c r="C380" s="258"/>
      <c r="D380" s="259"/>
      <c r="E380" s="259"/>
      <c r="F380" s="259"/>
      <c r="G380" s="260"/>
      <c r="H380" s="260"/>
    </row>
    <row r="381" spans="1:8" x14ac:dyDescent="0.3">
      <c r="A381" s="258"/>
      <c r="B381" s="258"/>
      <c r="C381" s="258"/>
      <c r="D381" s="259"/>
      <c r="E381" s="259"/>
      <c r="F381" s="259"/>
      <c r="G381" s="260"/>
      <c r="H381" s="260"/>
    </row>
    <row r="382" spans="1:8" x14ac:dyDescent="0.3">
      <c r="A382" s="258"/>
      <c r="B382" s="258"/>
      <c r="C382" s="258"/>
      <c r="D382" s="259"/>
      <c r="E382" s="259"/>
      <c r="F382" s="259"/>
      <c r="G382" s="260"/>
      <c r="H382" s="260"/>
    </row>
    <row r="383" spans="1:8" x14ac:dyDescent="0.3">
      <c r="A383" s="258"/>
      <c r="B383" s="258"/>
      <c r="C383" s="258"/>
      <c r="D383" s="259"/>
      <c r="E383" s="259"/>
      <c r="F383" s="259"/>
      <c r="G383" s="260"/>
      <c r="H383" s="260"/>
    </row>
    <row r="384" spans="1:8" x14ac:dyDescent="0.3">
      <c r="A384" s="258"/>
      <c r="B384" s="258"/>
      <c r="C384" s="258"/>
      <c r="D384" s="259"/>
      <c r="E384" s="259"/>
      <c r="F384" s="259"/>
      <c r="G384" s="260"/>
      <c r="H384" s="260"/>
    </row>
    <row r="385" spans="1:8" x14ac:dyDescent="0.3">
      <c r="A385" s="258"/>
      <c r="B385" s="258"/>
      <c r="C385" s="258"/>
      <c r="D385" s="259"/>
      <c r="E385" s="259"/>
      <c r="F385" s="259"/>
      <c r="G385" s="260"/>
      <c r="H385" s="260"/>
    </row>
    <row r="386" spans="1:8" x14ac:dyDescent="0.3">
      <c r="A386" s="258"/>
      <c r="B386" s="258"/>
      <c r="C386" s="258"/>
      <c r="D386" s="259"/>
      <c r="E386" s="259"/>
      <c r="F386" s="259"/>
      <c r="G386" s="260"/>
      <c r="H386" s="260"/>
    </row>
    <row r="387" spans="1:8" x14ac:dyDescent="0.3">
      <c r="A387" s="258"/>
      <c r="B387" s="258"/>
      <c r="C387" s="258"/>
      <c r="D387" s="259"/>
      <c r="E387" s="259"/>
      <c r="F387" s="259"/>
      <c r="G387" s="260"/>
      <c r="H387" s="260"/>
    </row>
    <row r="388" spans="1:8" x14ac:dyDescent="0.3">
      <c r="A388" s="258"/>
      <c r="B388" s="258"/>
      <c r="C388" s="258"/>
      <c r="D388" s="259"/>
      <c r="E388" s="259"/>
      <c r="F388" s="259"/>
      <c r="G388" s="260"/>
      <c r="H388" s="260"/>
    </row>
    <row r="389" spans="1:8" x14ac:dyDescent="0.3">
      <c r="A389" s="258"/>
      <c r="B389" s="258"/>
      <c r="C389" s="258"/>
      <c r="D389" s="259"/>
      <c r="E389" s="259"/>
      <c r="F389" s="259"/>
      <c r="G389" s="260"/>
      <c r="H389" s="260"/>
    </row>
    <row r="390" spans="1:8" x14ac:dyDescent="0.3">
      <c r="A390" s="258"/>
      <c r="B390" s="258"/>
      <c r="C390" s="258"/>
      <c r="D390" s="259"/>
      <c r="E390" s="259"/>
      <c r="F390" s="259"/>
      <c r="G390" s="260"/>
      <c r="H390" s="260"/>
    </row>
    <row r="391" spans="1:8" x14ac:dyDescent="0.3">
      <c r="A391" s="258"/>
      <c r="B391" s="258"/>
      <c r="C391" s="258"/>
      <c r="D391" s="259"/>
      <c r="E391" s="259"/>
      <c r="F391" s="259"/>
      <c r="G391" s="260"/>
      <c r="H391" s="260"/>
    </row>
    <row r="392" spans="1:8" x14ac:dyDescent="0.3">
      <c r="A392" s="258"/>
      <c r="B392" s="258"/>
      <c r="C392" s="258"/>
      <c r="D392" s="259"/>
      <c r="E392" s="259"/>
      <c r="F392" s="259"/>
      <c r="G392" s="260"/>
      <c r="H392" s="260"/>
    </row>
    <row r="393" spans="1:8" x14ac:dyDescent="0.3">
      <c r="A393" s="258"/>
      <c r="B393" s="258"/>
      <c r="C393" s="258"/>
      <c r="D393" s="259"/>
      <c r="E393" s="259"/>
      <c r="F393" s="259"/>
      <c r="G393" s="260"/>
      <c r="H393" s="260"/>
    </row>
    <row r="394" spans="1:8" x14ac:dyDescent="0.3">
      <c r="A394" s="258"/>
      <c r="B394" s="258"/>
      <c r="C394" s="258"/>
      <c r="D394" s="259"/>
      <c r="E394" s="259"/>
      <c r="F394" s="259"/>
      <c r="G394" s="260"/>
      <c r="H394" s="260"/>
    </row>
    <row r="395" spans="1:8" x14ac:dyDescent="0.3">
      <c r="A395" s="258"/>
      <c r="B395" s="258"/>
      <c r="C395" s="258"/>
      <c r="D395" s="259"/>
      <c r="E395" s="259"/>
      <c r="F395" s="259"/>
      <c r="G395" s="260"/>
      <c r="H395" s="260"/>
    </row>
    <row r="396" spans="1:8" x14ac:dyDescent="0.3">
      <c r="A396" s="258"/>
      <c r="B396" s="258"/>
      <c r="C396" s="258"/>
      <c r="D396" s="259"/>
      <c r="E396" s="259"/>
      <c r="F396" s="259"/>
      <c r="G396" s="260"/>
      <c r="H396" s="260"/>
    </row>
    <row r="397" spans="1:8" x14ac:dyDescent="0.3">
      <c r="A397" s="258"/>
      <c r="B397" s="258"/>
      <c r="C397" s="258"/>
      <c r="D397" s="259"/>
      <c r="E397" s="259"/>
      <c r="F397" s="259"/>
      <c r="G397" s="260"/>
      <c r="H397" s="260"/>
    </row>
    <row r="398" spans="1:8" x14ac:dyDescent="0.3">
      <c r="A398" s="258"/>
      <c r="B398" s="258"/>
      <c r="C398" s="258"/>
      <c r="D398" s="259"/>
      <c r="E398" s="259"/>
      <c r="F398" s="259"/>
      <c r="G398" s="260"/>
      <c r="H398" s="260"/>
    </row>
    <row r="399" spans="1:8" x14ac:dyDescent="0.3">
      <c r="A399" s="258"/>
      <c r="B399" s="258"/>
      <c r="C399" s="258"/>
      <c r="D399" s="259"/>
      <c r="E399" s="259"/>
      <c r="F399" s="259"/>
      <c r="G399" s="260"/>
      <c r="H399" s="260"/>
    </row>
    <row r="400" spans="1:8" x14ac:dyDescent="0.3">
      <c r="A400" s="258"/>
      <c r="B400" s="258"/>
      <c r="C400" s="258"/>
      <c r="D400" s="259"/>
      <c r="E400" s="259"/>
      <c r="F400" s="259"/>
      <c r="G400" s="260"/>
      <c r="H400" s="260"/>
    </row>
    <row r="401" spans="1:8" x14ac:dyDescent="0.3">
      <c r="A401" s="258"/>
      <c r="B401" s="258"/>
      <c r="C401" s="258"/>
      <c r="D401" s="259"/>
      <c r="E401" s="259"/>
      <c r="F401" s="259"/>
      <c r="G401" s="260"/>
      <c r="H401" s="260"/>
    </row>
    <row r="402" spans="1:8" x14ac:dyDescent="0.3">
      <c r="A402" s="258"/>
      <c r="B402" s="258"/>
      <c r="C402" s="258"/>
      <c r="D402" s="259"/>
      <c r="E402" s="259"/>
      <c r="F402" s="259"/>
      <c r="G402" s="260"/>
      <c r="H402" s="260"/>
    </row>
    <row r="403" spans="1:8" x14ac:dyDescent="0.3">
      <c r="A403" s="258"/>
      <c r="B403" s="258"/>
      <c r="C403" s="258"/>
      <c r="D403" s="259"/>
      <c r="E403" s="259"/>
      <c r="F403" s="259"/>
      <c r="G403" s="260"/>
      <c r="H403" s="260"/>
    </row>
    <row r="404" spans="1:8" x14ac:dyDescent="0.3">
      <c r="A404" s="258"/>
      <c r="B404" s="258"/>
      <c r="C404" s="258"/>
      <c r="D404" s="259"/>
      <c r="E404" s="259"/>
      <c r="F404" s="259"/>
      <c r="G404" s="260"/>
      <c r="H404" s="260"/>
    </row>
    <row r="405" spans="1:8" x14ac:dyDescent="0.3">
      <c r="A405" s="258"/>
      <c r="B405" s="258"/>
      <c r="C405" s="258"/>
      <c r="D405" s="259"/>
      <c r="E405" s="259"/>
      <c r="F405" s="259"/>
      <c r="G405" s="260"/>
      <c r="H405" s="260"/>
    </row>
    <row r="406" spans="1:8" x14ac:dyDescent="0.3">
      <c r="A406" s="258"/>
      <c r="B406" s="258"/>
      <c r="C406" s="258"/>
      <c r="D406" s="259"/>
      <c r="E406" s="259"/>
      <c r="F406" s="259"/>
      <c r="G406" s="260"/>
      <c r="H406" s="260"/>
    </row>
    <row r="407" spans="1:8" x14ac:dyDescent="0.3">
      <c r="A407" s="258"/>
      <c r="B407" s="258"/>
      <c r="C407" s="258"/>
      <c r="D407" s="259"/>
      <c r="E407" s="259"/>
      <c r="F407" s="259"/>
      <c r="G407" s="260"/>
      <c r="H407" s="260"/>
    </row>
    <row r="408" spans="1:8" x14ac:dyDescent="0.3">
      <c r="A408" s="258"/>
      <c r="B408" s="258"/>
      <c r="C408" s="258"/>
      <c r="D408" s="259"/>
      <c r="E408" s="259"/>
      <c r="F408" s="259"/>
      <c r="G408" s="260"/>
      <c r="H408" s="260"/>
    </row>
    <row r="409" spans="1:8" x14ac:dyDescent="0.3">
      <c r="A409" s="258"/>
      <c r="B409" s="258"/>
      <c r="C409" s="258"/>
      <c r="D409" s="259"/>
      <c r="E409" s="259"/>
      <c r="F409" s="259"/>
      <c r="G409" s="260"/>
      <c r="H409" s="260"/>
    </row>
    <row r="410" spans="1:8" x14ac:dyDescent="0.3">
      <c r="A410" s="258"/>
      <c r="B410" s="258"/>
      <c r="C410" s="258"/>
      <c r="D410" s="259"/>
      <c r="E410" s="259"/>
      <c r="F410" s="259"/>
      <c r="G410" s="260"/>
      <c r="H410" s="260"/>
    </row>
    <row r="411" spans="1:8" x14ac:dyDescent="0.3">
      <c r="A411" s="258"/>
      <c r="B411" s="258"/>
      <c r="C411" s="258"/>
      <c r="D411" s="259"/>
      <c r="E411" s="259"/>
      <c r="F411" s="259"/>
      <c r="G411" s="260"/>
      <c r="H411" s="260"/>
    </row>
    <row r="412" spans="1:8" x14ac:dyDescent="0.3">
      <c r="A412" s="258"/>
      <c r="B412" s="258"/>
      <c r="C412" s="258"/>
      <c r="D412" s="259"/>
      <c r="E412" s="259"/>
      <c r="F412" s="259"/>
      <c r="G412" s="260"/>
      <c r="H412" s="260"/>
    </row>
    <row r="413" spans="1:8" x14ac:dyDescent="0.3">
      <c r="A413" s="258"/>
      <c r="B413" s="258"/>
      <c r="C413" s="258"/>
      <c r="D413" s="259"/>
      <c r="E413" s="259"/>
      <c r="F413" s="259"/>
      <c r="G413" s="260"/>
      <c r="H413" s="260"/>
    </row>
    <row r="414" spans="1:8" x14ac:dyDescent="0.3">
      <c r="A414" s="258"/>
      <c r="B414" s="258"/>
      <c r="C414" s="258"/>
      <c r="D414" s="259"/>
      <c r="E414" s="259"/>
      <c r="F414" s="259"/>
      <c r="G414" s="260"/>
      <c r="H414" s="260"/>
    </row>
    <row r="415" spans="1:8" x14ac:dyDescent="0.3">
      <c r="A415" s="258"/>
      <c r="B415" s="258"/>
      <c r="C415" s="258"/>
      <c r="D415" s="259"/>
      <c r="E415" s="259"/>
      <c r="F415" s="259"/>
      <c r="G415" s="260"/>
      <c r="H415" s="260"/>
    </row>
    <row r="416" spans="1:8" x14ac:dyDescent="0.3">
      <c r="A416" s="258"/>
      <c r="B416" s="258"/>
      <c r="C416" s="258"/>
      <c r="D416" s="259"/>
      <c r="E416" s="259"/>
      <c r="F416" s="259"/>
      <c r="G416" s="260"/>
      <c r="H416" s="260"/>
    </row>
    <row r="417" spans="1:8" x14ac:dyDescent="0.3">
      <c r="A417" s="258"/>
      <c r="B417" s="258"/>
      <c r="C417" s="258"/>
      <c r="D417" s="259"/>
      <c r="E417" s="259"/>
      <c r="F417" s="259"/>
      <c r="G417" s="260"/>
      <c r="H417" s="260"/>
    </row>
    <row r="418" spans="1:8" x14ac:dyDescent="0.3">
      <c r="A418" s="258"/>
      <c r="B418" s="258"/>
      <c r="C418" s="258"/>
      <c r="D418" s="259"/>
      <c r="E418" s="259"/>
      <c r="F418" s="259"/>
      <c r="G418" s="260"/>
      <c r="H418" s="260"/>
    </row>
    <row r="419" spans="1:8" x14ac:dyDescent="0.3">
      <c r="A419" s="258"/>
      <c r="B419" s="258"/>
      <c r="C419" s="258"/>
      <c r="D419" s="259"/>
      <c r="E419" s="259"/>
      <c r="F419" s="259"/>
      <c r="G419" s="260"/>
      <c r="H419" s="260"/>
    </row>
    <row r="420" spans="1:8" x14ac:dyDescent="0.3">
      <c r="A420" s="258"/>
      <c r="B420" s="258"/>
      <c r="C420" s="258"/>
      <c r="D420" s="259"/>
      <c r="E420" s="259"/>
      <c r="F420" s="259"/>
      <c r="G420" s="260"/>
      <c r="H420" s="260"/>
    </row>
    <row r="421" spans="1:8" x14ac:dyDescent="0.3">
      <c r="A421" s="258"/>
      <c r="B421" s="258"/>
      <c r="C421" s="258"/>
      <c r="D421" s="259"/>
      <c r="E421" s="259"/>
      <c r="F421" s="259"/>
      <c r="G421" s="260"/>
      <c r="H421" s="260"/>
    </row>
    <row r="422" spans="1:8" x14ac:dyDescent="0.3">
      <c r="A422" s="258"/>
      <c r="B422" s="258"/>
      <c r="C422" s="258"/>
      <c r="D422" s="259"/>
      <c r="E422" s="259"/>
      <c r="F422" s="259"/>
      <c r="G422" s="260"/>
      <c r="H422" s="260"/>
    </row>
    <row r="423" spans="1:8" x14ac:dyDescent="0.3">
      <c r="A423" s="258"/>
      <c r="B423" s="258"/>
      <c r="C423" s="258"/>
      <c r="D423" s="259"/>
      <c r="E423" s="259"/>
      <c r="F423" s="259"/>
      <c r="G423" s="260"/>
      <c r="H423" s="260"/>
    </row>
    <row r="424" spans="1:8" x14ac:dyDescent="0.3">
      <c r="A424" s="258"/>
      <c r="B424" s="258"/>
      <c r="C424" s="258"/>
      <c r="D424" s="259"/>
      <c r="E424" s="259"/>
      <c r="F424" s="259"/>
      <c r="G424" s="260"/>
      <c r="H424" s="260"/>
    </row>
    <row r="425" spans="1:8" x14ac:dyDescent="0.3">
      <c r="A425" s="258"/>
      <c r="B425" s="258"/>
      <c r="C425" s="258"/>
      <c r="D425" s="259"/>
      <c r="E425" s="259"/>
      <c r="F425" s="259"/>
      <c r="G425" s="260"/>
      <c r="H425" s="260"/>
    </row>
    <row r="426" spans="1:8" x14ac:dyDescent="0.3">
      <c r="A426" s="258"/>
      <c r="B426" s="258"/>
      <c r="C426" s="258"/>
      <c r="D426" s="259"/>
      <c r="E426" s="259"/>
      <c r="F426" s="259"/>
      <c r="G426" s="260"/>
      <c r="H426" s="260"/>
    </row>
    <row r="427" spans="1:8" x14ac:dyDescent="0.3">
      <c r="A427" s="258"/>
      <c r="B427" s="258"/>
      <c r="C427" s="258"/>
      <c r="D427" s="259"/>
      <c r="E427" s="259"/>
      <c r="F427" s="259"/>
      <c r="G427" s="260"/>
      <c r="H427" s="260"/>
    </row>
    <row r="428" spans="1:8" x14ac:dyDescent="0.3">
      <c r="A428" s="258"/>
      <c r="B428" s="258"/>
      <c r="C428" s="258"/>
      <c r="D428" s="259"/>
      <c r="E428" s="259"/>
      <c r="F428" s="259"/>
      <c r="G428" s="260"/>
      <c r="H428" s="260"/>
    </row>
    <row r="429" spans="1:8" x14ac:dyDescent="0.3">
      <c r="A429" s="258"/>
      <c r="B429" s="258"/>
      <c r="C429" s="258"/>
      <c r="D429" s="259"/>
      <c r="E429" s="259"/>
      <c r="F429" s="259"/>
      <c r="G429" s="260"/>
      <c r="H429" s="260"/>
    </row>
    <row r="430" spans="1:8" x14ac:dyDescent="0.3">
      <c r="A430" s="258"/>
      <c r="B430" s="258"/>
      <c r="C430" s="258"/>
      <c r="D430" s="259"/>
      <c r="E430" s="259"/>
      <c r="F430" s="259"/>
      <c r="G430" s="260"/>
      <c r="H430" s="260"/>
    </row>
    <row r="431" spans="1:8" x14ac:dyDescent="0.3">
      <c r="A431" s="258"/>
      <c r="B431" s="258"/>
      <c r="C431" s="258"/>
      <c r="D431" s="259"/>
      <c r="E431" s="259"/>
      <c r="F431" s="259"/>
      <c r="G431" s="260"/>
      <c r="H431" s="260"/>
    </row>
    <row r="432" spans="1:8" x14ac:dyDescent="0.3">
      <c r="A432" s="258"/>
      <c r="B432" s="258"/>
      <c r="C432" s="258"/>
      <c r="D432" s="259"/>
      <c r="E432" s="259"/>
      <c r="F432" s="259"/>
      <c r="G432" s="260"/>
      <c r="H432" s="260"/>
    </row>
    <row r="433" spans="1:8" x14ac:dyDescent="0.3">
      <c r="A433" s="258"/>
      <c r="B433" s="258"/>
      <c r="C433" s="258"/>
      <c r="D433" s="259"/>
      <c r="E433" s="259"/>
      <c r="F433" s="259"/>
      <c r="G433" s="260"/>
      <c r="H433" s="260"/>
    </row>
    <row r="434" spans="1:8" x14ac:dyDescent="0.3">
      <c r="A434" s="258"/>
      <c r="B434" s="258"/>
      <c r="C434" s="258"/>
      <c r="D434" s="259"/>
      <c r="E434" s="259"/>
      <c r="F434" s="259"/>
      <c r="G434" s="260"/>
      <c r="H434" s="260"/>
    </row>
    <row r="435" spans="1:8" x14ac:dyDescent="0.3">
      <c r="A435" s="258"/>
      <c r="B435" s="258"/>
      <c r="C435" s="258"/>
      <c r="D435" s="259"/>
      <c r="E435" s="259"/>
      <c r="F435" s="259"/>
      <c r="G435" s="260"/>
      <c r="H435" s="260"/>
    </row>
    <row r="436" spans="1:8" x14ac:dyDescent="0.3">
      <c r="A436" s="258"/>
      <c r="B436" s="258"/>
      <c r="C436" s="258"/>
      <c r="D436" s="259"/>
      <c r="E436" s="259"/>
      <c r="F436" s="259"/>
      <c r="G436" s="260"/>
      <c r="H436" s="260"/>
    </row>
    <row r="437" spans="1:8" x14ac:dyDescent="0.3">
      <c r="A437" s="258"/>
      <c r="B437" s="258"/>
      <c r="C437" s="258"/>
      <c r="D437" s="259"/>
      <c r="E437" s="259"/>
      <c r="F437" s="259"/>
      <c r="G437" s="260"/>
      <c r="H437" s="260"/>
    </row>
    <row r="438" spans="1:8" x14ac:dyDescent="0.3">
      <c r="A438" s="258"/>
      <c r="B438" s="258"/>
      <c r="C438" s="258"/>
      <c r="D438" s="259"/>
      <c r="E438" s="259"/>
      <c r="F438" s="259"/>
      <c r="G438" s="260"/>
      <c r="H438" s="260"/>
    </row>
    <row r="439" spans="1:8" x14ac:dyDescent="0.3">
      <c r="A439" s="258"/>
      <c r="B439" s="258"/>
      <c r="C439" s="258"/>
      <c r="D439" s="259"/>
      <c r="E439" s="259"/>
      <c r="F439" s="259"/>
      <c r="G439" s="260"/>
      <c r="H439" s="260"/>
    </row>
    <row r="440" spans="1:8" x14ac:dyDescent="0.3">
      <c r="A440" s="258"/>
      <c r="B440" s="258"/>
      <c r="C440" s="258"/>
      <c r="D440" s="259"/>
      <c r="E440" s="259"/>
      <c r="F440" s="259"/>
      <c r="G440" s="260"/>
      <c r="H440" s="260"/>
    </row>
    <row r="441" spans="1:8" x14ac:dyDescent="0.3">
      <c r="A441" s="258"/>
      <c r="B441" s="258"/>
      <c r="C441" s="258"/>
      <c r="D441" s="259"/>
      <c r="E441" s="259"/>
      <c r="F441" s="259"/>
      <c r="G441" s="260"/>
      <c r="H441" s="260"/>
    </row>
    <row r="442" spans="1:8" x14ac:dyDescent="0.3">
      <c r="A442" s="258"/>
      <c r="B442" s="258"/>
      <c r="C442" s="258"/>
      <c r="D442" s="259"/>
      <c r="E442" s="259"/>
      <c r="F442" s="259"/>
      <c r="G442" s="260"/>
      <c r="H442" s="260"/>
    </row>
    <row r="443" spans="1:8" x14ac:dyDescent="0.3">
      <c r="A443" s="258"/>
      <c r="B443" s="258"/>
      <c r="C443" s="258"/>
      <c r="D443" s="259"/>
      <c r="E443" s="259"/>
      <c r="F443" s="259"/>
      <c r="G443" s="260"/>
      <c r="H443" s="260"/>
    </row>
    <row r="444" spans="1:8" x14ac:dyDescent="0.3">
      <c r="A444" s="258"/>
      <c r="B444" s="258"/>
      <c r="C444" s="258"/>
      <c r="D444" s="259"/>
      <c r="E444" s="259"/>
      <c r="F444" s="259"/>
      <c r="G444" s="260"/>
      <c r="H444" s="260"/>
    </row>
    <row r="445" spans="1:8" x14ac:dyDescent="0.3">
      <c r="A445" s="262"/>
      <c r="B445" s="262"/>
      <c r="C445" s="262"/>
      <c r="D445" s="263"/>
      <c r="E445" s="263"/>
      <c r="F445" s="263"/>
      <c r="G445" s="264"/>
      <c r="H445" s="264"/>
    </row>
    <row r="446" spans="1:8" x14ac:dyDescent="0.3">
      <c r="A446" s="258"/>
      <c r="B446" s="258"/>
      <c r="C446" s="258"/>
      <c r="D446" s="259"/>
      <c r="E446" s="259"/>
      <c r="F446" s="259"/>
      <c r="G446" s="260"/>
      <c r="H446" s="260"/>
    </row>
    <row r="447" spans="1:8" x14ac:dyDescent="0.3">
      <c r="A447" s="258"/>
      <c r="B447" s="258"/>
      <c r="C447" s="258"/>
      <c r="D447" s="259"/>
      <c r="E447" s="259"/>
      <c r="F447" s="259"/>
      <c r="G447" s="260"/>
      <c r="H447" s="260"/>
    </row>
    <row r="448" spans="1:8" x14ac:dyDescent="0.3">
      <c r="A448" s="258"/>
      <c r="B448" s="258"/>
      <c r="C448" s="258"/>
      <c r="D448" s="259"/>
      <c r="E448" s="259"/>
      <c r="F448" s="259"/>
      <c r="G448" s="260"/>
      <c r="H448" s="260"/>
    </row>
    <row r="449" spans="1:8" x14ac:dyDescent="0.3">
      <c r="A449" s="258"/>
      <c r="B449" s="258"/>
      <c r="C449" s="258"/>
      <c r="D449" s="259"/>
      <c r="E449" s="259"/>
      <c r="F449" s="259"/>
      <c r="G449" s="260"/>
      <c r="H449" s="260"/>
    </row>
    <row r="450" spans="1:8" x14ac:dyDescent="0.3">
      <c r="A450" s="258"/>
      <c r="B450" s="258"/>
      <c r="C450" s="258"/>
      <c r="D450" s="259"/>
      <c r="E450" s="259"/>
      <c r="F450" s="259"/>
      <c r="G450" s="260"/>
      <c r="H450" s="260"/>
    </row>
    <row r="451" spans="1:8" x14ac:dyDescent="0.3">
      <c r="A451" s="258"/>
      <c r="B451" s="258"/>
      <c r="C451" s="258"/>
      <c r="D451" s="259"/>
      <c r="E451" s="259"/>
      <c r="F451" s="259"/>
      <c r="G451" s="260"/>
      <c r="H451" s="260"/>
    </row>
    <row r="452" spans="1:8" x14ac:dyDescent="0.3">
      <c r="A452" s="258"/>
      <c r="B452" s="258"/>
      <c r="C452" s="258"/>
      <c r="D452" s="259"/>
      <c r="E452" s="259"/>
      <c r="F452" s="259"/>
      <c r="G452" s="260"/>
      <c r="H452" s="260"/>
    </row>
    <row r="453" spans="1:8" x14ac:dyDescent="0.3">
      <c r="A453" s="258"/>
      <c r="B453" s="258"/>
      <c r="C453" s="258"/>
      <c r="D453" s="259"/>
      <c r="E453" s="259"/>
      <c r="F453" s="259"/>
      <c r="G453" s="260"/>
      <c r="H453" s="260"/>
    </row>
    <row r="454" spans="1:8" x14ac:dyDescent="0.3">
      <c r="A454" s="258"/>
      <c r="B454" s="258"/>
      <c r="C454" s="258"/>
      <c r="D454" s="259"/>
      <c r="E454" s="259"/>
      <c r="F454" s="259"/>
      <c r="G454" s="260"/>
      <c r="H454" s="260"/>
    </row>
    <row r="455" spans="1:8" x14ac:dyDescent="0.3">
      <c r="A455" s="258"/>
      <c r="B455" s="258"/>
      <c r="C455" s="258"/>
      <c r="D455" s="259"/>
      <c r="E455" s="259"/>
      <c r="F455" s="259"/>
      <c r="G455" s="260"/>
      <c r="H455" s="260"/>
    </row>
    <row r="456" spans="1:8" x14ac:dyDescent="0.3">
      <c r="A456" s="258"/>
      <c r="B456" s="258"/>
      <c r="C456" s="258"/>
      <c r="D456" s="259"/>
      <c r="E456" s="259"/>
      <c r="F456" s="259"/>
      <c r="G456" s="260"/>
      <c r="H456" s="260"/>
    </row>
    <row r="457" spans="1:8" x14ac:dyDescent="0.3">
      <c r="A457" s="258"/>
      <c r="B457" s="258"/>
      <c r="C457" s="258"/>
      <c r="D457" s="259"/>
      <c r="E457" s="259"/>
      <c r="F457" s="259"/>
      <c r="G457" s="260"/>
      <c r="H457" s="260"/>
    </row>
    <row r="458" spans="1:8" x14ac:dyDescent="0.3">
      <c r="A458" s="258"/>
      <c r="B458" s="258"/>
      <c r="C458" s="258"/>
      <c r="D458" s="259"/>
      <c r="E458" s="259"/>
      <c r="F458" s="259"/>
      <c r="G458" s="260"/>
      <c r="H458" s="260"/>
    </row>
    <row r="459" spans="1:8" x14ac:dyDescent="0.3">
      <c r="A459" s="258"/>
      <c r="B459" s="258"/>
      <c r="C459" s="258"/>
      <c r="D459" s="259"/>
      <c r="E459" s="259"/>
      <c r="F459" s="259"/>
      <c r="G459" s="260"/>
      <c r="H459" s="260"/>
    </row>
    <row r="460" spans="1:8" x14ac:dyDescent="0.3">
      <c r="A460" s="258"/>
      <c r="B460" s="258"/>
      <c r="C460" s="258"/>
      <c r="D460" s="259"/>
      <c r="E460" s="259"/>
      <c r="F460" s="259"/>
      <c r="G460" s="260"/>
      <c r="H460" s="260"/>
    </row>
    <row r="461" spans="1:8" x14ac:dyDescent="0.3">
      <c r="A461" s="258"/>
      <c r="B461" s="258"/>
      <c r="C461" s="258"/>
      <c r="D461" s="259"/>
      <c r="E461" s="259"/>
      <c r="F461" s="259"/>
      <c r="G461" s="260"/>
      <c r="H461" s="260"/>
    </row>
    <row r="462" spans="1:8" x14ac:dyDescent="0.3">
      <c r="A462" s="258"/>
      <c r="B462" s="258"/>
      <c r="C462" s="258"/>
      <c r="D462" s="259"/>
      <c r="E462" s="259"/>
      <c r="F462" s="259"/>
      <c r="G462" s="260"/>
      <c r="H462" s="260"/>
    </row>
    <row r="463" spans="1:8" x14ac:dyDescent="0.3">
      <c r="A463" s="258"/>
      <c r="B463" s="258"/>
      <c r="C463" s="258"/>
      <c r="D463" s="259"/>
      <c r="E463" s="259"/>
      <c r="F463" s="259"/>
      <c r="G463" s="260"/>
      <c r="H463" s="260"/>
    </row>
    <row r="464" spans="1:8" x14ac:dyDescent="0.3">
      <c r="A464" s="258"/>
      <c r="B464" s="258"/>
      <c r="C464" s="258"/>
      <c r="D464" s="259"/>
      <c r="E464" s="259"/>
      <c r="F464" s="259"/>
      <c r="G464" s="260"/>
      <c r="H464" s="260"/>
    </row>
    <row r="465" spans="1:8" x14ac:dyDescent="0.3">
      <c r="A465" s="258"/>
      <c r="B465" s="258"/>
      <c r="C465" s="258"/>
      <c r="D465" s="259"/>
      <c r="E465" s="259"/>
      <c r="F465" s="259"/>
      <c r="G465" s="260"/>
      <c r="H465" s="260"/>
    </row>
    <row r="466" spans="1:8" x14ac:dyDescent="0.3">
      <c r="A466" s="258"/>
      <c r="B466" s="258"/>
      <c r="C466" s="258"/>
      <c r="D466" s="259"/>
      <c r="E466" s="259"/>
      <c r="F466" s="259"/>
      <c r="G466" s="260"/>
      <c r="H466" s="260"/>
    </row>
    <row r="467" spans="1:8" x14ac:dyDescent="0.3">
      <c r="A467" s="258"/>
      <c r="B467" s="258"/>
      <c r="C467" s="258"/>
      <c r="D467" s="259"/>
      <c r="E467" s="259"/>
      <c r="F467" s="259"/>
      <c r="G467" s="260"/>
      <c r="H467" s="260"/>
    </row>
    <row r="468" spans="1:8" x14ac:dyDescent="0.3">
      <c r="A468" s="258"/>
      <c r="B468" s="258"/>
      <c r="C468" s="258"/>
      <c r="D468" s="259"/>
      <c r="E468" s="259"/>
      <c r="F468" s="259"/>
      <c r="G468" s="260"/>
      <c r="H468" s="260"/>
    </row>
    <row r="469" spans="1:8" x14ac:dyDescent="0.3">
      <c r="A469" s="258"/>
      <c r="B469" s="258"/>
      <c r="C469" s="258"/>
      <c r="D469" s="259"/>
      <c r="E469" s="259"/>
      <c r="F469" s="259"/>
      <c r="G469" s="260"/>
      <c r="H469" s="260"/>
    </row>
    <row r="470" spans="1:8" x14ac:dyDescent="0.3">
      <c r="A470" s="258"/>
      <c r="B470" s="258"/>
      <c r="C470" s="258"/>
      <c r="D470" s="259"/>
      <c r="E470" s="259"/>
      <c r="F470" s="259"/>
      <c r="G470" s="260"/>
      <c r="H470" s="260"/>
    </row>
    <row r="471" spans="1:8" x14ac:dyDescent="0.3">
      <c r="A471" s="258"/>
      <c r="B471" s="258"/>
      <c r="C471" s="258"/>
      <c r="D471" s="259"/>
      <c r="E471" s="259"/>
      <c r="F471" s="259"/>
      <c r="G471" s="260"/>
      <c r="H471" s="260"/>
    </row>
    <row r="472" spans="1:8" x14ac:dyDescent="0.3">
      <c r="A472" s="258"/>
      <c r="B472" s="258"/>
      <c r="C472" s="258"/>
      <c r="D472" s="259"/>
      <c r="E472" s="259"/>
      <c r="F472" s="259"/>
      <c r="G472" s="260"/>
      <c r="H472" s="260"/>
    </row>
    <row r="473" spans="1:8" x14ac:dyDescent="0.3">
      <c r="A473" s="258"/>
      <c r="B473" s="258"/>
      <c r="C473" s="258"/>
      <c r="D473" s="259"/>
      <c r="E473" s="259"/>
      <c r="F473" s="259"/>
      <c r="G473" s="260"/>
      <c r="H473" s="260"/>
    </row>
    <row r="474" spans="1:8" x14ac:dyDescent="0.3">
      <c r="A474" s="258"/>
      <c r="B474" s="258"/>
      <c r="C474" s="258"/>
      <c r="D474" s="259"/>
      <c r="E474" s="259"/>
      <c r="F474" s="259"/>
      <c r="G474" s="260"/>
      <c r="H474" s="260"/>
    </row>
    <row r="475" spans="1:8" x14ac:dyDescent="0.3">
      <c r="A475" s="258"/>
      <c r="B475" s="258"/>
      <c r="C475" s="258"/>
      <c r="D475" s="259"/>
      <c r="E475" s="259"/>
      <c r="F475" s="259"/>
      <c r="G475" s="260"/>
      <c r="H475" s="260"/>
    </row>
    <row r="476" spans="1:8" x14ac:dyDescent="0.3">
      <c r="A476" s="258"/>
      <c r="B476" s="258"/>
      <c r="C476" s="258"/>
      <c r="D476" s="259"/>
      <c r="E476" s="259"/>
      <c r="F476" s="259"/>
      <c r="G476" s="260"/>
      <c r="H476" s="260"/>
    </row>
    <row r="477" spans="1:8" x14ac:dyDescent="0.3">
      <c r="A477" s="258"/>
      <c r="B477" s="258"/>
      <c r="C477" s="258"/>
      <c r="D477" s="259"/>
      <c r="E477" s="259"/>
      <c r="F477" s="259"/>
      <c r="G477" s="260"/>
      <c r="H477" s="260"/>
    </row>
    <row r="478" spans="1:8" x14ac:dyDescent="0.3">
      <c r="A478" s="258"/>
      <c r="B478" s="258"/>
      <c r="C478" s="258"/>
      <c r="D478" s="259"/>
      <c r="E478" s="259"/>
      <c r="F478" s="259"/>
      <c r="G478" s="260"/>
      <c r="H478" s="260"/>
    </row>
    <row r="479" spans="1:8" x14ac:dyDescent="0.3">
      <c r="A479" s="258"/>
      <c r="B479" s="258"/>
      <c r="C479" s="258"/>
      <c r="D479" s="259"/>
      <c r="E479" s="259"/>
      <c r="F479" s="259"/>
      <c r="G479" s="260"/>
      <c r="H479" s="260"/>
    </row>
    <row r="480" spans="1:8" x14ac:dyDescent="0.3">
      <c r="A480" s="258"/>
      <c r="B480" s="258"/>
      <c r="C480" s="258"/>
      <c r="D480" s="259"/>
      <c r="E480" s="259"/>
      <c r="F480" s="259"/>
      <c r="G480" s="260"/>
      <c r="H480" s="260"/>
    </row>
    <row r="481" spans="1:8" x14ac:dyDescent="0.3">
      <c r="A481" s="258"/>
      <c r="B481" s="258"/>
      <c r="C481" s="258"/>
      <c r="D481" s="259"/>
      <c r="E481" s="259"/>
      <c r="F481" s="259"/>
      <c r="G481" s="260"/>
      <c r="H481" s="260"/>
    </row>
    <row r="482" spans="1:8" x14ac:dyDescent="0.3">
      <c r="A482" s="258"/>
      <c r="B482" s="258"/>
      <c r="C482" s="258"/>
      <c r="D482" s="259"/>
      <c r="E482" s="259"/>
      <c r="F482" s="259"/>
      <c r="G482" s="260"/>
      <c r="H482" s="260"/>
    </row>
    <row r="483" spans="1:8" x14ac:dyDescent="0.3">
      <c r="A483" s="258"/>
      <c r="B483" s="258"/>
      <c r="C483" s="258"/>
      <c r="D483" s="259"/>
      <c r="E483" s="259"/>
      <c r="F483" s="259"/>
      <c r="G483" s="260"/>
      <c r="H483" s="260"/>
    </row>
    <row r="484" spans="1:8" x14ac:dyDescent="0.3">
      <c r="A484" s="258"/>
      <c r="B484" s="258"/>
      <c r="C484" s="258"/>
      <c r="D484" s="259"/>
      <c r="E484" s="259"/>
      <c r="F484" s="259"/>
      <c r="G484" s="260"/>
      <c r="H484" s="260"/>
    </row>
    <row r="485" spans="1:8" x14ac:dyDescent="0.3">
      <c r="A485" s="258"/>
      <c r="B485" s="258"/>
      <c r="C485" s="258"/>
      <c r="D485" s="259"/>
      <c r="E485" s="259"/>
      <c r="F485" s="259"/>
      <c r="G485" s="260"/>
      <c r="H485" s="260"/>
    </row>
    <row r="486" spans="1:8" x14ac:dyDescent="0.3">
      <c r="A486" s="258"/>
      <c r="B486" s="258"/>
      <c r="C486" s="258"/>
      <c r="D486" s="259"/>
      <c r="E486" s="259"/>
      <c r="F486" s="259"/>
      <c r="G486" s="260"/>
      <c r="H486" s="260"/>
    </row>
    <row r="487" spans="1:8" x14ac:dyDescent="0.3">
      <c r="A487" s="258"/>
      <c r="B487" s="258"/>
      <c r="C487" s="258"/>
      <c r="D487" s="259"/>
      <c r="E487" s="259"/>
      <c r="F487" s="259"/>
      <c r="G487" s="260"/>
      <c r="H487" s="260"/>
    </row>
    <row r="488" spans="1:8" x14ac:dyDescent="0.3">
      <c r="A488" s="258"/>
      <c r="B488" s="258"/>
      <c r="C488" s="258"/>
      <c r="D488" s="259"/>
      <c r="E488" s="259"/>
      <c r="F488" s="259"/>
      <c r="G488" s="260"/>
      <c r="H488" s="260"/>
    </row>
    <row r="489" spans="1:8" x14ac:dyDescent="0.3">
      <c r="A489" s="258"/>
      <c r="B489" s="258"/>
      <c r="C489" s="258"/>
      <c r="D489" s="259"/>
      <c r="E489" s="259"/>
      <c r="F489" s="259"/>
      <c r="G489" s="260"/>
      <c r="H489" s="260"/>
    </row>
    <row r="490" spans="1:8" x14ac:dyDescent="0.3">
      <c r="A490" s="258"/>
      <c r="B490" s="258"/>
      <c r="C490" s="258"/>
      <c r="D490" s="259"/>
      <c r="E490" s="259"/>
      <c r="F490" s="259"/>
      <c r="G490" s="260"/>
      <c r="H490" s="260"/>
    </row>
    <row r="491" spans="1:8" x14ac:dyDescent="0.3">
      <c r="A491" s="258"/>
      <c r="B491" s="258"/>
      <c r="C491" s="258"/>
      <c r="D491" s="259"/>
      <c r="E491" s="259"/>
      <c r="F491" s="259"/>
      <c r="G491" s="260"/>
      <c r="H491" s="260"/>
    </row>
    <row r="492" spans="1:8" x14ac:dyDescent="0.3">
      <c r="A492" s="258"/>
      <c r="B492" s="258"/>
      <c r="C492" s="258"/>
      <c r="D492" s="259"/>
      <c r="E492" s="259"/>
      <c r="F492" s="259"/>
      <c r="G492" s="260"/>
      <c r="H492" s="260"/>
    </row>
    <row r="493" spans="1:8" x14ac:dyDescent="0.3">
      <c r="A493" s="258"/>
      <c r="B493" s="258"/>
      <c r="C493" s="258"/>
      <c r="D493" s="259"/>
      <c r="E493" s="259"/>
      <c r="F493" s="259"/>
      <c r="G493" s="260"/>
      <c r="H493" s="260"/>
    </row>
    <row r="494" spans="1:8" x14ac:dyDescent="0.3">
      <c r="A494" s="258"/>
      <c r="B494" s="258"/>
      <c r="C494" s="258"/>
      <c r="D494" s="259"/>
      <c r="E494" s="259"/>
      <c r="F494" s="259"/>
      <c r="G494" s="260"/>
      <c r="H494" s="260"/>
    </row>
    <row r="495" spans="1:8" x14ac:dyDescent="0.3">
      <c r="A495" s="258"/>
      <c r="B495" s="258"/>
      <c r="C495" s="258"/>
      <c r="D495" s="259"/>
      <c r="E495" s="259"/>
      <c r="F495" s="259"/>
      <c r="G495" s="260"/>
      <c r="H495" s="260"/>
    </row>
    <row r="496" spans="1:8" x14ac:dyDescent="0.3">
      <c r="A496" s="258"/>
      <c r="B496" s="258"/>
      <c r="C496" s="258"/>
      <c r="D496" s="259"/>
      <c r="E496" s="259"/>
      <c r="F496" s="259"/>
      <c r="G496" s="260"/>
      <c r="H496" s="260"/>
    </row>
    <row r="497" spans="1:8" x14ac:dyDescent="0.3">
      <c r="A497" s="258"/>
      <c r="B497" s="258"/>
      <c r="C497" s="258"/>
      <c r="D497" s="259"/>
      <c r="E497" s="259"/>
      <c r="F497" s="259"/>
      <c r="G497" s="260"/>
      <c r="H497" s="260"/>
    </row>
    <row r="498" spans="1:8" x14ac:dyDescent="0.3">
      <c r="A498" s="258"/>
      <c r="B498" s="258"/>
      <c r="C498" s="258"/>
      <c r="D498" s="259"/>
      <c r="E498" s="259"/>
      <c r="F498" s="259"/>
      <c r="G498" s="260"/>
      <c r="H498" s="260"/>
    </row>
    <row r="499" spans="1:8" x14ac:dyDescent="0.3">
      <c r="A499" s="258"/>
      <c r="B499" s="258"/>
      <c r="C499" s="258"/>
      <c r="D499" s="259"/>
      <c r="E499" s="259"/>
      <c r="F499" s="259"/>
      <c r="G499" s="260"/>
      <c r="H499" s="260"/>
    </row>
    <row r="500" spans="1:8" x14ac:dyDescent="0.3">
      <c r="A500" s="258"/>
      <c r="B500" s="258"/>
      <c r="C500" s="258"/>
      <c r="D500" s="259"/>
      <c r="E500" s="259"/>
      <c r="F500" s="259"/>
      <c r="G500" s="260"/>
      <c r="H500" s="260"/>
    </row>
    <row r="501" spans="1:8" x14ac:dyDescent="0.3">
      <c r="A501" s="258"/>
      <c r="B501" s="258"/>
      <c r="C501" s="258"/>
      <c r="D501" s="259"/>
      <c r="E501" s="259"/>
      <c r="F501" s="259"/>
      <c r="G501" s="260"/>
      <c r="H501" s="260"/>
    </row>
    <row r="502" spans="1:8" x14ac:dyDescent="0.3">
      <c r="A502" s="258"/>
      <c r="B502" s="258"/>
      <c r="C502" s="258"/>
      <c r="D502" s="259"/>
      <c r="E502" s="259"/>
      <c r="F502" s="259"/>
      <c r="G502" s="260"/>
      <c r="H502" s="260"/>
    </row>
    <row r="503" spans="1:8" x14ac:dyDescent="0.3">
      <c r="A503" s="258"/>
      <c r="B503" s="258"/>
      <c r="C503" s="258"/>
      <c r="D503" s="259"/>
      <c r="E503" s="259"/>
      <c r="F503" s="259"/>
      <c r="G503" s="260"/>
      <c r="H503" s="260"/>
    </row>
    <row r="504" spans="1:8" x14ac:dyDescent="0.3">
      <c r="A504" s="258"/>
      <c r="B504" s="258"/>
      <c r="C504" s="258"/>
      <c r="D504" s="259"/>
      <c r="E504" s="259"/>
      <c r="F504" s="259"/>
      <c r="G504" s="260"/>
      <c r="H504" s="260"/>
    </row>
    <row r="505" spans="1:8" x14ac:dyDescent="0.3">
      <c r="A505" s="258"/>
      <c r="B505" s="258"/>
      <c r="C505" s="258"/>
      <c r="D505" s="259"/>
      <c r="E505" s="259"/>
      <c r="F505" s="259"/>
      <c r="G505" s="260"/>
      <c r="H505" s="260"/>
    </row>
    <row r="506" spans="1:8" x14ac:dyDescent="0.3">
      <c r="A506" s="258"/>
      <c r="B506" s="258"/>
      <c r="C506" s="258"/>
      <c r="D506" s="259"/>
      <c r="E506" s="259"/>
      <c r="F506" s="259"/>
      <c r="G506" s="260"/>
      <c r="H506" s="260"/>
    </row>
    <row r="507" spans="1:8" x14ac:dyDescent="0.3">
      <c r="A507" s="258"/>
      <c r="B507" s="258"/>
      <c r="C507" s="258"/>
      <c r="D507" s="259"/>
      <c r="E507" s="259"/>
      <c r="F507" s="259"/>
      <c r="G507" s="260"/>
      <c r="H507" s="260"/>
    </row>
    <row r="508" spans="1:8" x14ac:dyDescent="0.3">
      <c r="A508" s="258"/>
      <c r="B508" s="258"/>
      <c r="C508" s="258"/>
      <c r="D508" s="259"/>
      <c r="E508" s="259"/>
      <c r="F508" s="259"/>
      <c r="G508" s="260"/>
      <c r="H508" s="260"/>
    </row>
    <row r="509" spans="1:8" x14ac:dyDescent="0.3">
      <c r="A509" s="258"/>
      <c r="B509" s="258"/>
      <c r="C509" s="258"/>
      <c r="D509" s="259"/>
      <c r="E509" s="259"/>
      <c r="F509" s="259"/>
      <c r="G509" s="260"/>
      <c r="H509" s="260"/>
    </row>
    <row r="510" spans="1:8" x14ac:dyDescent="0.3">
      <c r="A510" s="258"/>
      <c r="B510" s="258"/>
      <c r="C510" s="258"/>
      <c r="D510" s="259"/>
      <c r="E510" s="259"/>
      <c r="F510" s="259"/>
      <c r="G510" s="260"/>
      <c r="H510" s="260"/>
    </row>
    <row r="511" spans="1:8" x14ac:dyDescent="0.3">
      <c r="A511" s="258"/>
      <c r="B511" s="258"/>
      <c r="C511" s="258"/>
      <c r="D511" s="259"/>
      <c r="E511" s="259"/>
      <c r="F511" s="259"/>
      <c r="G511" s="260"/>
      <c r="H511" s="260"/>
    </row>
    <row r="512" spans="1:8" x14ac:dyDescent="0.3">
      <c r="A512" s="258"/>
      <c r="B512" s="258"/>
      <c r="C512" s="258"/>
      <c r="D512" s="259"/>
      <c r="E512" s="259"/>
      <c r="F512" s="259"/>
      <c r="G512" s="260"/>
      <c r="H512" s="260"/>
    </row>
    <row r="513" spans="1:8" x14ac:dyDescent="0.3">
      <c r="A513" s="258"/>
      <c r="B513" s="258"/>
      <c r="C513" s="258"/>
      <c r="D513" s="259"/>
      <c r="E513" s="259"/>
      <c r="F513" s="259"/>
      <c r="G513" s="260"/>
      <c r="H513" s="260"/>
    </row>
    <row r="514" spans="1:8" x14ac:dyDescent="0.3">
      <c r="A514" s="258"/>
      <c r="B514" s="258"/>
      <c r="C514" s="258"/>
      <c r="D514" s="259"/>
      <c r="E514" s="259"/>
      <c r="F514" s="259"/>
      <c r="G514" s="260"/>
      <c r="H514" s="260"/>
    </row>
    <row r="515" spans="1:8" x14ac:dyDescent="0.3">
      <c r="A515" s="258"/>
      <c r="B515" s="258"/>
      <c r="C515" s="258"/>
      <c r="D515" s="259"/>
      <c r="E515" s="259"/>
      <c r="F515" s="259"/>
      <c r="G515" s="260"/>
      <c r="H515" s="260"/>
    </row>
    <row r="516" spans="1:8" x14ac:dyDescent="0.3">
      <c r="A516" s="258"/>
      <c r="B516" s="258"/>
      <c r="C516" s="258"/>
      <c r="D516" s="259"/>
      <c r="E516" s="259"/>
      <c r="F516" s="259"/>
      <c r="G516" s="260"/>
      <c r="H516" s="260"/>
    </row>
    <row r="517" spans="1:8" x14ac:dyDescent="0.3">
      <c r="A517" s="258"/>
      <c r="B517" s="258"/>
      <c r="C517" s="258"/>
      <c r="D517" s="259"/>
      <c r="E517" s="259"/>
      <c r="F517" s="259"/>
      <c r="G517" s="260"/>
      <c r="H517" s="260"/>
    </row>
    <row r="518" spans="1:8" x14ac:dyDescent="0.3">
      <c r="A518" s="258"/>
      <c r="B518" s="258"/>
      <c r="C518" s="258"/>
      <c r="D518" s="259"/>
      <c r="E518" s="259"/>
      <c r="F518" s="259"/>
      <c r="G518" s="260"/>
      <c r="H518" s="260"/>
    </row>
    <row r="519" spans="1:8" x14ac:dyDescent="0.3">
      <c r="A519" s="258"/>
      <c r="B519" s="258"/>
      <c r="C519" s="258"/>
      <c r="D519" s="259"/>
      <c r="E519" s="259"/>
      <c r="F519" s="259"/>
      <c r="G519" s="260"/>
      <c r="H519" s="260"/>
    </row>
    <row r="520" spans="1:8" x14ac:dyDescent="0.3">
      <c r="A520" s="258"/>
      <c r="B520" s="258"/>
      <c r="C520" s="258"/>
      <c r="D520" s="259"/>
      <c r="E520" s="259"/>
      <c r="F520" s="259"/>
      <c r="G520" s="260"/>
      <c r="H520" s="260"/>
    </row>
    <row r="521" spans="1:8" x14ac:dyDescent="0.3">
      <c r="A521" s="258"/>
      <c r="B521" s="258"/>
      <c r="C521" s="258"/>
      <c r="D521" s="259"/>
      <c r="E521" s="259"/>
      <c r="F521" s="259"/>
      <c r="G521" s="260"/>
      <c r="H521" s="260"/>
    </row>
    <row r="522" spans="1:8" x14ac:dyDescent="0.3">
      <c r="A522" s="258"/>
      <c r="B522" s="258"/>
      <c r="C522" s="258"/>
      <c r="D522" s="259"/>
      <c r="E522" s="259"/>
      <c r="F522" s="259"/>
      <c r="G522" s="260"/>
      <c r="H522" s="260"/>
    </row>
    <row r="523" spans="1:8" x14ac:dyDescent="0.3">
      <c r="A523" s="258"/>
      <c r="B523" s="258"/>
      <c r="C523" s="258"/>
      <c r="D523" s="259"/>
      <c r="E523" s="259"/>
      <c r="F523" s="259"/>
      <c r="G523" s="260"/>
      <c r="H523" s="260"/>
    </row>
    <row r="524" spans="1:8" x14ac:dyDescent="0.3">
      <c r="A524" s="258"/>
      <c r="B524" s="258"/>
      <c r="C524" s="258"/>
      <c r="D524" s="259"/>
      <c r="E524" s="259"/>
      <c r="F524" s="259"/>
      <c r="G524" s="260"/>
      <c r="H524" s="260"/>
    </row>
    <row r="525" spans="1:8" x14ac:dyDescent="0.3">
      <c r="A525" s="258"/>
      <c r="B525" s="258"/>
      <c r="C525" s="258"/>
      <c r="D525" s="259"/>
      <c r="E525" s="259"/>
      <c r="F525" s="259"/>
      <c r="G525" s="260"/>
      <c r="H525" s="260"/>
    </row>
    <row r="526" spans="1:8" x14ac:dyDescent="0.3">
      <c r="A526" s="258"/>
      <c r="B526" s="258"/>
      <c r="C526" s="258"/>
      <c r="D526" s="259"/>
      <c r="E526" s="259"/>
      <c r="F526" s="259"/>
      <c r="G526" s="260"/>
      <c r="H526" s="260"/>
    </row>
    <row r="527" spans="1:8" x14ac:dyDescent="0.3">
      <c r="A527" s="258"/>
      <c r="B527" s="258"/>
      <c r="C527" s="258"/>
      <c r="D527" s="259"/>
      <c r="E527" s="259"/>
      <c r="F527" s="259"/>
      <c r="G527" s="260"/>
      <c r="H527" s="260"/>
    </row>
    <row r="528" spans="1:8" x14ac:dyDescent="0.3">
      <c r="A528" s="258"/>
      <c r="B528" s="258"/>
      <c r="C528" s="258"/>
      <c r="D528" s="259"/>
      <c r="E528" s="259"/>
      <c r="F528" s="259"/>
      <c r="G528" s="260"/>
      <c r="H528" s="260"/>
    </row>
    <row r="529" spans="1:8" x14ac:dyDescent="0.3">
      <c r="A529" s="258"/>
      <c r="B529" s="258"/>
      <c r="C529" s="258"/>
      <c r="D529" s="259"/>
      <c r="E529" s="259"/>
      <c r="F529" s="259"/>
      <c r="G529" s="260"/>
      <c r="H529" s="260"/>
    </row>
    <row r="530" spans="1:8" x14ac:dyDescent="0.3">
      <c r="A530" s="258"/>
      <c r="B530" s="258"/>
      <c r="C530" s="258"/>
      <c r="D530" s="259"/>
      <c r="E530" s="259"/>
      <c r="F530" s="259"/>
      <c r="G530" s="260"/>
      <c r="H530" s="260"/>
    </row>
    <row r="531" spans="1:8" x14ac:dyDescent="0.3">
      <c r="A531" s="258"/>
      <c r="B531" s="258"/>
      <c r="C531" s="258"/>
      <c r="D531" s="259"/>
      <c r="E531" s="259"/>
      <c r="F531" s="259"/>
      <c r="G531" s="260"/>
      <c r="H531" s="260"/>
    </row>
    <row r="532" spans="1:8" x14ac:dyDescent="0.3">
      <c r="A532" s="258"/>
      <c r="B532" s="258"/>
      <c r="C532" s="258"/>
      <c r="D532" s="259"/>
      <c r="E532" s="259"/>
      <c r="F532" s="259"/>
      <c r="G532" s="260"/>
      <c r="H532" s="260"/>
    </row>
    <row r="533" spans="1:8" x14ac:dyDescent="0.3">
      <c r="A533" s="258"/>
      <c r="B533" s="258"/>
      <c r="C533" s="258"/>
      <c r="D533" s="259"/>
      <c r="E533" s="259"/>
      <c r="F533" s="259"/>
      <c r="G533" s="260"/>
      <c r="H533" s="260"/>
    </row>
    <row r="534" spans="1:8" x14ac:dyDescent="0.3">
      <c r="A534" s="258"/>
      <c r="B534" s="258"/>
      <c r="C534" s="258"/>
      <c r="D534" s="259"/>
      <c r="E534" s="259"/>
      <c r="F534" s="259"/>
      <c r="G534" s="260"/>
      <c r="H534" s="260"/>
    </row>
    <row r="535" spans="1:8" x14ac:dyDescent="0.3">
      <c r="A535" s="258"/>
      <c r="B535" s="258"/>
      <c r="C535" s="258"/>
      <c r="D535" s="259"/>
      <c r="E535" s="259"/>
      <c r="F535" s="259"/>
      <c r="G535" s="260"/>
      <c r="H535" s="260"/>
    </row>
    <row r="536" spans="1:8" x14ac:dyDescent="0.3">
      <c r="A536" s="258"/>
      <c r="B536" s="258"/>
      <c r="C536" s="258"/>
      <c r="D536" s="259"/>
      <c r="E536" s="259"/>
      <c r="F536" s="259"/>
      <c r="G536" s="260"/>
      <c r="H536" s="260"/>
    </row>
    <row r="537" spans="1:8" x14ac:dyDescent="0.3">
      <c r="A537" s="258"/>
      <c r="B537" s="258"/>
      <c r="C537" s="258"/>
      <c r="D537" s="259"/>
      <c r="E537" s="259"/>
      <c r="F537" s="259"/>
      <c r="G537" s="260"/>
      <c r="H537" s="260"/>
    </row>
    <row r="538" spans="1:8" x14ac:dyDescent="0.3">
      <c r="A538" s="258"/>
      <c r="B538" s="258"/>
      <c r="C538" s="258"/>
      <c r="D538" s="259"/>
      <c r="E538" s="259"/>
      <c r="F538" s="259"/>
      <c r="G538" s="260"/>
      <c r="H538" s="260"/>
    </row>
    <row r="539" spans="1:8" x14ac:dyDescent="0.3">
      <c r="A539" s="258"/>
      <c r="B539" s="258"/>
      <c r="C539" s="258"/>
      <c r="D539" s="259"/>
      <c r="E539" s="259"/>
      <c r="F539" s="259"/>
      <c r="G539" s="260"/>
      <c r="H539" s="260"/>
    </row>
    <row r="540" spans="1:8" x14ac:dyDescent="0.3">
      <c r="A540" s="258"/>
      <c r="B540" s="258"/>
      <c r="C540" s="258"/>
      <c r="D540" s="259"/>
      <c r="E540" s="259"/>
      <c r="F540" s="259"/>
      <c r="G540" s="260"/>
      <c r="H540" s="260"/>
    </row>
    <row r="541" spans="1:8" x14ac:dyDescent="0.3">
      <c r="A541" s="258"/>
      <c r="B541" s="258"/>
      <c r="C541" s="258"/>
      <c r="D541" s="259"/>
      <c r="E541" s="259"/>
      <c r="F541" s="259"/>
      <c r="G541" s="260"/>
      <c r="H541" s="260"/>
    </row>
    <row r="542" spans="1:8" x14ac:dyDescent="0.3">
      <c r="A542" s="258"/>
      <c r="B542" s="258"/>
      <c r="C542" s="258"/>
      <c r="D542" s="259"/>
      <c r="E542" s="259"/>
      <c r="F542" s="259"/>
      <c r="G542" s="260"/>
      <c r="H542" s="260"/>
    </row>
    <row r="543" spans="1:8" x14ac:dyDescent="0.3">
      <c r="A543" s="258"/>
      <c r="B543" s="258"/>
      <c r="C543" s="258"/>
      <c r="D543" s="259"/>
      <c r="E543" s="259"/>
      <c r="F543" s="259"/>
      <c r="G543" s="260"/>
      <c r="H543" s="260"/>
    </row>
    <row r="544" spans="1:8" x14ac:dyDescent="0.3">
      <c r="A544" s="258"/>
      <c r="B544" s="258"/>
      <c r="C544" s="258"/>
      <c r="D544" s="259"/>
      <c r="E544" s="259"/>
      <c r="F544" s="259"/>
      <c r="G544" s="260"/>
      <c r="H544" s="260"/>
    </row>
    <row r="545" spans="1:8" x14ac:dyDescent="0.3">
      <c r="A545" s="258"/>
      <c r="B545" s="258"/>
      <c r="C545" s="258"/>
      <c r="D545" s="259"/>
      <c r="E545" s="259"/>
      <c r="F545" s="259"/>
      <c r="G545" s="260"/>
      <c r="H545" s="260"/>
    </row>
    <row r="546" spans="1:8" x14ac:dyDescent="0.3">
      <c r="A546" s="258"/>
      <c r="B546" s="258"/>
      <c r="C546" s="258"/>
      <c r="D546" s="259"/>
      <c r="E546" s="259"/>
      <c r="F546" s="259"/>
      <c r="G546" s="260"/>
      <c r="H546" s="260"/>
    </row>
    <row r="547" spans="1:8" x14ac:dyDescent="0.3">
      <c r="A547" s="258"/>
      <c r="B547" s="258"/>
      <c r="C547" s="258"/>
      <c r="D547" s="259"/>
      <c r="E547" s="259"/>
      <c r="F547" s="259"/>
      <c r="G547" s="260"/>
      <c r="H547" s="260"/>
    </row>
    <row r="548" spans="1:8" x14ac:dyDescent="0.3">
      <c r="A548" s="262"/>
      <c r="B548" s="262"/>
      <c r="C548" s="262"/>
      <c r="D548" s="263"/>
      <c r="E548" s="263"/>
      <c r="F548" s="263"/>
      <c r="G548" s="257"/>
      <c r="H548" s="247"/>
    </row>
  </sheetData>
  <pageMargins left="0.3" right="0.3" top="0.89999999999999991" bottom="0.5" header="0.3" footer="0.3"/>
  <pageSetup fitToHeight="0" orientation="landscape" r:id="rId1"/>
  <headerFooter>
    <oddHeader>&amp;LArrivals: 01/11/2025  to  30/04/2026&amp;C&amp;"Calibri,Bold"&amp;14Booking Finance
&amp;"Calibri"&amp;10Arrivals: 01/11/2025  to  31/10/2026&amp;R&amp;"Calibri"&amp;9Printed: 20/06/2026 22:27</oddHeader>
    <oddFooter>&amp;CPage &amp;P of &amp;N</oddFooter>
  </headerFooter>
  <legacyDrawingHF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E55AC2-57D9-4D9C-AB00-AAE6CDA79F09}">
  <sheetPr codeName="Sheet14">
    <pageSetUpPr fitToPage="1"/>
  </sheetPr>
  <dimension ref="A1:G28"/>
  <sheetViews>
    <sheetView workbookViewId="0"/>
  </sheetViews>
  <sheetFormatPr defaultRowHeight="14.4" x14ac:dyDescent="0.3"/>
  <cols>
    <col min="1" max="1" width="10.88671875" bestFit="1" customWidth="1"/>
    <col min="2" max="3" width="9.109375" bestFit="1" customWidth="1"/>
    <col min="4" max="4" width="48.109375" bestFit="1" customWidth="1"/>
    <col min="5" max="5" width="8.88671875" bestFit="1" customWidth="1"/>
    <col min="6" max="6" width="9.88671875" bestFit="1" customWidth="1"/>
    <col min="7" max="7" width="12.6640625" bestFit="1" customWidth="1"/>
  </cols>
  <sheetData>
    <row r="1" spans="1:7" x14ac:dyDescent="0.3">
      <c r="A1" s="261" t="s">
        <v>5</v>
      </c>
      <c r="B1" s="261" t="s">
        <v>10</v>
      </c>
      <c r="C1" s="261" t="s">
        <v>11</v>
      </c>
      <c r="D1" s="261" t="s">
        <v>8</v>
      </c>
      <c r="E1" s="261" t="s">
        <v>24</v>
      </c>
      <c r="F1" s="261" t="s">
        <v>27</v>
      </c>
      <c r="G1" s="261" t="s">
        <v>31</v>
      </c>
    </row>
    <row r="2" spans="1:7" x14ac:dyDescent="0.3">
      <c r="A2" s="245">
        <v>15147730</v>
      </c>
      <c r="B2" s="260">
        <v>46233</v>
      </c>
      <c r="C2" s="260">
        <v>46240</v>
      </c>
      <c r="D2" s="245" t="s">
        <v>67</v>
      </c>
      <c r="E2" s="258">
        <v>0</v>
      </c>
      <c r="F2" s="259">
        <v>868</v>
      </c>
      <c r="G2" s="260">
        <v>46224</v>
      </c>
    </row>
    <row r="3" spans="1:7" x14ac:dyDescent="0.3">
      <c r="A3" s="247">
        <v>17295388</v>
      </c>
      <c r="B3" s="264">
        <v>46211</v>
      </c>
      <c r="C3" s="264">
        <v>46225</v>
      </c>
      <c r="D3" s="247" t="s">
        <v>68</v>
      </c>
      <c r="E3" s="262">
        <v>0</v>
      </c>
      <c r="F3" s="263">
        <v>1792.8</v>
      </c>
      <c r="G3" s="264">
        <v>46204</v>
      </c>
    </row>
    <row r="4" spans="1:7" x14ac:dyDescent="0.3">
      <c r="A4" s="245">
        <v>17295140</v>
      </c>
      <c r="B4" s="260">
        <v>46211</v>
      </c>
      <c r="C4" s="260">
        <v>46225</v>
      </c>
      <c r="D4" s="245" t="s">
        <v>68</v>
      </c>
      <c r="E4" s="258">
        <v>0</v>
      </c>
      <c r="F4" s="259">
        <v>1792.8</v>
      </c>
      <c r="G4" s="260">
        <v>46204</v>
      </c>
    </row>
    <row r="5" spans="1:7" x14ac:dyDescent="0.3">
      <c r="A5" s="245">
        <v>17497390</v>
      </c>
      <c r="B5" s="260">
        <v>46216</v>
      </c>
      <c r="C5" s="260">
        <v>46226</v>
      </c>
      <c r="D5" s="245" t="s">
        <v>68</v>
      </c>
      <c r="E5" s="258">
        <v>0</v>
      </c>
      <c r="F5" s="259">
        <v>1015.2</v>
      </c>
      <c r="G5" s="260">
        <v>46208</v>
      </c>
    </row>
    <row r="6" spans="1:7" x14ac:dyDescent="0.3">
      <c r="A6" s="245">
        <v>15734687</v>
      </c>
      <c r="B6" s="260">
        <v>46215</v>
      </c>
      <c r="C6" s="260">
        <v>46222</v>
      </c>
      <c r="D6" s="245" t="s">
        <v>62</v>
      </c>
      <c r="E6" s="258">
        <v>1008</v>
      </c>
      <c r="F6" s="259">
        <v>0</v>
      </c>
      <c r="G6" s="260">
        <v>46208</v>
      </c>
    </row>
    <row r="7" spans="1:7" x14ac:dyDescent="0.3">
      <c r="A7" s="247">
        <v>16178025</v>
      </c>
      <c r="B7" s="264">
        <v>46222</v>
      </c>
      <c r="C7" s="264">
        <v>46229</v>
      </c>
      <c r="D7" s="247" t="s">
        <v>76</v>
      </c>
      <c r="E7" s="262">
        <v>0</v>
      </c>
      <c r="F7" s="263">
        <v>1265.6000000000001</v>
      </c>
      <c r="G7" s="264">
        <v>46215</v>
      </c>
    </row>
    <row r="8" spans="1:7" x14ac:dyDescent="0.3">
      <c r="A8" s="245">
        <v>15320563</v>
      </c>
      <c r="B8" s="260">
        <v>46229</v>
      </c>
      <c r="C8" s="260">
        <v>46236</v>
      </c>
      <c r="D8" s="245" t="s">
        <v>172</v>
      </c>
      <c r="E8" s="258">
        <v>0</v>
      </c>
      <c r="F8" s="259">
        <v>1672.8000000000002</v>
      </c>
      <c r="G8" s="260">
        <v>46204</v>
      </c>
    </row>
    <row r="9" spans="1:7" x14ac:dyDescent="0.3">
      <c r="A9" s="245">
        <v>17181480</v>
      </c>
      <c r="B9" s="260">
        <v>46231</v>
      </c>
      <c r="C9" s="260">
        <v>46241</v>
      </c>
      <c r="D9" s="245" t="s">
        <v>64</v>
      </c>
      <c r="E9" s="258">
        <v>0</v>
      </c>
      <c r="F9" s="259">
        <v>1020</v>
      </c>
      <c r="G9" s="260">
        <v>46222</v>
      </c>
    </row>
    <row r="10" spans="1:7" x14ac:dyDescent="0.3">
      <c r="A10" s="245">
        <v>17381256</v>
      </c>
      <c r="B10" s="260">
        <v>46233</v>
      </c>
      <c r="C10" s="260">
        <v>46240</v>
      </c>
      <c r="D10" s="245" t="s">
        <v>68</v>
      </c>
      <c r="E10" s="258">
        <v>0</v>
      </c>
      <c r="F10" s="259">
        <v>919.80000000000007</v>
      </c>
      <c r="G10" s="260">
        <v>46225</v>
      </c>
    </row>
    <row r="11" spans="1:7" x14ac:dyDescent="0.3">
      <c r="A11" s="245">
        <v>17378842</v>
      </c>
      <c r="B11" s="260">
        <v>46237</v>
      </c>
      <c r="C11" s="260">
        <v>46244</v>
      </c>
      <c r="D11" s="245" t="s">
        <v>68</v>
      </c>
      <c r="E11" s="258">
        <v>0</v>
      </c>
      <c r="F11" s="259">
        <v>919.80000000000007</v>
      </c>
      <c r="G11" s="260">
        <v>46229</v>
      </c>
    </row>
    <row r="12" spans="1:7" x14ac:dyDescent="0.3">
      <c r="A12" s="245">
        <v>17348098</v>
      </c>
      <c r="B12" s="260">
        <v>46238</v>
      </c>
      <c r="C12" s="260">
        <v>46245</v>
      </c>
      <c r="D12" s="245" t="s">
        <v>168</v>
      </c>
      <c r="E12" s="258">
        <v>0</v>
      </c>
      <c r="F12" s="259">
        <v>812</v>
      </c>
      <c r="G12" s="260">
        <v>46232</v>
      </c>
    </row>
    <row r="13" spans="1:7" x14ac:dyDescent="0.3">
      <c r="A13" s="245">
        <v>17357215</v>
      </c>
      <c r="B13" s="260">
        <v>46217</v>
      </c>
      <c r="C13" s="260">
        <v>46230</v>
      </c>
      <c r="D13" s="245" t="s">
        <v>62</v>
      </c>
      <c r="E13" s="258">
        <v>0</v>
      </c>
      <c r="F13" s="259">
        <v>1980</v>
      </c>
      <c r="G13" s="260">
        <v>46208</v>
      </c>
    </row>
    <row r="14" spans="1:7" x14ac:dyDescent="0.3">
      <c r="A14" s="245">
        <v>17359260</v>
      </c>
      <c r="B14" s="260">
        <v>46185</v>
      </c>
      <c r="C14" s="260">
        <v>46194</v>
      </c>
      <c r="D14" s="245" t="s">
        <v>168</v>
      </c>
      <c r="E14" s="258">
        <v>0</v>
      </c>
      <c r="F14" s="259">
        <v>1044</v>
      </c>
      <c r="G14" s="260">
        <v>46177</v>
      </c>
    </row>
    <row r="15" spans="1:7" x14ac:dyDescent="0.3">
      <c r="A15" s="245">
        <v>17387953</v>
      </c>
      <c r="B15" s="260">
        <v>46233</v>
      </c>
      <c r="C15" s="260">
        <v>46240</v>
      </c>
      <c r="D15" s="245" t="s">
        <v>62</v>
      </c>
      <c r="E15" s="258">
        <v>0</v>
      </c>
      <c r="F15" s="259">
        <v>784</v>
      </c>
      <c r="G15" s="260">
        <v>46223</v>
      </c>
    </row>
    <row r="16" spans="1:7" x14ac:dyDescent="0.3">
      <c r="A16" s="245">
        <v>17482147</v>
      </c>
      <c r="B16" s="260">
        <v>46182</v>
      </c>
      <c r="C16" s="260">
        <v>46189</v>
      </c>
      <c r="D16" s="245" t="s">
        <v>62</v>
      </c>
      <c r="E16" s="258">
        <v>0</v>
      </c>
      <c r="F16" s="259">
        <v>658</v>
      </c>
      <c r="G16" s="260">
        <v>46176.041666666664</v>
      </c>
    </row>
    <row r="17" spans="1:7" x14ac:dyDescent="0.3">
      <c r="A17" s="245">
        <v>17505580</v>
      </c>
      <c r="B17" s="260">
        <v>46203</v>
      </c>
      <c r="C17" s="260">
        <v>46210</v>
      </c>
      <c r="D17" s="245" t="s">
        <v>68</v>
      </c>
      <c r="E17" s="258">
        <v>0</v>
      </c>
      <c r="F17" s="259">
        <v>684.8</v>
      </c>
      <c r="G17" s="260">
        <v>46194</v>
      </c>
    </row>
    <row r="18" spans="1:7" x14ac:dyDescent="0.3">
      <c r="A18" s="245">
        <v>17500830</v>
      </c>
      <c r="B18" s="260">
        <v>46238</v>
      </c>
      <c r="C18" s="260">
        <v>46245</v>
      </c>
      <c r="D18" s="245" t="s">
        <v>168</v>
      </c>
      <c r="E18" s="258">
        <v>0</v>
      </c>
      <c r="F18" s="259">
        <v>882</v>
      </c>
      <c r="G18" s="260">
        <v>46229</v>
      </c>
    </row>
    <row r="19" spans="1:7" x14ac:dyDescent="0.3">
      <c r="A19" s="245">
        <v>17519261</v>
      </c>
      <c r="B19" s="260">
        <v>46239</v>
      </c>
      <c r="C19" s="260">
        <v>46250</v>
      </c>
      <c r="D19" s="245" t="s">
        <v>67</v>
      </c>
      <c r="E19" s="258">
        <v>0</v>
      </c>
      <c r="F19" s="259">
        <v>1914</v>
      </c>
      <c r="G19" s="260">
        <v>46231</v>
      </c>
    </row>
    <row r="20" spans="1:7" x14ac:dyDescent="0.3">
      <c r="A20" s="245">
        <v>17524233</v>
      </c>
      <c r="B20" s="260">
        <v>46225</v>
      </c>
      <c r="C20" s="260">
        <v>46239</v>
      </c>
      <c r="D20" s="245" t="s">
        <v>114</v>
      </c>
      <c r="E20" s="258">
        <v>2244</v>
      </c>
      <c r="F20" s="259">
        <v>0</v>
      </c>
      <c r="G20" s="260">
        <v>46215</v>
      </c>
    </row>
    <row r="21" spans="1:7" x14ac:dyDescent="0.3">
      <c r="A21" s="245">
        <v>17534028</v>
      </c>
      <c r="B21" s="260">
        <v>46238</v>
      </c>
      <c r="C21" s="260">
        <v>46247</v>
      </c>
      <c r="D21" s="245" t="s">
        <v>68</v>
      </c>
      <c r="E21" s="258">
        <v>0</v>
      </c>
      <c r="F21" s="259">
        <v>939.6</v>
      </c>
      <c r="G21" s="260">
        <v>46229</v>
      </c>
    </row>
    <row r="22" spans="1:7" x14ac:dyDescent="0.3">
      <c r="A22" s="245">
        <v>17556908</v>
      </c>
      <c r="B22" s="260">
        <v>46217</v>
      </c>
      <c r="C22" s="260">
        <v>46224</v>
      </c>
      <c r="D22" s="245" t="s">
        <v>67</v>
      </c>
      <c r="E22" s="258">
        <v>0</v>
      </c>
      <c r="F22" s="259">
        <v>896</v>
      </c>
      <c r="G22" s="260">
        <v>46204</v>
      </c>
    </row>
    <row r="23" spans="1:7" x14ac:dyDescent="0.3">
      <c r="A23" s="245">
        <v>17188771</v>
      </c>
      <c r="B23" s="260">
        <v>46238</v>
      </c>
      <c r="C23" s="260">
        <v>46245</v>
      </c>
      <c r="D23" s="245" t="s">
        <v>132</v>
      </c>
      <c r="E23" s="258">
        <v>0</v>
      </c>
      <c r="F23" s="259">
        <v>728</v>
      </c>
      <c r="G23" s="260">
        <v>46230</v>
      </c>
    </row>
    <row r="24" spans="1:7" x14ac:dyDescent="0.3">
      <c r="A24" s="245">
        <v>17615137</v>
      </c>
      <c r="B24" s="260">
        <v>46238</v>
      </c>
      <c r="C24" s="260">
        <v>46250</v>
      </c>
      <c r="D24" s="245" t="s">
        <v>201</v>
      </c>
      <c r="E24" s="258">
        <v>0</v>
      </c>
      <c r="F24" s="259">
        <v>1920</v>
      </c>
      <c r="G24" s="260">
        <v>46229</v>
      </c>
    </row>
    <row r="25" spans="1:7" x14ac:dyDescent="0.3">
      <c r="A25" s="245" t="s">
        <v>223</v>
      </c>
      <c r="B25" s="260">
        <v>46180</v>
      </c>
      <c r="C25" s="260">
        <v>46190</v>
      </c>
      <c r="D25" s="245" t="s">
        <v>224</v>
      </c>
      <c r="E25" s="258">
        <v>0</v>
      </c>
      <c r="F25" s="259">
        <v>721.03295269168029</v>
      </c>
      <c r="G25" s="260">
        <v>46175</v>
      </c>
    </row>
    <row r="26" spans="1:7" x14ac:dyDescent="0.3">
      <c r="A26" s="245">
        <v>16140638</v>
      </c>
      <c r="B26" s="260">
        <v>46184</v>
      </c>
      <c r="C26" s="260">
        <v>46186</v>
      </c>
      <c r="D26" s="245" t="s">
        <v>121</v>
      </c>
      <c r="E26" s="258">
        <v>700</v>
      </c>
      <c r="F26" s="259">
        <v>0</v>
      </c>
      <c r="G26" s="260">
        <v>46183</v>
      </c>
    </row>
    <row r="27" spans="1:7" x14ac:dyDescent="0.3">
      <c r="A27" s="247"/>
      <c r="B27" s="256"/>
      <c r="C27" s="256"/>
      <c r="D27" s="247"/>
      <c r="E27" s="262"/>
      <c r="F27" s="263"/>
      <c r="G27" s="256"/>
    </row>
    <row r="28" spans="1:7" x14ac:dyDescent="0.3">
      <c r="B28" s="253"/>
      <c r="C28" s="253"/>
      <c r="E28" s="252"/>
      <c r="F28" s="252"/>
      <c r="G28" s="253"/>
    </row>
  </sheetData>
  <pageMargins left="0.3" right="0.3" top="0.89999999999999991" bottom="0.5" header="0.3" footer="0.3"/>
  <pageSetup fitToHeight="0" orientation="landscape" r:id="rId1"/>
  <headerFooter>
    <oddHeader>&amp;LOption dates: 01/06/2026  to  30/06/2026&amp;C&amp;"Calibri,Bold"&amp;14Payment Option Date
&amp;"Calibri"&amp;10Option dates: 01/06/2026  to  31/07/2026&amp;R&amp;"Calibri"&amp;9Printed: 20/06/2026 15:42</oddHeader>
    <oddFooter>&amp;CPage &amp;P of &amp;N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8D3F15-D863-4C00-AFD3-192D8ED73FF3}">
  <sheetPr codeName="Sheet2">
    <pageSetUpPr fitToPage="1"/>
  </sheetPr>
  <dimension ref="A1:N33"/>
  <sheetViews>
    <sheetView workbookViewId="0"/>
  </sheetViews>
  <sheetFormatPr defaultRowHeight="14.4" x14ac:dyDescent="0.3"/>
  <cols>
    <col min="1" max="1" width="9.109375" bestFit="1" customWidth="1"/>
    <col min="2" max="3" width="9" bestFit="1" customWidth="1"/>
    <col min="4" max="4" width="17.44140625" bestFit="1" customWidth="1"/>
    <col min="5" max="5" width="23.5546875" bestFit="1" customWidth="1"/>
    <col min="6" max="6" width="3.44140625" bestFit="1" customWidth="1"/>
    <col min="7" max="7" width="2.6640625" bestFit="1" customWidth="1"/>
    <col min="8" max="8" width="3.6640625" bestFit="1" customWidth="1"/>
    <col min="9" max="10" width="9" bestFit="1" customWidth="1"/>
    <col min="11" max="11" width="6" bestFit="1" customWidth="1"/>
    <col min="12" max="12" width="14.33203125" bestFit="1" customWidth="1"/>
    <col min="13" max="13" width="14.109375" bestFit="1" customWidth="1"/>
    <col min="14" max="14" width="13.5546875" bestFit="1" customWidth="1"/>
  </cols>
  <sheetData>
    <row r="1" spans="1:14" x14ac:dyDescent="0.3">
      <c r="A1" s="275" t="s">
        <v>5</v>
      </c>
      <c r="B1" s="275" t="s">
        <v>10</v>
      </c>
      <c r="C1" s="275" t="s">
        <v>11</v>
      </c>
      <c r="D1" s="275" t="s">
        <v>8</v>
      </c>
      <c r="E1" s="275" t="s">
        <v>9</v>
      </c>
      <c r="F1" s="275" t="s">
        <v>12</v>
      </c>
      <c r="G1" s="275" t="s">
        <v>15</v>
      </c>
      <c r="H1" s="275" t="s">
        <v>1372</v>
      </c>
      <c r="I1" s="275" t="s">
        <v>24</v>
      </c>
      <c r="J1" s="275" t="s">
        <v>27</v>
      </c>
      <c r="K1" s="275" t="s">
        <v>1367</v>
      </c>
      <c r="L1" s="275" t="s">
        <v>1373</v>
      </c>
      <c r="M1" s="275" t="s">
        <v>1374</v>
      </c>
      <c r="N1" s="275" t="s">
        <v>1368</v>
      </c>
    </row>
    <row r="2" spans="1:14" x14ac:dyDescent="0.3">
      <c r="A2" s="269"/>
      <c r="B2" s="270"/>
      <c r="C2" s="270"/>
      <c r="D2" s="269"/>
      <c r="E2" s="269"/>
      <c r="F2" s="269"/>
      <c r="G2" s="269"/>
      <c r="H2" s="269"/>
      <c r="I2" s="271"/>
      <c r="J2" s="272"/>
      <c r="K2" s="273"/>
      <c r="L2" s="271"/>
      <c r="M2" s="272"/>
      <c r="N2" s="270"/>
    </row>
    <row r="3" spans="1:14" x14ac:dyDescent="0.3">
      <c r="A3" s="269"/>
      <c r="B3" s="270"/>
      <c r="C3" s="270"/>
      <c r="D3" s="269"/>
      <c r="E3" s="269"/>
      <c r="F3" s="269"/>
      <c r="G3" s="269"/>
      <c r="H3" s="269"/>
      <c r="I3" s="271"/>
      <c r="J3" s="272"/>
      <c r="K3" s="273"/>
      <c r="L3" s="271"/>
      <c r="M3" s="272"/>
      <c r="N3" s="270"/>
    </row>
    <row r="4" spans="1:14" x14ac:dyDescent="0.3">
      <c r="A4" s="274"/>
      <c r="B4" s="276"/>
      <c r="C4" s="276"/>
      <c r="D4" s="274"/>
      <c r="E4" s="274"/>
      <c r="F4" s="274"/>
      <c r="G4" s="274"/>
      <c r="H4" s="274"/>
      <c r="I4" s="277"/>
      <c r="J4" s="278"/>
      <c r="K4" s="279"/>
      <c r="L4" s="277"/>
      <c r="M4" s="278"/>
      <c r="N4" s="276"/>
    </row>
    <row r="5" spans="1:14" x14ac:dyDescent="0.3">
      <c r="B5" s="266"/>
      <c r="C5" s="266"/>
      <c r="I5" s="254"/>
      <c r="J5" s="267"/>
      <c r="K5" s="268"/>
      <c r="L5" s="254"/>
      <c r="M5" s="267"/>
      <c r="N5" s="266"/>
    </row>
    <row r="6" spans="1:14" x14ac:dyDescent="0.3">
      <c r="B6" s="266"/>
      <c r="C6" s="266"/>
      <c r="I6" s="254"/>
      <c r="J6" s="267"/>
      <c r="K6" s="268"/>
      <c r="L6" s="254"/>
      <c r="M6" s="267"/>
      <c r="N6" s="266"/>
    </row>
    <row r="7" spans="1:14" x14ac:dyDescent="0.3">
      <c r="B7" s="266"/>
      <c r="C7" s="266"/>
      <c r="I7" s="254"/>
      <c r="J7" s="267"/>
      <c r="K7" s="268"/>
      <c r="L7" s="254"/>
      <c r="M7" s="267"/>
      <c r="N7" s="266"/>
    </row>
    <row r="8" spans="1:14" x14ac:dyDescent="0.3">
      <c r="B8" s="266"/>
      <c r="C8" s="266"/>
      <c r="I8" s="254"/>
      <c r="J8" s="267"/>
      <c r="K8" s="268"/>
      <c r="L8" s="254"/>
      <c r="M8" s="267"/>
      <c r="N8" s="266"/>
    </row>
    <row r="9" spans="1:14" x14ac:dyDescent="0.3">
      <c r="B9" s="266"/>
      <c r="C9" s="266"/>
      <c r="I9" s="254"/>
      <c r="J9" s="267"/>
      <c r="K9" s="268"/>
      <c r="L9" s="254"/>
      <c r="M9" s="267"/>
      <c r="N9" s="266"/>
    </row>
    <row r="10" spans="1:14" x14ac:dyDescent="0.3">
      <c r="B10" s="266"/>
      <c r="C10" s="266"/>
      <c r="I10" s="254"/>
      <c r="J10" s="267"/>
      <c r="K10" s="268"/>
      <c r="L10" s="254"/>
      <c r="M10" s="267"/>
      <c r="N10" s="266"/>
    </row>
    <row r="11" spans="1:14" x14ac:dyDescent="0.3">
      <c r="B11" s="266"/>
      <c r="C11" s="266"/>
      <c r="I11" s="254"/>
      <c r="J11" s="267"/>
      <c r="K11" s="268"/>
      <c r="L11" s="254"/>
      <c r="M11" s="267"/>
      <c r="N11" s="266"/>
    </row>
    <row r="12" spans="1:14" x14ac:dyDescent="0.3">
      <c r="B12" s="266"/>
      <c r="C12" s="266"/>
      <c r="I12" s="254"/>
      <c r="J12" s="267"/>
      <c r="K12" s="268"/>
      <c r="L12" s="254"/>
      <c r="M12" s="267"/>
      <c r="N12" s="266"/>
    </row>
    <row r="13" spans="1:14" x14ac:dyDescent="0.3">
      <c r="B13" s="266"/>
      <c r="C13" s="266"/>
      <c r="I13" s="254"/>
      <c r="J13" s="267"/>
      <c r="K13" s="268"/>
      <c r="L13" s="254"/>
      <c r="M13" s="267"/>
      <c r="N13" s="266"/>
    </row>
    <row r="14" spans="1:14" x14ac:dyDescent="0.3">
      <c r="B14" s="266"/>
      <c r="C14" s="266"/>
      <c r="I14" s="254"/>
      <c r="J14" s="267"/>
      <c r="K14" s="268"/>
      <c r="L14" s="254"/>
      <c r="M14" s="267"/>
      <c r="N14" s="266"/>
    </row>
    <row r="15" spans="1:14" x14ac:dyDescent="0.3">
      <c r="B15" s="266"/>
      <c r="C15" s="266"/>
      <c r="I15" s="254"/>
      <c r="J15" s="267"/>
      <c r="K15" s="268"/>
      <c r="L15" s="254"/>
      <c r="M15" s="267"/>
      <c r="N15" s="266"/>
    </row>
    <row r="16" spans="1:14" x14ac:dyDescent="0.3">
      <c r="B16" s="266"/>
      <c r="C16" s="266"/>
      <c r="I16" s="254"/>
      <c r="J16" s="267"/>
      <c r="K16" s="268"/>
      <c r="L16" s="254"/>
      <c r="M16" s="267"/>
      <c r="N16" s="266"/>
    </row>
    <row r="17" spans="2:14" x14ac:dyDescent="0.3">
      <c r="B17" s="266"/>
      <c r="C17" s="266"/>
      <c r="I17" s="254"/>
      <c r="J17" s="267"/>
      <c r="K17" s="268"/>
      <c r="L17" s="254"/>
      <c r="M17" s="267"/>
      <c r="N17" s="266"/>
    </row>
    <row r="18" spans="2:14" x14ac:dyDescent="0.3">
      <c r="B18" s="266"/>
      <c r="C18" s="266"/>
      <c r="I18" s="254"/>
      <c r="J18" s="267"/>
      <c r="K18" s="268"/>
      <c r="L18" s="254"/>
      <c r="M18" s="267"/>
      <c r="N18" s="266"/>
    </row>
    <row r="19" spans="2:14" x14ac:dyDescent="0.3">
      <c r="B19" s="266"/>
      <c r="C19" s="266"/>
      <c r="I19" s="254"/>
      <c r="J19" s="267"/>
      <c r="K19" s="268"/>
      <c r="L19" s="254"/>
      <c r="M19" s="267"/>
      <c r="N19" s="266"/>
    </row>
    <row r="20" spans="2:14" x14ac:dyDescent="0.3">
      <c r="B20" s="266"/>
      <c r="C20" s="266"/>
      <c r="I20" s="254"/>
      <c r="J20" s="267"/>
      <c r="K20" s="268"/>
      <c r="L20" s="254"/>
      <c r="M20" s="267"/>
      <c r="N20" s="266"/>
    </row>
    <row r="21" spans="2:14" x14ac:dyDescent="0.3">
      <c r="B21" s="266"/>
      <c r="C21" s="266"/>
      <c r="I21" s="254"/>
      <c r="J21" s="267"/>
      <c r="K21" s="268"/>
      <c r="L21" s="254"/>
      <c r="M21" s="267"/>
      <c r="N21" s="266"/>
    </row>
    <row r="22" spans="2:14" x14ac:dyDescent="0.3">
      <c r="B22" s="266"/>
      <c r="C22" s="266"/>
      <c r="I22" s="254"/>
      <c r="J22" s="267"/>
      <c r="K22" s="268"/>
      <c r="L22" s="254"/>
      <c r="M22" s="267"/>
      <c r="N22" s="266"/>
    </row>
    <row r="23" spans="2:14" x14ac:dyDescent="0.3">
      <c r="B23" s="266"/>
      <c r="C23" s="266"/>
      <c r="I23" s="254"/>
      <c r="J23" s="267"/>
      <c r="K23" s="268"/>
      <c r="L23" s="254"/>
      <c r="M23" s="267"/>
      <c r="N23" s="266"/>
    </row>
    <row r="24" spans="2:14" x14ac:dyDescent="0.3">
      <c r="B24" s="266"/>
      <c r="C24" s="266"/>
      <c r="I24" s="254"/>
      <c r="J24" s="267"/>
      <c r="K24" s="268"/>
      <c r="L24" s="254"/>
      <c r="M24" s="267"/>
      <c r="N24" s="266"/>
    </row>
    <row r="25" spans="2:14" x14ac:dyDescent="0.3">
      <c r="B25" s="266"/>
      <c r="C25" s="266"/>
      <c r="I25" s="254"/>
      <c r="J25" s="267"/>
      <c r="K25" s="268"/>
      <c r="L25" s="254"/>
      <c r="M25" s="267"/>
      <c r="N25" s="266"/>
    </row>
    <row r="26" spans="2:14" x14ac:dyDescent="0.3">
      <c r="B26" s="266"/>
      <c r="C26" s="266"/>
      <c r="I26" s="254"/>
      <c r="J26" s="267"/>
      <c r="K26" s="268"/>
      <c r="L26" s="254"/>
      <c r="M26" s="267"/>
      <c r="N26" s="266"/>
    </row>
    <row r="27" spans="2:14" x14ac:dyDescent="0.3">
      <c r="B27" s="266"/>
      <c r="C27" s="266"/>
      <c r="I27" s="254"/>
      <c r="J27" s="267"/>
      <c r="K27" s="268"/>
      <c r="L27" s="254"/>
      <c r="M27" s="267"/>
      <c r="N27" s="266"/>
    </row>
    <row r="28" spans="2:14" x14ac:dyDescent="0.3">
      <c r="B28" s="266"/>
      <c r="C28" s="266"/>
      <c r="I28" s="254"/>
      <c r="J28" s="267"/>
      <c r="K28" s="268"/>
      <c r="L28" s="254"/>
      <c r="M28" s="267"/>
      <c r="N28" s="266"/>
    </row>
    <row r="29" spans="2:14" x14ac:dyDescent="0.3">
      <c r="B29" s="266"/>
      <c r="C29" s="266"/>
      <c r="I29" s="254"/>
      <c r="J29" s="267"/>
      <c r="K29" s="268"/>
      <c r="L29" s="254"/>
      <c r="M29" s="267"/>
      <c r="N29" s="266"/>
    </row>
    <row r="30" spans="2:14" x14ac:dyDescent="0.3">
      <c r="B30" s="266"/>
      <c r="C30" s="266"/>
      <c r="I30" s="254"/>
      <c r="J30" s="267"/>
      <c r="K30" s="268"/>
      <c r="L30" s="254"/>
      <c r="M30" s="267"/>
      <c r="N30" s="266"/>
    </row>
    <row r="31" spans="2:14" x14ac:dyDescent="0.3">
      <c r="B31" s="266"/>
      <c r="C31" s="266"/>
      <c r="I31" s="254"/>
      <c r="J31" s="267"/>
      <c r="K31" s="268"/>
      <c r="L31" s="254"/>
      <c r="M31" s="267"/>
      <c r="N31" s="266"/>
    </row>
    <row r="32" spans="2:14" x14ac:dyDescent="0.3">
      <c r="B32" s="266"/>
      <c r="C32" s="266"/>
      <c r="I32" s="254"/>
      <c r="J32" s="267"/>
      <c r="K32" s="268"/>
      <c r="L32" s="254"/>
      <c r="M32" s="267"/>
      <c r="N32" s="266"/>
    </row>
    <row r="33" spans="2:14" x14ac:dyDescent="0.3">
      <c r="B33" s="266"/>
      <c r="C33" s="266"/>
      <c r="I33" s="254"/>
      <c r="J33" s="267"/>
      <c r="K33" s="268"/>
      <c r="L33" s="254"/>
      <c r="M33" s="267"/>
      <c r="N33" s="266"/>
    </row>
  </sheetData>
  <pageMargins left="0.3" right="0.3" top="0.89999999999999991" bottom="0.5" header="0.3" footer="0.3"/>
  <pageSetup scale="92" fitToHeight="0" orientation="landscape" r:id="rId1"/>
  <headerFooter>
    <oddHeader>&amp;C&amp;"Calibri,Bold"&amp;14EBD Lists
&amp;"Calibri"&amp;10Arrivals: 21-Jun-26  to  21-Jul-26&amp;R&amp;"Calibri"&amp;9Printed: 21-Jun-26 16:36</oddHeader>
    <oddFooter>&amp;CPage &amp;P of &amp;N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EC7944-F0F0-4C4A-B95E-EAC5B2345F89}">
  <sheetPr codeName="Sheet7"/>
  <dimension ref="A1:DI13"/>
  <sheetViews>
    <sheetView workbookViewId="0">
      <selection activeCell="G6" sqref="G6"/>
    </sheetView>
  </sheetViews>
  <sheetFormatPr defaultRowHeight="14.4" x14ac:dyDescent="0.3"/>
  <cols>
    <col min="1" max="1" width="11.6640625" customWidth="1"/>
    <col min="3" max="3" width="15.44140625" customWidth="1"/>
    <col min="5" max="5" width="14.6640625" customWidth="1"/>
    <col min="7" max="7" width="9" customWidth="1"/>
    <col min="11" max="11" width="15.88671875" customWidth="1"/>
    <col min="13" max="13" width="17.6640625" customWidth="1"/>
    <col min="15" max="15" width="10.44140625" customWidth="1"/>
  </cols>
  <sheetData>
    <row r="1" spans="1:113" x14ac:dyDescent="0.3">
      <c r="A1" t="s">
        <v>1375</v>
      </c>
      <c r="C1" t="s">
        <v>1376</v>
      </c>
      <c r="E1" t="s">
        <v>1377</v>
      </c>
      <c r="G1" t="s">
        <v>4</v>
      </c>
      <c r="I1" t="s">
        <v>7</v>
      </c>
      <c r="K1" t="s">
        <v>1378</v>
      </c>
      <c r="M1" t="s">
        <v>30</v>
      </c>
      <c r="O1" t="s">
        <v>1387</v>
      </c>
      <c r="Q1" t="s">
        <v>1290</v>
      </c>
      <c r="T1" t="s">
        <v>121</v>
      </c>
      <c r="U1" t="s">
        <v>1388</v>
      </c>
      <c r="V1" t="s">
        <v>168</v>
      </c>
      <c r="W1" t="s">
        <v>1389</v>
      </c>
      <c r="X1" t="s">
        <v>166</v>
      </c>
      <c r="Y1" t="s">
        <v>151</v>
      </c>
      <c r="Z1" t="s">
        <v>1390</v>
      </c>
      <c r="AA1" t="s">
        <v>162</v>
      </c>
      <c r="AB1" t="s">
        <v>172</v>
      </c>
      <c r="AC1" t="s">
        <v>1391</v>
      </c>
      <c r="AD1" t="s">
        <v>1392</v>
      </c>
      <c r="AE1" t="s">
        <v>1393</v>
      </c>
      <c r="AF1" t="s">
        <v>1394</v>
      </c>
      <c r="AG1" t="s">
        <v>126</v>
      </c>
      <c r="AH1" t="s">
        <v>110</v>
      </c>
      <c r="AI1" t="s">
        <v>134</v>
      </c>
      <c r="AJ1" t="s">
        <v>210</v>
      </c>
      <c r="AK1" t="s">
        <v>89</v>
      </c>
      <c r="AL1" t="s">
        <v>135</v>
      </c>
      <c r="AM1" t="s">
        <v>153</v>
      </c>
      <c r="AN1" t="s">
        <v>182</v>
      </c>
      <c r="AO1" t="s">
        <v>129</v>
      </c>
      <c r="AP1" t="s">
        <v>131</v>
      </c>
      <c r="AQ1" t="s">
        <v>140</v>
      </c>
      <c r="AR1" t="s">
        <v>104</v>
      </c>
      <c r="AS1" t="s">
        <v>177</v>
      </c>
      <c r="AT1" t="s">
        <v>1404</v>
      </c>
      <c r="AU1" t="s">
        <v>124</v>
      </c>
      <c r="AV1" t="s">
        <v>93</v>
      </c>
      <c r="AW1" t="s">
        <v>107</v>
      </c>
      <c r="AX1" t="s">
        <v>158</v>
      </c>
      <c r="AY1" t="s">
        <v>78</v>
      </c>
      <c r="AZ1" t="s">
        <v>90</v>
      </c>
      <c r="BA1" t="s">
        <v>1395</v>
      </c>
      <c r="BB1" t="s">
        <v>139</v>
      </c>
      <c r="BC1" t="s">
        <v>1396</v>
      </c>
      <c r="BD1" t="s">
        <v>117</v>
      </c>
      <c r="BE1" t="s">
        <v>163</v>
      </c>
      <c r="BF1" t="s">
        <v>105</v>
      </c>
      <c r="BG1" t="s">
        <v>156</v>
      </c>
      <c r="BH1" t="s">
        <v>112</v>
      </c>
      <c r="BI1" t="s">
        <v>97</v>
      </c>
      <c r="BJ1" t="s">
        <v>1397</v>
      </c>
      <c r="BK1" t="s">
        <v>1398</v>
      </c>
      <c r="BL1" t="s">
        <v>91</v>
      </c>
      <c r="BM1" t="s">
        <v>88</v>
      </c>
      <c r="BN1" t="s">
        <v>94</v>
      </c>
      <c r="BO1" t="s">
        <v>102</v>
      </c>
      <c r="BP1" t="s">
        <v>1399</v>
      </c>
      <c r="BQ1" t="s">
        <v>122</v>
      </c>
      <c r="BR1" t="s">
        <v>157</v>
      </c>
      <c r="BS1" t="s">
        <v>133</v>
      </c>
      <c r="BT1" t="s">
        <v>86</v>
      </c>
      <c r="BU1" t="s">
        <v>85</v>
      </c>
      <c r="BV1" t="s">
        <v>1400</v>
      </c>
      <c r="BW1" t="s">
        <v>118</v>
      </c>
      <c r="BX1" t="s">
        <v>101</v>
      </c>
      <c r="BY1" t="s">
        <v>66</v>
      </c>
      <c r="BZ1" t="s">
        <v>1401</v>
      </c>
      <c r="CA1" t="s">
        <v>109</v>
      </c>
      <c r="CB1" t="s">
        <v>119</v>
      </c>
      <c r="CC1" t="s">
        <v>141</v>
      </c>
      <c r="CD1" t="s">
        <v>113</v>
      </c>
      <c r="CE1" t="s">
        <v>111</v>
      </c>
      <c r="CF1" t="s">
        <v>108</v>
      </c>
      <c r="CG1" t="s">
        <v>127</v>
      </c>
      <c r="CH1" t="s">
        <v>103</v>
      </c>
      <c r="CI1" t="s">
        <v>96</v>
      </c>
      <c r="CJ1" t="s">
        <v>142</v>
      </c>
      <c r="CK1" t="s">
        <v>165</v>
      </c>
      <c r="CL1" t="s">
        <v>115</v>
      </c>
      <c r="CM1" t="s">
        <v>74</v>
      </c>
      <c r="CN1" t="s">
        <v>62</v>
      </c>
      <c r="CO1" t="s">
        <v>71</v>
      </c>
      <c r="CP1" t="s">
        <v>67</v>
      </c>
      <c r="CQ1" t="s">
        <v>189</v>
      </c>
      <c r="CR1" t="s">
        <v>64</v>
      </c>
      <c r="CS1" t="s">
        <v>160</v>
      </c>
      <c r="CT1" t="s">
        <v>68</v>
      </c>
      <c r="CU1" t="s">
        <v>187</v>
      </c>
      <c r="CV1" t="s">
        <v>222</v>
      </c>
      <c r="CW1" t="s">
        <v>76</v>
      </c>
      <c r="CX1" t="s">
        <v>51</v>
      </c>
      <c r="CY1" t="s">
        <v>55</v>
      </c>
      <c r="CZ1" t="s">
        <v>80</v>
      </c>
      <c r="DA1" t="s">
        <v>144</v>
      </c>
      <c r="DB1" t="s">
        <v>123</v>
      </c>
      <c r="DC1" t="s">
        <v>147</v>
      </c>
      <c r="DD1" t="s">
        <v>148</v>
      </c>
      <c r="DE1" t="s">
        <v>92</v>
      </c>
      <c r="DF1" t="s">
        <v>132</v>
      </c>
      <c r="DG1" t="s">
        <v>114</v>
      </c>
      <c r="DH1" t="s">
        <v>136</v>
      </c>
      <c r="DI1" t="s">
        <v>120</v>
      </c>
    </row>
    <row r="2" spans="1:113" x14ac:dyDescent="0.3">
      <c r="A2" t="s">
        <v>53</v>
      </c>
      <c r="C2" t="s">
        <v>47</v>
      </c>
      <c r="E2" t="s">
        <v>79</v>
      </c>
      <c r="G2" t="s">
        <v>49</v>
      </c>
      <c r="I2" t="s">
        <v>84</v>
      </c>
      <c r="K2" t="s">
        <v>52</v>
      </c>
      <c r="M2" t="s">
        <v>1291</v>
      </c>
      <c r="O2" t="s">
        <v>1293</v>
      </c>
      <c r="Q2" t="s">
        <v>1292</v>
      </c>
      <c r="T2" t="s">
        <v>1402</v>
      </c>
      <c r="U2" t="s">
        <v>1402</v>
      </c>
      <c r="V2" t="s">
        <v>1410</v>
      </c>
      <c r="W2" t="s">
        <v>1402</v>
      </c>
      <c r="X2" t="s">
        <v>1418</v>
      </c>
      <c r="Y2" t="s">
        <v>1423</v>
      </c>
      <c r="Z2" t="s">
        <v>1427</v>
      </c>
      <c r="AA2" t="s">
        <v>1427</v>
      </c>
      <c r="AB2" t="s">
        <v>1402</v>
      </c>
      <c r="AC2" t="s">
        <v>1441</v>
      </c>
      <c r="AG2" t="s">
        <v>1448</v>
      </c>
      <c r="AH2" t="s">
        <v>1448</v>
      </c>
      <c r="AI2" t="s">
        <v>155</v>
      </c>
      <c r="AJ2" t="s">
        <v>1460</v>
      </c>
      <c r="AK2" t="s">
        <v>1402</v>
      </c>
      <c r="AL2" t="s">
        <v>1402</v>
      </c>
      <c r="AN2" t="s">
        <v>1468</v>
      </c>
      <c r="AQ2" t="s">
        <v>1470</v>
      </c>
      <c r="AR2" t="s">
        <v>1477</v>
      </c>
      <c r="AS2" t="s">
        <v>1464</v>
      </c>
      <c r="AU2" t="s">
        <v>1470</v>
      </c>
      <c r="AV2" t="s">
        <v>1470</v>
      </c>
      <c r="AY2" t="s">
        <v>1402</v>
      </c>
      <c r="BA2" t="s">
        <v>99</v>
      </c>
      <c r="BD2" t="s">
        <v>1493</v>
      </c>
      <c r="BE2" t="s">
        <v>1502</v>
      </c>
      <c r="BH2" t="s">
        <v>1508</v>
      </c>
      <c r="BJ2" t="s">
        <v>1511</v>
      </c>
      <c r="BK2" t="s">
        <v>1514</v>
      </c>
      <c r="BM2" t="s">
        <v>1508</v>
      </c>
      <c r="BS2" t="s">
        <v>1402</v>
      </c>
      <c r="BX2" t="s">
        <v>1402</v>
      </c>
      <c r="BZ2" t="s">
        <v>1523</v>
      </c>
      <c r="CD2" t="s">
        <v>1531</v>
      </c>
      <c r="CE2" t="s">
        <v>1539</v>
      </c>
      <c r="CF2" t="s">
        <v>1544</v>
      </c>
      <c r="CH2" t="s">
        <v>1547</v>
      </c>
      <c r="CI2" t="s">
        <v>1554</v>
      </c>
      <c r="CJ2" t="s">
        <v>1562</v>
      </c>
      <c r="CL2" t="s">
        <v>1568</v>
      </c>
      <c r="CN2" t="s">
        <v>1562</v>
      </c>
      <c r="CO2" t="s">
        <v>1575</v>
      </c>
      <c r="CP2" t="s">
        <v>1562</v>
      </c>
      <c r="CR2" t="s">
        <v>1579</v>
      </c>
      <c r="CT2" t="s">
        <v>1579</v>
      </c>
      <c r="CW2" t="s">
        <v>99</v>
      </c>
      <c r="CX2" t="s">
        <v>99</v>
      </c>
      <c r="CY2" t="s">
        <v>99</v>
      </c>
      <c r="CZ2" t="s">
        <v>99</v>
      </c>
      <c r="DA2" t="s">
        <v>1588</v>
      </c>
      <c r="DB2" t="s">
        <v>1592</v>
      </c>
      <c r="DD2" t="s">
        <v>274</v>
      </c>
      <c r="DE2" t="s">
        <v>318</v>
      </c>
      <c r="DF2" t="s">
        <v>1402</v>
      </c>
      <c r="DG2" t="s">
        <v>1402</v>
      </c>
      <c r="DH2" t="s">
        <v>1402</v>
      </c>
      <c r="DI2" t="s">
        <v>1464</v>
      </c>
    </row>
    <row r="3" spans="1:113" x14ac:dyDescent="0.3">
      <c r="A3" t="s">
        <v>1294</v>
      </c>
      <c r="C3" t="s">
        <v>73</v>
      </c>
      <c r="E3" t="s">
        <v>48</v>
      </c>
      <c r="G3" t="s">
        <v>106</v>
      </c>
      <c r="I3" t="s">
        <v>50</v>
      </c>
      <c r="K3" t="s">
        <v>65</v>
      </c>
      <c r="M3" t="s">
        <v>54</v>
      </c>
      <c r="O3" t="s">
        <v>1296</v>
      </c>
      <c r="Q3" t="s">
        <v>1295</v>
      </c>
      <c r="T3" t="s">
        <v>1403</v>
      </c>
      <c r="U3" t="s">
        <v>1409</v>
      </c>
      <c r="V3" t="s">
        <v>1411</v>
      </c>
      <c r="W3" t="s">
        <v>1415</v>
      </c>
      <c r="X3" t="s">
        <v>1419</v>
      </c>
      <c r="Y3" t="s">
        <v>1424</v>
      </c>
      <c r="Z3" t="s">
        <v>1428</v>
      </c>
      <c r="AA3" t="s">
        <v>1428</v>
      </c>
      <c r="AB3" t="s">
        <v>1436</v>
      </c>
      <c r="AC3" t="s">
        <v>1442</v>
      </c>
      <c r="AG3" t="s">
        <v>1423</v>
      </c>
      <c r="AH3" t="s">
        <v>1415</v>
      </c>
      <c r="AI3" t="s">
        <v>1458</v>
      </c>
      <c r="AJ3" t="s">
        <v>1461</v>
      </c>
      <c r="AK3" t="s">
        <v>1462</v>
      </c>
      <c r="AL3" t="s">
        <v>1462</v>
      </c>
      <c r="AN3" t="s">
        <v>1469</v>
      </c>
      <c r="AQ3" t="s">
        <v>1471</v>
      </c>
      <c r="AR3" t="s">
        <v>1478</v>
      </c>
      <c r="AS3" t="s">
        <v>1465</v>
      </c>
      <c r="AU3" t="s">
        <v>1481</v>
      </c>
      <c r="AV3" t="s">
        <v>1481</v>
      </c>
      <c r="AY3" t="s">
        <v>1491</v>
      </c>
      <c r="BA3" t="s">
        <v>274</v>
      </c>
      <c r="BD3" t="s">
        <v>1494</v>
      </c>
      <c r="BE3" t="s">
        <v>1503</v>
      </c>
      <c r="BH3" t="s">
        <v>1509</v>
      </c>
      <c r="BJ3" t="s">
        <v>1512</v>
      </c>
      <c r="BK3" t="s">
        <v>1515</v>
      </c>
      <c r="BM3" t="s">
        <v>1509</v>
      </c>
      <c r="BS3" t="s">
        <v>1519</v>
      </c>
      <c r="BX3" t="s">
        <v>1521</v>
      </c>
      <c r="BZ3" t="s">
        <v>1524</v>
      </c>
      <c r="CD3" t="s">
        <v>1532</v>
      </c>
      <c r="CE3" t="s">
        <v>1540</v>
      </c>
      <c r="CF3" t="s">
        <v>1545</v>
      </c>
      <c r="CH3" t="s">
        <v>1548</v>
      </c>
      <c r="CI3" t="s">
        <v>1555</v>
      </c>
      <c r="CJ3" t="s">
        <v>1563</v>
      </c>
      <c r="CL3" t="s">
        <v>1569</v>
      </c>
      <c r="CN3" t="s">
        <v>1574</v>
      </c>
      <c r="CO3" t="s">
        <v>1576</v>
      </c>
      <c r="CP3" t="s">
        <v>1578</v>
      </c>
      <c r="CR3" t="s">
        <v>1582</v>
      </c>
      <c r="CT3" t="s">
        <v>1584</v>
      </c>
      <c r="CW3" t="s">
        <v>1402</v>
      </c>
      <c r="CX3" t="s">
        <v>1402</v>
      </c>
      <c r="CY3" t="s">
        <v>1402</v>
      </c>
      <c r="CZ3" t="s">
        <v>1402</v>
      </c>
      <c r="DA3" t="s">
        <v>1589</v>
      </c>
      <c r="DB3" t="s">
        <v>1593</v>
      </c>
      <c r="DD3" t="s">
        <v>275</v>
      </c>
      <c r="DE3" t="s">
        <v>319</v>
      </c>
      <c r="DF3" t="s">
        <v>1596</v>
      </c>
      <c r="DG3" t="s">
        <v>1596</v>
      </c>
      <c r="DH3" t="s">
        <v>1410</v>
      </c>
      <c r="DI3" t="s">
        <v>1598</v>
      </c>
    </row>
    <row r="4" spans="1:113" x14ac:dyDescent="0.3">
      <c r="A4" t="s">
        <v>1297</v>
      </c>
      <c r="C4" t="s">
        <v>1298</v>
      </c>
      <c r="E4" t="s">
        <v>137</v>
      </c>
      <c r="G4" t="s">
        <v>61</v>
      </c>
      <c r="I4" t="s">
        <v>1300</v>
      </c>
      <c r="K4" t="s">
        <v>70</v>
      </c>
      <c r="M4" t="s">
        <v>1299</v>
      </c>
      <c r="O4" t="s">
        <v>1301</v>
      </c>
      <c r="T4" t="s">
        <v>1405</v>
      </c>
      <c r="V4" t="s">
        <v>1412</v>
      </c>
      <c r="W4" t="s">
        <v>1416</v>
      </c>
      <c r="X4" t="s">
        <v>1420</v>
      </c>
      <c r="Y4" t="s">
        <v>1425</v>
      </c>
      <c r="Z4" t="s">
        <v>1429</v>
      </c>
      <c r="AA4" t="s">
        <v>1429</v>
      </c>
      <c r="AB4" t="s">
        <v>198</v>
      </c>
      <c r="AC4" t="s">
        <v>1416</v>
      </c>
      <c r="AG4" t="s">
        <v>1449</v>
      </c>
      <c r="AH4" t="s">
        <v>1456</v>
      </c>
      <c r="AI4" t="s">
        <v>1459</v>
      </c>
      <c r="AJ4" t="s">
        <v>1436</v>
      </c>
      <c r="AK4" t="s">
        <v>1463</v>
      </c>
      <c r="AL4" t="s">
        <v>1463</v>
      </c>
      <c r="AN4" t="s">
        <v>1466</v>
      </c>
      <c r="AQ4" t="s">
        <v>1472</v>
      </c>
      <c r="AR4" t="s">
        <v>1412</v>
      </c>
      <c r="AS4" t="s">
        <v>1466</v>
      </c>
      <c r="AU4" t="s">
        <v>1482</v>
      </c>
      <c r="AV4" t="s">
        <v>1485</v>
      </c>
      <c r="AY4" t="s">
        <v>1492</v>
      </c>
      <c r="BA4" t="s">
        <v>275</v>
      </c>
      <c r="BD4" t="s">
        <v>1495</v>
      </c>
      <c r="BE4" t="s">
        <v>1504</v>
      </c>
      <c r="BH4" t="s">
        <v>1510</v>
      </c>
      <c r="BJ4" t="s">
        <v>1513</v>
      </c>
      <c r="BK4" t="s">
        <v>1516</v>
      </c>
      <c r="BM4" t="s">
        <v>1518</v>
      </c>
      <c r="BS4" t="s">
        <v>1520</v>
      </c>
      <c r="BX4" t="s">
        <v>1463</v>
      </c>
      <c r="BZ4" t="s">
        <v>1525</v>
      </c>
      <c r="CD4" t="s">
        <v>1533</v>
      </c>
      <c r="CE4" t="s">
        <v>1541</v>
      </c>
      <c r="CF4" t="s">
        <v>1546</v>
      </c>
      <c r="CH4" t="s">
        <v>1549</v>
      </c>
      <c r="CI4" t="s">
        <v>1556</v>
      </c>
      <c r="CJ4" t="s">
        <v>1564</v>
      </c>
      <c r="CL4" t="s">
        <v>1570</v>
      </c>
      <c r="CO4" t="s">
        <v>1423</v>
      </c>
      <c r="CP4" t="s">
        <v>1579</v>
      </c>
      <c r="CR4" t="s">
        <v>1583</v>
      </c>
      <c r="CT4" t="s">
        <v>1585</v>
      </c>
      <c r="CW4" t="s">
        <v>1436</v>
      </c>
      <c r="CX4" t="s">
        <v>1520</v>
      </c>
      <c r="CY4" t="s">
        <v>1436</v>
      </c>
      <c r="CZ4" t="s">
        <v>1436</v>
      </c>
      <c r="DA4" t="s">
        <v>1590</v>
      </c>
      <c r="DB4" t="s">
        <v>1427</v>
      </c>
      <c r="DD4" t="s">
        <v>175</v>
      </c>
      <c r="DE4" t="s">
        <v>320</v>
      </c>
      <c r="DF4" t="s">
        <v>1410</v>
      </c>
      <c r="DG4" t="s">
        <v>1410</v>
      </c>
      <c r="DH4" t="s">
        <v>1436</v>
      </c>
      <c r="DI4" t="s">
        <v>1599</v>
      </c>
    </row>
    <row r="5" spans="1:113" x14ac:dyDescent="0.3">
      <c r="A5" t="s">
        <v>1302</v>
      </c>
      <c r="C5" t="s">
        <v>1303</v>
      </c>
      <c r="E5" t="s">
        <v>1379</v>
      </c>
      <c r="G5" t="s">
        <v>83</v>
      </c>
      <c r="I5" t="s">
        <v>152</v>
      </c>
      <c r="K5" t="s">
        <v>1305</v>
      </c>
      <c r="M5" t="s">
        <v>1304</v>
      </c>
      <c r="O5" t="s">
        <v>1306</v>
      </c>
      <c r="T5" t="s">
        <v>1406</v>
      </c>
      <c r="V5" t="s">
        <v>1413</v>
      </c>
      <c r="W5" t="s">
        <v>1417</v>
      </c>
      <c r="X5" t="s">
        <v>1421</v>
      </c>
      <c r="Y5" t="s">
        <v>1426</v>
      </c>
      <c r="Z5" t="s">
        <v>1430</v>
      </c>
      <c r="AA5" t="s">
        <v>1430</v>
      </c>
      <c r="AC5" t="s">
        <v>1443</v>
      </c>
      <c r="AG5" t="s">
        <v>1450</v>
      </c>
      <c r="AH5" t="s">
        <v>1457</v>
      </c>
      <c r="AK5" t="s">
        <v>1436</v>
      </c>
      <c r="AL5" t="s">
        <v>1436</v>
      </c>
      <c r="AQ5" t="s">
        <v>1473</v>
      </c>
      <c r="AR5" t="s">
        <v>1479</v>
      </c>
      <c r="AS5" t="s">
        <v>1467</v>
      </c>
      <c r="AU5" t="s">
        <v>1483</v>
      </c>
      <c r="AV5" t="s">
        <v>1486</v>
      </c>
      <c r="BA5" t="s">
        <v>300</v>
      </c>
      <c r="BD5" t="s">
        <v>1496</v>
      </c>
      <c r="BE5" t="s">
        <v>1505</v>
      </c>
      <c r="BJ5" t="s">
        <v>1436</v>
      </c>
      <c r="BK5" t="s">
        <v>1517</v>
      </c>
      <c r="BM5" t="s">
        <v>1511</v>
      </c>
      <c r="BS5" t="s">
        <v>1436</v>
      </c>
      <c r="BX5" t="s">
        <v>1436</v>
      </c>
      <c r="BZ5" t="s">
        <v>1526</v>
      </c>
      <c r="CD5" t="s">
        <v>1534</v>
      </c>
      <c r="CE5" t="s">
        <v>1542</v>
      </c>
      <c r="CH5" t="s">
        <v>1550</v>
      </c>
      <c r="CI5" t="s">
        <v>1557</v>
      </c>
      <c r="CJ5" t="s">
        <v>1565</v>
      </c>
      <c r="CL5" t="s">
        <v>1571</v>
      </c>
      <c r="CO5" t="s">
        <v>1577</v>
      </c>
      <c r="CP5" t="s">
        <v>1580</v>
      </c>
      <c r="CW5" t="s">
        <v>1586</v>
      </c>
      <c r="CX5" t="s">
        <v>1436</v>
      </c>
      <c r="CZ5" t="s">
        <v>1586</v>
      </c>
      <c r="DA5" t="s">
        <v>1591</v>
      </c>
      <c r="DB5" t="s">
        <v>1429</v>
      </c>
      <c r="DD5" t="s">
        <v>191</v>
      </c>
      <c r="DE5" t="s">
        <v>1595</v>
      </c>
      <c r="DF5" t="s">
        <v>1446</v>
      </c>
      <c r="DG5" t="s">
        <v>1446</v>
      </c>
      <c r="DI5" t="s">
        <v>1600</v>
      </c>
    </row>
    <row r="6" spans="1:113" x14ac:dyDescent="0.3">
      <c r="A6" t="s">
        <v>1386</v>
      </c>
      <c r="C6" t="s">
        <v>60</v>
      </c>
      <c r="G6" t="s">
        <v>138</v>
      </c>
      <c r="I6" t="s">
        <v>58</v>
      </c>
      <c r="K6" t="s">
        <v>1308</v>
      </c>
      <c r="M6" t="s">
        <v>1307</v>
      </c>
      <c r="T6" t="s">
        <v>1407</v>
      </c>
      <c r="V6" t="s">
        <v>1414</v>
      </c>
      <c r="X6" t="s">
        <v>1422</v>
      </c>
      <c r="Z6" t="s">
        <v>1431</v>
      </c>
      <c r="AA6" t="s">
        <v>1431</v>
      </c>
      <c r="AC6" t="s">
        <v>1444</v>
      </c>
      <c r="AG6" t="s">
        <v>1451</v>
      </c>
      <c r="AL6" t="s">
        <v>1446</v>
      </c>
      <c r="AQ6" t="s">
        <v>1474</v>
      </c>
      <c r="AR6" t="s">
        <v>1480</v>
      </c>
      <c r="AU6" t="s">
        <v>1484</v>
      </c>
      <c r="AV6" t="s">
        <v>1487</v>
      </c>
      <c r="BA6" t="s">
        <v>69</v>
      </c>
      <c r="BD6" t="s">
        <v>1497</v>
      </c>
      <c r="BE6" t="s">
        <v>1506</v>
      </c>
      <c r="BM6" t="s">
        <v>99</v>
      </c>
      <c r="BS6" t="s">
        <v>1446</v>
      </c>
      <c r="BX6" t="s">
        <v>1522</v>
      </c>
      <c r="BZ6" t="s">
        <v>1527</v>
      </c>
      <c r="CD6" t="s">
        <v>1535</v>
      </c>
      <c r="CE6" t="s">
        <v>1543</v>
      </c>
      <c r="CH6" t="s">
        <v>1551</v>
      </c>
      <c r="CI6" t="s">
        <v>1558</v>
      </c>
      <c r="CJ6" t="s">
        <v>1566</v>
      </c>
      <c r="CL6" t="s">
        <v>1572</v>
      </c>
      <c r="CP6" t="s">
        <v>1581</v>
      </c>
      <c r="CX6" t="s">
        <v>1587</v>
      </c>
      <c r="DA6" t="s">
        <v>198</v>
      </c>
      <c r="DD6" t="s">
        <v>309</v>
      </c>
      <c r="DE6" t="s">
        <v>314</v>
      </c>
      <c r="DF6" t="s">
        <v>1436</v>
      </c>
      <c r="DG6" t="s">
        <v>1436</v>
      </c>
    </row>
    <row r="7" spans="1:113" x14ac:dyDescent="0.3">
      <c r="A7" t="s">
        <v>1283</v>
      </c>
      <c r="C7" t="s">
        <v>1304</v>
      </c>
      <c r="G7" t="s">
        <v>2665</v>
      </c>
      <c r="I7" t="s">
        <v>1309</v>
      </c>
      <c r="K7" t="s">
        <v>1310</v>
      </c>
      <c r="T7" t="s">
        <v>1408</v>
      </c>
      <c r="Z7" t="s">
        <v>1432</v>
      </c>
      <c r="AA7" t="s">
        <v>1432</v>
      </c>
      <c r="AC7" t="s">
        <v>1445</v>
      </c>
      <c r="AG7" t="s">
        <v>1452</v>
      </c>
      <c r="AQ7" t="s">
        <v>1475</v>
      </c>
      <c r="AR7" t="s">
        <v>198</v>
      </c>
      <c r="AV7" t="s">
        <v>1488</v>
      </c>
      <c r="BD7" t="s">
        <v>1498</v>
      </c>
      <c r="BE7" t="s">
        <v>1507</v>
      </c>
      <c r="BZ7" t="s">
        <v>1528</v>
      </c>
      <c r="CD7" t="s">
        <v>1536</v>
      </c>
      <c r="CH7" t="s">
        <v>1552</v>
      </c>
      <c r="CI7" t="s">
        <v>1559</v>
      </c>
      <c r="CJ7" t="s">
        <v>1567</v>
      </c>
      <c r="CL7" t="s">
        <v>1573</v>
      </c>
      <c r="CX7" t="s">
        <v>1586</v>
      </c>
      <c r="DD7" t="s">
        <v>1594</v>
      </c>
      <c r="DE7" t="s">
        <v>315</v>
      </c>
      <c r="DF7" t="s">
        <v>1597</v>
      </c>
    </row>
    <row r="8" spans="1:113" x14ac:dyDescent="0.3">
      <c r="C8" t="s">
        <v>1311</v>
      </c>
      <c r="I8" t="s">
        <v>1380</v>
      </c>
      <c r="Z8" t="s">
        <v>1433</v>
      </c>
      <c r="AA8" t="s">
        <v>1437</v>
      </c>
      <c r="AC8" t="s">
        <v>1446</v>
      </c>
      <c r="AG8" t="s">
        <v>1453</v>
      </c>
      <c r="AQ8" t="s">
        <v>1476</v>
      </c>
      <c r="AV8" t="s">
        <v>1489</v>
      </c>
      <c r="BD8" t="s">
        <v>1499</v>
      </c>
      <c r="BZ8" t="s">
        <v>1529</v>
      </c>
      <c r="CD8" t="s">
        <v>1537</v>
      </c>
      <c r="CH8" t="s">
        <v>1553</v>
      </c>
      <c r="CI8" t="s">
        <v>1560</v>
      </c>
      <c r="DD8" t="s">
        <v>286</v>
      </c>
      <c r="DE8" t="s">
        <v>316</v>
      </c>
    </row>
    <row r="9" spans="1:113" x14ac:dyDescent="0.3">
      <c r="I9" t="s">
        <v>1381</v>
      </c>
      <c r="Z9" t="s">
        <v>1434</v>
      </c>
      <c r="AA9" t="s">
        <v>1438</v>
      </c>
      <c r="AC9" t="s">
        <v>1447</v>
      </c>
      <c r="AG9" t="s">
        <v>1454</v>
      </c>
      <c r="AV9" t="s">
        <v>1490</v>
      </c>
      <c r="BD9" t="s">
        <v>1500</v>
      </c>
      <c r="BZ9" t="s">
        <v>1530</v>
      </c>
      <c r="CD9" t="s">
        <v>1538</v>
      </c>
      <c r="CI9" t="s">
        <v>1561</v>
      </c>
      <c r="DE9" t="s">
        <v>317</v>
      </c>
    </row>
    <row r="10" spans="1:113" x14ac:dyDescent="0.3">
      <c r="I10" t="s">
        <v>1382</v>
      </c>
      <c r="Z10" t="s">
        <v>1435</v>
      </c>
      <c r="AA10" t="s">
        <v>1439</v>
      </c>
      <c r="AC10" t="s">
        <v>1436</v>
      </c>
      <c r="AG10" t="s">
        <v>1455</v>
      </c>
      <c r="BD10" t="s">
        <v>1501</v>
      </c>
      <c r="CI10" t="s">
        <v>1530</v>
      </c>
      <c r="DE10" t="s">
        <v>313</v>
      </c>
    </row>
    <row r="11" spans="1:113" x14ac:dyDescent="0.3">
      <c r="I11" t="s">
        <v>1383</v>
      </c>
      <c r="Z11" t="s">
        <v>1436</v>
      </c>
      <c r="AA11" t="s">
        <v>1440</v>
      </c>
      <c r="DE11" t="s">
        <v>312</v>
      </c>
    </row>
    <row r="12" spans="1:113" x14ac:dyDescent="0.3">
      <c r="I12" t="s">
        <v>1384</v>
      </c>
      <c r="DE12" t="s">
        <v>310</v>
      </c>
    </row>
    <row r="13" spans="1:113" x14ac:dyDescent="0.3">
      <c r="I13" t="s">
        <v>1385</v>
      </c>
      <c r="DE13" t="s">
        <v>311</v>
      </c>
    </row>
  </sheetData>
  <pageMargins left="0.7" right="0.7" top="0.75" bottom="0.75" header="0.3" footer="0.3"/>
  <tableParts count="9">
    <tablePart r:id="rId1"/>
    <tablePart r:id="rId2"/>
    <tablePart r:id="rId3"/>
    <tablePart r:id="rId4"/>
    <tablePart r:id="rId5"/>
    <tablePart r:id="rId6"/>
    <tablePart r:id="rId7"/>
    <tablePart r:id="rId8"/>
    <tablePart r:id="rId9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06CB32-E2D1-499B-9D84-FBF6A084FE3F}">
  <sheetPr codeName="Sheet5"/>
  <dimension ref="A1:C8"/>
  <sheetViews>
    <sheetView workbookViewId="0"/>
  </sheetViews>
  <sheetFormatPr defaultRowHeight="14.4" x14ac:dyDescent="0.3"/>
  <cols>
    <col min="1" max="1" width="11.44140625" customWidth="1"/>
    <col min="2" max="2" width="10.88671875" customWidth="1"/>
  </cols>
  <sheetData>
    <row r="1" spans="1:3" x14ac:dyDescent="0.3">
      <c r="A1" t="s">
        <v>2666</v>
      </c>
      <c r="B1" t="s">
        <v>2667</v>
      </c>
      <c r="C1" t="s">
        <v>2668</v>
      </c>
    </row>
    <row r="2" spans="1:3" x14ac:dyDescent="0.3">
      <c r="A2" t="s">
        <v>2669</v>
      </c>
      <c r="B2" t="s">
        <v>2670</v>
      </c>
      <c r="C2" t="s">
        <v>2671</v>
      </c>
    </row>
    <row r="3" spans="1:3" x14ac:dyDescent="0.3">
      <c r="A3" t="s">
        <v>2690</v>
      </c>
      <c r="B3" t="s">
        <v>2691</v>
      </c>
      <c r="C3" t="s">
        <v>2689</v>
      </c>
    </row>
    <row r="4" spans="1:3" x14ac:dyDescent="0.3">
      <c r="A4" t="s">
        <v>2692</v>
      </c>
      <c r="B4" t="s">
        <v>2693</v>
      </c>
      <c r="C4" t="s">
        <v>2689</v>
      </c>
    </row>
    <row r="5" spans="1:3" x14ac:dyDescent="0.3">
      <c r="A5" t="s">
        <v>2694</v>
      </c>
      <c r="B5" t="s">
        <v>2695</v>
      </c>
      <c r="C5" t="s">
        <v>2696</v>
      </c>
    </row>
    <row r="6" spans="1:3" x14ac:dyDescent="0.3">
      <c r="A6" t="s">
        <v>2697</v>
      </c>
      <c r="B6" t="s">
        <v>2698</v>
      </c>
      <c r="C6" t="s">
        <v>2696</v>
      </c>
    </row>
    <row r="7" spans="1:3" x14ac:dyDescent="0.3">
      <c r="A7" t="s">
        <v>2699</v>
      </c>
      <c r="B7" t="s">
        <v>2700</v>
      </c>
      <c r="C7" t="s">
        <v>2701</v>
      </c>
    </row>
    <row r="8" spans="1:3" x14ac:dyDescent="0.3">
      <c r="A8" t="s">
        <v>2915</v>
      </c>
      <c r="B8" t="s">
        <v>2916</v>
      </c>
      <c r="C8" t="s">
        <v>2689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C7C5C0-9EF9-4EEF-B990-90A2E7F45C26}">
  <sheetPr codeName="Sheet16"/>
  <dimension ref="A1:G828"/>
  <sheetViews>
    <sheetView workbookViewId="0"/>
  </sheetViews>
  <sheetFormatPr defaultRowHeight="14.4" x14ac:dyDescent="0.3"/>
  <cols>
    <col min="1" max="1" width="18.109375" bestFit="1" customWidth="1"/>
  </cols>
  <sheetData>
    <row r="1" spans="1:7" x14ac:dyDescent="0.3">
      <c r="A1" s="301" t="s">
        <v>2702</v>
      </c>
      <c r="B1" s="301" t="s">
        <v>2703</v>
      </c>
      <c r="C1" s="301" t="s">
        <v>2668</v>
      </c>
      <c r="D1" s="301" t="s">
        <v>2704</v>
      </c>
      <c r="E1" s="301" t="s">
        <v>2705</v>
      </c>
      <c r="F1" s="301" t="s">
        <v>2706</v>
      </c>
      <c r="G1" s="301" t="s">
        <v>2707</v>
      </c>
    </row>
    <row r="2" spans="1:7" x14ac:dyDescent="0.3">
      <c r="A2" s="302">
        <v>46198.60560185185</v>
      </c>
      <c r="B2" t="s">
        <v>2697</v>
      </c>
      <c r="C2" t="s">
        <v>2696</v>
      </c>
      <c r="D2" t="s">
        <v>2708</v>
      </c>
      <c r="E2" t="s">
        <v>2709</v>
      </c>
      <c r="F2" t="s">
        <v>2697</v>
      </c>
      <c r="G2" t="s">
        <v>2710</v>
      </c>
    </row>
    <row r="3" spans="1:7" x14ac:dyDescent="0.3">
      <c r="A3" s="302">
        <v>46198.608668981484</v>
      </c>
      <c r="B3" t="s">
        <v>2669</v>
      </c>
      <c r="C3" t="s">
        <v>2671</v>
      </c>
      <c r="D3" t="s">
        <v>2708</v>
      </c>
      <c r="E3" t="s">
        <v>2709</v>
      </c>
      <c r="F3" t="s">
        <v>2669</v>
      </c>
      <c r="G3" t="s">
        <v>2710</v>
      </c>
    </row>
    <row r="4" spans="1:7" x14ac:dyDescent="0.3">
      <c r="A4" s="302">
        <v>46198.611724537041</v>
      </c>
      <c r="B4" t="s">
        <v>2669</v>
      </c>
      <c r="C4" t="s">
        <v>2671</v>
      </c>
      <c r="D4" t="s">
        <v>2708</v>
      </c>
      <c r="E4" t="s">
        <v>2709</v>
      </c>
      <c r="F4" t="s">
        <v>2669</v>
      </c>
      <c r="G4" t="s">
        <v>2710</v>
      </c>
    </row>
    <row r="5" spans="1:7" x14ac:dyDescent="0.3">
      <c r="A5" s="302">
        <v>46198.62159722222</v>
      </c>
      <c r="B5" t="s">
        <v>2669</v>
      </c>
      <c r="C5" t="s">
        <v>2671</v>
      </c>
      <c r="D5" t="s">
        <v>2708</v>
      </c>
      <c r="E5" t="s">
        <v>2709</v>
      </c>
      <c r="F5" t="s">
        <v>2669</v>
      </c>
      <c r="G5" t="s">
        <v>2710</v>
      </c>
    </row>
    <row r="6" spans="1:7" x14ac:dyDescent="0.3">
      <c r="A6" s="302">
        <v>46198.630798611113</v>
      </c>
      <c r="B6" t="s">
        <v>2669</v>
      </c>
      <c r="C6" t="s">
        <v>2671</v>
      </c>
      <c r="D6" t="s">
        <v>2708</v>
      </c>
      <c r="E6" t="s">
        <v>2709</v>
      </c>
      <c r="F6" t="s">
        <v>2669</v>
      </c>
      <c r="G6" t="s">
        <v>2710</v>
      </c>
    </row>
    <row r="7" spans="1:7" x14ac:dyDescent="0.3">
      <c r="A7" s="302">
        <v>46198.675266203703</v>
      </c>
      <c r="B7" t="s">
        <v>2669</v>
      </c>
      <c r="C7" t="s">
        <v>2671</v>
      </c>
      <c r="D7" t="s">
        <v>2708</v>
      </c>
      <c r="E7" t="s">
        <v>2709</v>
      </c>
      <c r="F7" t="s">
        <v>2669</v>
      </c>
      <c r="G7" t="s">
        <v>2710</v>
      </c>
    </row>
    <row r="8" spans="1:7" x14ac:dyDescent="0.3">
      <c r="A8" s="302">
        <v>46198.692523148151</v>
      </c>
      <c r="B8" t="s">
        <v>2669</v>
      </c>
      <c r="C8" t="s">
        <v>2671</v>
      </c>
      <c r="D8" t="s">
        <v>2708</v>
      </c>
      <c r="E8" t="s">
        <v>2709</v>
      </c>
      <c r="F8" t="s">
        <v>2669</v>
      </c>
      <c r="G8" t="s">
        <v>2710</v>
      </c>
    </row>
    <row r="9" spans="1:7" x14ac:dyDescent="0.3">
      <c r="A9" s="302">
        <v>46198.696921296294</v>
      </c>
      <c r="B9" t="s">
        <v>2669</v>
      </c>
      <c r="C9" t="s">
        <v>2671</v>
      </c>
      <c r="D9" t="s">
        <v>2708</v>
      </c>
      <c r="E9" t="s">
        <v>2709</v>
      </c>
      <c r="F9" t="s">
        <v>2669</v>
      </c>
      <c r="G9" t="s">
        <v>2710</v>
      </c>
    </row>
    <row r="10" spans="1:7" x14ac:dyDescent="0.3">
      <c r="A10" s="302">
        <v>46198.69935185185</v>
      </c>
      <c r="B10" t="s">
        <v>2669</v>
      </c>
      <c r="C10" t="s">
        <v>2671</v>
      </c>
      <c r="D10" t="s">
        <v>2708</v>
      </c>
      <c r="E10" t="s">
        <v>2709</v>
      </c>
      <c r="F10" t="s">
        <v>2669</v>
      </c>
      <c r="G10" t="s">
        <v>2710</v>
      </c>
    </row>
    <row r="11" spans="1:7" x14ac:dyDescent="0.3">
      <c r="A11" s="302">
        <v>46198.699583333335</v>
      </c>
      <c r="B11" t="s">
        <v>2669</v>
      </c>
      <c r="C11" t="s">
        <v>2671</v>
      </c>
      <c r="D11" t="s">
        <v>2711</v>
      </c>
      <c r="E11" t="s">
        <v>2712</v>
      </c>
      <c r="F11" t="s">
        <v>2713</v>
      </c>
    </row>
    <row r="12" spans="1:7" x14ac:dyDescent="0.3">
      <c r="A12" s="302">
        <v>46198.820462962962</v>
      </c>
      <c r="B12" t="s">
        <v>2669</v>
      </c>
      <c r="C12" t="s">
        <v>2671</v>
      </c>
      <c r="D12" t="s">
        <v>2708</v>
      </c>
      <c r="E12" t="s">
        <v>2709</v>
      </c>
      <c r="F12" t="s">
        <v>2669</v>
      </c>
      <c r="G12" t="s">
        <v>2710</v>
      </c>
    </row>
    <row r="13" spans="1:7" x14ac:dyDescent="0.3">
      <c r="A13" s="302">
        <v>46198.82671296296</v>
      </c>
      <c r="B13" t="s">
        <v>2669</v>
      </c>
      <c r="C13" t="s">
        <v>2671</v>
      </c>
      <c r="D13" t="s">
        <v>2708</v>
      </c>
      <c r="E13" t="s">
        <v>2709</v>
      </c>
      <c r="F13" t="s">
        <v>2669</v>
      </c>
      <c r="G13" t="s">
        <v>2710</v>
      </c>
    </row>
    <row r="14" spans="1:7" x14ac:dyDescent="0.3">
      <c r="A14" s="302">
        <v>46198.829027777778</v>
      </c>
      <c r="B14" t="s">
        <v>2669</v>
      </c>
      <c r="C14" t="s">
        <v>2671</v>
      </c>
      <c r="D14" t="s">
        <v>2708</v>
      </c>
      <c r="E14" t="s">
        <v>2709</v>
      </c>
      <c r="F14" t="s">
        <v>2669</v>
      </c>
      <c r="G14" t="s">
        <v>2710</v>
      </c>
    </row>
    <row r="15" spans="1:7" x14ac:dyDescent="0.3">
      <c r="A15" s="302">
        <v>46198.880370370367</v>
      </c>
      <c r="B15" t="s">
        <v>2669</v>
      </c>
      <c r="C15" t="s">
        <v>2671</v>
      </c>
      <c r="D15" t="s">
        <v>2708</v>
      </c>
      <c r="E15" t="s">
        <v>2709</v>
      </c>
      <c r="F15" t="s">
        <v>2669</v>
      </c>
      <c r="G15" t="s">
        <v>2710</v>
      </c>
    </row>
    <row r="16" spans="1:7" x14ac:dyDescent="0.3">
      <c r="A16" s="302">
        <v>46199.703946759262</v>
      </c>
      <c r="B16" t="s">
        <v>2669</v>
      </c>
      <c r="C16" t="s">
        <v>2671</v>
      </c>
      <c r="D16" t="s">
        <v>2708</v>
      </c>
      <c r="E16" t="s">
        <v>2709</v>
      </c>
      <c r="F16" t="s">
        <v>2669</v>
      </c>
      <c r="G16" t="s">
        <v>2710</v>
      </c>
    </row>
    <row r="17" spans="1:7" x14ac:dyDescent="0.3">
      <c r="A17" s="302">
        <v>46199.704351851855</v>
      </c>
      <c r="B17" t="s">
        <v>2669</v>
      </c>
      <c r="C17" t="s">
        <v>2671</v>
      </c>
      <c r="D17" t="s">
        <v>2711</v>
      </c>
      <c r="E17" t="s">
        <v>2714</v>
      </c>
      <c r="F17" t="s">
        <v>2713</v>
      </c>
    </row>
    <row r="18" spans="1:7" x14ac:dyDescent="0.3">
      <c r="A18" s="302">
        <v>46199.704351851855</v>
      </c>
      <c r="B18" t="s">
        <v>2669</v>
      </c>
      <c r="C18" t="s">
        <v>2671</v>
      </c>
      <c r="D18" t="s">
        <v>2715</v>
      </c>
      <c r="E18" t="s">
        <v>2716</v>
      </c>
      <c r="F18" t="s">
        <v>2717</v>
      </c>
      <c r="G18" t="s">
        <v>2718</v>
      </c>
    </row>
    <row r="19" spans="1:7" x14ac:dyDescent="0.3">
      <c r="A19" s="302">
        <v>46199.704351851855</v>
      </c>
      <c r="B19" t="s">
        <v>2669</v>
      </c>
      <c r="C19" t="s">
        <v>2671</v>
      </c>
      <c r="D19" t="s">
        <v>2715</v>
      </c>
      <c r="E19" t="s">
        <v>2716</v>
      </c>
      <c r="F19" t="s">
        <v>2719</v>
      </c>
      <c r="G19" t="s">
        <v>2720</v>
      </c>
    </row>
    <row r="20" spans="1:7" x14ac:dyDescent="0.3">
      <c r="A20" s="302">
        <v>46199.704351851855</v>
      </c>
      <c r="B20" t="s">
        <v>2669</v>
      </c>
      <c r="C20" t="s">
        <v>2671</v>
      </c>
      <c r="D20" t="s">
        <v>2715</v>
      </c>
      <c r="E20" t="s">
        <v>2716</v>
      </c>
      <c r="F20" t="s">
        <v>2721</v>
      </c>
      <c r="G20" t="s">
        <v>2722</v>
      </c>
    </row>
    <row r="21" spans="1:7" x14ac:dyDescent="0.3">
      <c r="A21" s="302">
        <v>46199.704351851855</v>
      </c>
      <c r="B21" t="s">
        <v>2669</v>
      </c>
      <c r="C21" t="s">
        <v>2671</v>
      </c>
      <c r="D21" t="s">
        <v>2715</v>
      </c>
      <c r="E21" t="s">
        <v>2716</v>
      </c>
      <c r="F21" t="s">
        <v>2723</v>
      </c>
      <c r="G21" t="s">
        <v>2724</v>
      </c>
    </row>
    <row r="22" spans="1:7" x14ac:dyDescent="0.3">
      <c r="A22" s="302">
        <v>46199.704351851855</v>
      </c>
      <c r="B22" t="s">
        <v>2669</v>
      </c>
      <c r="C22" t="s">
        <v>2671</v>
      </c>
      <c r="D22" t="s">
        <v>2715</v>
      </c>
      <c r="E22" t="s">
        <v>2716</v>
      </c>
      <c r="F22" t="s">
        <v>2725</v>
      </c>
      <c r="G22" t="s">
        <v>2726</v>
      </c>
    </row>
    <row r="23" spans="1:7" x14ac:dyDescent="0.3">
      <c r="A23" s="302">
        <v>46199.704351851855</v>
      </c>
      <c r="B23" t="s">
        <v>2669</v>
      </c>
      <c r="C23" t="s">
        <v>2671</v>
      </c>
      <c r="D23" t="s">
        <v>2715</v>
      </c>
      <c r="E23" t="s">
        <v>2716</v>
      </c>
      <c r="F23" t="s">
        <v>2727</v>
      </c>
      <c r="G23" t="s">
        <v>2728</v>
      </c>
    </row>
    <row r="24" spans="1:7" x14ac:dyDescent="0.3">
      <c r="A24" s="302">
        <v>46199.704351851855</v>
      </c>
      <c r="B24" t="s">
        <v>2669</v>
      </c>
      <c r="C24" t="s">
        <v>2671</v>
      </c>
      <c r="D24" t="s">
        <v>2715</v>
      </c>
      <c r="E24" t="s">
        <v>2716</v>
      </c>
      <c r="F24" t="s">
        <v>2729</v>
      </c>
      <c r="G24" t="s">
        <v>2730</v>
      </c>
    </row>
    <row r="25" spans="1:7" x14ac:dyDescent="0.3">
      <c r="A25" s="302">
        <v>46199.704351851855</v>
      </c>
      <c r="B25" t="s">
        <v>2669</v>
      </c>
      <c r="C25" t="s">
        <v>2671</v>
      </c>
      <c r="D25" t="s">
        <v>2715</v>
      </c>
      <c r="E25" t="s">
        <v>2716</v>
      </c>
      <c r="F25" t="s">
        <v>2731</v>
      </c>
      <c r="G25" t="s">
        <v>2732</v>
      </c>
    </row>
    <row r="26" spans="1:7" x14ac:dyDescent="0.3">
      <c r="A26" s="302">
        <v>46199.704351851855</v>
      </c>
      <c r="B26" t="s">
        <v>2669</v>
      </c>
      <c r="C26" t="s">
        <v>2671</v>
      </c>
      <c r="D26" t="s">
        <v>2715</v>
      </c>
      <c r="E26" t="s">
        <v>2716</v>
      </c>
      <c r="F26" t="s">
        <v>2733</v>
      </c>
      <c r="G26" t="s">
        <v>2734</v>
      </c>
    </row>
    <row r="27" spans="1:7" x14ac:dyDescent="0.3">
      <c r="A27" s="302">
        <v>46199.704351851855</v>
      </c>
      <c r="B27" t="s">
        <v>2669</v>
      </c>
      <c r="C27" t="s">
        <v>2671</v>
      </c>
      <c r="D27" t="s">
        <v>2715</v>
      </c>
      <c r="E27" t="s">
        <v>2716</v>
      </c>
      <c r="F27" t="s">
        <v>2735</v>
      </c>
      <c r="G27" t="s">
        <v>2736</v>
      </c>
    </row>
    <row r="28" spans="1:7" x14ac:dyDescent="0.3">
      <c r="A28" s="302">
        <v>46199.704351851855</v>
      </c>
      <c r="B28" t="s">
        <v>2669</v>
      </c>
      <c r="C28" t="s">
        <v>2671</v>
      </c>
      <c r="D28" t="s">
        <v>2715</v>
      </c>
      <c r="E28" t="s">
        <v>2716</v>
      </c>
      <c r="F28" t="s">
        <v>2737</v>
      </c>
      <c r="G28" t="s">
        <v>2738</v>
      </c>
    </row>
    <row r="29" spans="1:7" x14ac:dyDescent="0.3">
      <c r="A29" s="302">
        <v>46199.704351851855</v>
      </c>
      <c r="B29" t="s">
        <v>2669</v>
      </c>
      <c r="C29" t="s">
        <v>2671</v>
      </c>
      <c r="D29" t="s">
        <v>2715</v>
      </c>
      <c r="E29" t="s">
        <v>2716</v>
      </c>
      <c r="F29" t="s">
        <v>2739</v>
      </c>
      <c r="G29" t="s">
        <v>2740</v>
      </c>
    </row>
    <row r="30" spans="1:7" x14ac:dyDescent="0.3">
      <c r="A30" s="302">
        <v>46199.704351851855</v>
      </c>
      <c r="B30" t="s">
        <v>2669</v>
      </c>
      <c r="C30" t="s">
        <v>2671</v>
      </c>
      <c r="D30" t="s">
        <v>2715</v>
      </c>
      <c r="E30" t="s">
        <v>2716</v>
      </c>
      <c r="F30" t="s">
        <v>2741</v>
      </c>
      <c r="G30" t="s">
        <v>2742</v>
      </c>
    </row>
    <row r="31" spans="1:7" x14ac:dyDescent="0.3">
      <c r="A31" s="302">
        <v>46199.704351851855</v>
      </c>
      <c r="B31" t="s">
        <v>2669</v>
      </c>
      <c r="C31" t="s">
        <v>2671</v>
      </c>
      <c r="D31" t="s">
        <v>2715</v>
      </c>
      <c r="E31" t="s">
        <v>2716</v>
      </c>
      <c r="F31" t="s">
        <v>2743</v>
      </c>
      <c r="G31" t="s">
        <v>2744</v>
      </c>
    </row>
    <row r="32" spans="1:7" x14ac:dyDescent="0.3">
      <c r="A32" s="302">
        <v>46199.704351851855</v>
      </c>
      <c r="B32" t="s">
        <v>2669</v>
      </c>
      <c r="C32" t="s">
        <v>2671</v>
      </c>
      <c r="D32" t="s">
        <v>2715</v>
      </c>
      <c r="E32" t="s">
        <v>2716</v>
      </c>
      <c r="F32" t="s">
        <v>2745</v>
      </c>
      <c r="G32" t="s">
        <v>2746</v>
      </c>
    </row>
    <row r="33" spans="1:7" x14ac:dyDescent="0.3">
      <c r="A33" s="302">
        <v>46199.704351851855</v>
      </c>
      <c r="B33" t="s">
        <v>2669</v>
      </c>
      <c r="C33" t="s">
        <v>2671</v>
      </c>
      <c r="D33" t="s">
        <v>2715</v>
      </c>
      <c r="E33" t="s">
        <v>2716</v>
      </c>
      <c r="F33" t="s">
        <v>2747</v>
      </c>
      <c r="G33" t="s">
        <v>2748</v>
      </c>
    </row>
    <row r="34" spans="1:7" x14ac:dyDescent="0.3">
      <c r="A34" s="302">
        <v>46199.704351851855</v>
      </c>
      <c r="B34" t="s">
        <v>2669</v>
      </c>
      <c r="C34" t="s">
        <v>2671</v>
      </c>
      <c r="D34" t="s">
        <v>2715</v>
      </c>
      <c r="E34" t="s">
        <v>2716</v>
      </c>
      <c r="F34" t="s">
        <v>2749</v>
      </c>
      <c r="G34" t="s">
        <v>2750</v>
      </c>
    </row>
    <row r="35" spans="1:7" x14ac:dyDescent="0.3">
      <c r="A35" s="302">
        <v>46199.704351851855</v>
      </c>
      <c r="B35" t="s">
        <v>2669</v>
      </c>
      <c r="C35" t="s">
        <v>2671</v>
      </c>
      <c r="D35" t="s">
        <v>2715</v>
      </c>
      <c r="E35" t="s">
        <v>2716</v>
      </c>
      <c r="F35" t="s">
        <v>2751</v>
      </c>
      <c r="G35" t="s">
        <v>2752</v>
      </c>
    </row>
    <row r="36" spans="1:7" x14ac:dyDescent="0.3">
      <c r="A36" s="302">
        <v>46199.704351851855</v>
      </c>
      <c r="B36" t="s">
        <v>2669</v>
      </c>
      <c r="C36" t="s">
        <v>2671</v>
      </c>
      <c r="D36" t="s">
        <v>2715</v>
      </c>
      <c r="E36" t="s">
        <v>2716</v>
      </c>
      <c r="F36" t="s">
        <v>2753</v>
      </c>
      <c r="G36" t="s">
        <v>2754</v>
      </c>
    </row>
    <row r="37" spans="1:7" x14ac:dyDescent="0.3">
      <c r="A37" s="302">
        <v>46199.704351851855</v>
      </c>
      <c r="B37" t="s">
        <v>2669</v>
      </c>
      <c r="C37" t="s">
        <v>2671</v>
      </c>
      <c r="D37" t="s">
        <v>2715</v>
      </c>
      <c r="E37" t="s">
        <v>2716</v>
      </c>
      <c r="F37" t="s">
        <v>2755</v>
      </c>
      <c r="G37" t="s">
        <v>2756</v>
      </c>
    </row>
    <row r="38" spans="1:7" x14ac:dyDescent="0.3">
      <c r="A38" s="302">
        <v>46199.704351851855</v>
      </c>
      <c r="B38" t="s">
        <v>2669</v>
      </c>
      <c r="C38" t="s">
        <v>2671</v>
      </c>
      <c r="D38" t="s">
        <v>2715</v>
      </c>
      <c r="E38" t="s">
        <v>2716</v>
      </c>
      <c r="F38" t="s">
        <v>2757</v>
      </c>
      <c r="G38" t="s">
        <v>2758</v>
      </c>
    </row>
    <row r="39" spans="1:7" x14ac:dyDescent="0.3">
      <c r="A39" s="302">
        <v>46199.704351851855</v>
      </c>
      <c r="B39" t="s">
        <v>2669</v>
      </c>
      <c r="C39" t="s">
        <v>2671</v>
      </c>
      <c r="D39" t="s">
        <v>2715</v>
      </c>
      <c r="E39" t="s">
        <v>2716</v>
      </c>
      <c r="F39" t="s">
        <v>2759</v>
      </c>
      <c r="G39" t="s">
        <v>2760</v>
      </c>
    </row>
    <row r="40" spans="1:7" x14ac:dyDescent="0.3">
      <c r="A40" s="302">
        <v>46199.704351851855</v>
      </c>
      <c r="B40" t="s">
        <v>2669</v>
      </c>
      <c r="C40" t="s">
        <v>2671</v>
      </c>
      <c r="D40" t="s">
        <v>2715</v>
      </c>
      <c r="E40" t="s">
        <v>2716</v>
      </c>
      <c r="F40" t="s">
        <v>2761</v>
      </c>
      <c r="G40" t="s">
        <v>2762</v>
      </c>
    </row>
    <row r="41" spans="1:7" x14ac:dyDescent="0.3">
      <c r="A41" s="302">
        <v>46199.704351851855</v>
      </c>
      <c r="B41" t="s">
        <v>2669</v>
      </c>
      <c r="C41" t="s">
        <v>2671</v>
      </c>
      <c r="D41" t="s">
        <v>2715</v>
      </c>
      <c r="E41" t="s">
        <v>2716</v>
      </c>
      <c r="F41" t="s">
        <v>2763</v>
      </c>
      <c r="G41" t="s">
        <v>2764</v>
      </c>
    </row>
    <row r="42" spans="1:7" x14ac:dyDescent="0.3">
      <c r="A42" s="302">
        <v>46199.704351851855</v>
      </c>
      <c r="B42" t="s">
        <v>2669</v>
      </c>
      <c r="C42" t="s">
        <v>2671</v>
      </c>
      <c r="D42" t="s">
        <v>2715</v>
      </c>
      <c r="E42" t="s">
        <v>2716</v>
      </c>
      <c r="F42" t="s">
        <v>2765</v>
      </c>
      <c r="G42" t="s">
        <v>2766</v>
      </c>
    </row>
    <row r="43" spans="1:7" x14ac:dyDescent="0.3">
      <c r="A43" s="302">
        <v>46199.704351851855</v>
      </c>
      <c r="B43" t="s">
        <v>2669</v>
      </c>
      <c r="C43" t="s">
        <v>2671</v>
      </c>
      <c r="D43" t="s">
        <v>2715</v>
      </c>
      <c r="E43" t="s">
        <v>2716</v>
      </c>
      <c r="F43" t="s">
        <v>2767</v>
      </c>
      <c r="G43" t="s">
        <v>2768</v>
      </c>
    </row>
    <row r="44" spans="1:7" x14ac:dyDescent="0.3">
      <c r="A44" s="302">
        <v>46199.704351851855</v>
      </c>
      <c r="B44" t="s">
        <v>2669</v>
      </c>
      <c r="C44" t="s">
        <v>2671</v>
      </c>
      <c r="D44" t="s">
        <v>2715</v>
      </c>
      <c r="E44" t="s">
        <v>2716</v>
      </c>
      <c r="F44" t="s">
        <v>2769</v>
      </c>
      <c r="G44" t="s">
        <v>2770</v>
      </c>
    </row>
    <row r="45" spans="1:7" x14ac:dyDescent="0.3">
      <c r="A45" s="302">
        <v>46199.704351851855</v>
      </c>
      <c r="B45" t="s">
        <v>2669</v>
      </c>
      <c r="C45" t="s">
        <v>2671</v>
      </c>
      <c r="D45" t="s">
        <v>2715</v>
      </c>
      <c r="E45" t="s">
        <v>2716</v>
      </c>
      <c r="F45" t="s">
        <v>2771</v>
      </c>
      <c r="G45" t="s">
        <v>2772</v>
      </c>
    </row>
    <row r="46" spans="1:7" x14ac:dyDescent="0.3">
      <c r="A46" s="302">
        <v>46199.704351851855</v>
      </c>
      <c r="B46" t="s">
        <v>2669</v>
      </c>
      <c r="C46" t="s">
        <v>2671</v>
      </c>
      <c r="D46" t="s">
        <v>2715</v>
      </c>
      <c r="E46" t="s">
        <v>2716</v>
      </c>
      <c r="F46" t="s">
        <v>2773</v>
      </c>
      <c r="G46" t="s">
        <v>2774</v>
      </c>
    </row>
    <row r="47" spans="1:7" x14ac:dyDescent="0.3">
      <c r="A47" s="302">
        <v>46199.704351851855</v>
      </c>
      <c r="B47" t="s">
        <v>2669</v>
      </c>
      <c r="C47" t="s">
        <v>2671</v>
      </c>
      <c r="D47" t="s">
        <v>2715</v>
      </c>
      <c r="E47" t="s">
        <v>2716</v>
      </c>
      <c r="F47" t="s">
        <v>2775</v>
      </c>
      <c r="G47" t="s">
        <v>2776</v>
      </c>
    </row>
    <row r="48" spans="1:7" x14ac:dyDescent="0.3">
      <c r="A48" s="302">
        <v>46199.704351851855</v>
      </c>
      <c r="B48" t="s">
        <v>2669</v>
      </c>
      <c r="C48" t="s">
        <v>2671</v>
      </c>
      <c r="D48" t="s">
        <v>2715</v>
      </c>
      <c r="E48" t="s">
        <v>2716</v>
      </c>
      <c r="F48" t="s">
        <v>2777</v>
      </c>
      <c r="G48" t="s">
        <v>2778</v>
      </c>
    </row>
    <row r="49" spans="1:7" x14ac:dyDescent="0.3">
      <c r="A49" s="302">
        <v>46199.704351851855</v>
      </c>
      <c r="B49" t="s">
        <v>2669</v>
      </c>
      <c r="C49" t="s">
        <v>2671</v>
      </c>
      <c r="D49" t="s">
        <v>2715</v>
      </c>
      <c r="E49" t="s">
        <v>2716</v>
      </c>
      <c r="F49" t="s">
        <v>2779</v>
      </c>
      <c r="G49" t="s">
        <v>2780</v>
      </c>
    </row>
    <row r="50" spans="1:7" x14ac:dyDescent="0.3">
      <c r="A50" s="302">
        <v>46199.704351851855</v>
      </c>
      <c r="B50" t="s">
        <v>2669</v>
      </c>
      <c r="C50" t="s">
        <v>2671</v>
      </c>
      <c r="D50" t="s">
        <v>2715</v>
      </c>
      <c r="E50" t="s">
        <v>2716</v>
      </c>
      <c r="F50" t="s">
        <v>2781</v>
      </c>
      <c r="G50" t="s">
        <v>2782</v>
      </c>
    </row>
    <row r="51" spans="1:7" x14ac:dyDescent="0.3">
      <c r="A51" s="302">
        <v>46199.704351851855</v>
      </c>
      <c r="B51" t="s">
        <v>2669</v>
      </c>
      <c r="C51" t="s">
        <v>2671</v>
      </c>
      <c r="D51" t="s">
        <v>2715</v>
      </c>
      <c r="E51" t="s">
        <v>2716</v>
      </c>
      <c r="F51" t="s">
        <v>2783</v>
      </c>
      <c r="G51" t="s">
        <v>2784</v>
      </c>
    </row>
    <row r="52" spans="1:7" x14ac:dyDescent="0.3">
      <c r="A52" s="302">
        <v>46199.708692129629</v>
      </c>
      <c r="B52" t="s">
        <v>2669</v>
      </c>
      <c r="C52" t="s">
        <v>2671</v>
      </c>
      <c r="D52" t="s">
        <v>2708</v>
      </c>
      <c r="E52" t="s">
        <v>2709</v>
      </c>
      <c r="F52" t="s">
        <v>2669</v>
      </c>
      <c r="G52" t="s">
        <v>2710</v>
      </c>
    </row>
    <row r="53" spans="1:7" x14ac:dyDescent="0.3">
      <c r="A53" s="302">
        <v>46199.708969907406</v>
      </c>
      <c r="B53" t="s">
        <v>2669</v>
      </c>
      <c r="C53" t="s">
        <v>2671</v>
      </c>
      <c r="D53" t="s">
        <v>2711</v>
      </c>
      <c r="E53" t="s">
        <v>2714</v>
      </c>
      <c r="F53" t="s">
        <v>2785</v>
      </c>
    </row>
    <row r="54" spans="1:7" x14ac:dyDescent="0.3">
      <c r="A54" s="302">
        <v>46199.708969907406</v>
      </c>
      <c r="B54" t="s">
        <v>2669</v>
      </c>
      <c r="C54" t="s">
        <v>2671</v>
      </c>
      <c r="D54" t="s">
        <v>2715</v>
      </c>
      <c r="E54" t="s">
        <v>2716</v>
      </c>
      <c r="F54" t="s">
        <v>2717</v>
      </c>
      <c r="G54" t="s">
        <v>2718</v>
      </c>
    </row>
    <row r="55" spans="1:7" x14ac:dyDescent="0.3">
      <c r="A55" s="302">
        <v>46199.708969907406</v>
      </c>
      <c r="B55" t="s">
        <v>2669</v>
      </c>
      <c r="C55" t="s">
        <v>2671</v>
      </c>
      <c r="D55" t="s">
        <v>2715</v>
      </c>
      <c r="E55" t="s">
        <v>2716</v>
      </c>
      <c r="F55" t="s">
        <v>2719</v>
      </c>
      <c r="G55" t="s">
        <v>2720</v>
      </c>
    </row>
    <row r="56" spans="1:7" x14ac:dyDescent="0.3">
      <c r="A56" s="302">
        <v>46199.708969907406</v>
      </c>
      <c r="B56" t="s">
        <v>2669</v>
      </c>
      <c r="C56" t="s">
        <v>2671</v>
      </c>
      <c r="D56" t="s">
        <v>2715</v>
      </c>
      <c r="E56" t="s">
        <v>2716</v>
      </c>
      <c r="F56" t="s">
        <v>2721</v>
      </c>
      <c r="G56" t="s">
        <v>2722</v>
      </c>
    </row>
    <row r="57" spans="1:7" x14ac:dyDescent="0.3">
      <c r="A57" s="302">
        <v>46199.708969907406</v>
      </c>
      <c r="B57" t="s">
        <v>2669</v>
      </c>
      <c r="C57" t="s">
        <v>2671</v>
      </c>
      <c r="D57" t="s">
        <v>2715</v>
      </c>
      <c r="E57" t="s">
        <v>2716</v>
      </c>
      <c r="F57" t="s">
        <v>2723</v>
      </c>
      <c r="G57" t="s">
        <v>2724</v>
      </c>
    </row>
    <row r="58" spans="1:7" x14ac:dyDescent="0.3">
      <c r="A58" s="302">
        <v>46199.708969907406</v>
      </c>
      <c r="B58" t="s">
        <v>2669</v>
      </c>
      <c r="C58" t="s">
        <v>2671</v>
      </c>
      <c r="D58" t="s">
        <v>2715</v>
      </c>
      <c r="E58" t="s">
        <v>2716</v>
      </c>
      <c r="F58" t="s">
        <v>2725</v>
      </c>
      <c r="G58" t="s">
        <v>2726</v>
      </c>
    </row>
    <row r="59" spans="1:7" x14ac:dyDescent="0.3">
      <c r="A59" s="302">
        <v>46199.708969907406</v>
      </c>
      <c r="B59" t="s">
        <v>2669</v>
      </c>
      <c r="C59" t="s">
        <v>2671</v>
      </c>
      <c r="D59" t="s">
        <v>2715</v>
      </c>
      <c r="E59" t="s">
        <v>2716</v>
      </c>
      <c r="F59" t="s">
        <v>2727</v>
      </c>
      <c r="G59" t="s">
        <v>2728</v>
      </c>
    </row>
    <row r="60" spans="1:7" x14ac:dyDescent="0.3">
      <c r="A60" s="302">
        <v>46199.708969907406</v>
      </c>
      <c r="B60" t="s">
        <v>2669</v>
      </c>
      <c r="C60" t="s">
        <v>2671</v>
      </c>
      <c r="D60" t="s">
        <v>2715</v>
      </c>
      <c r="E60" t="s">
        <v>2716</v>
      </c>
      <c r="F60" t="s">
        <v>2729</v>
      </c>
      <c r="G60" t="s">
        <v>2730</v>
      </c>
    </row>
    <row r="61" spans="1:7" x14ac:dyDescent="0.3">
      <c r="A61" s="302">
        <v>46199.708969907406</v>
      </c>
      <c r="B61" t="s">
        <v>2669</v>
      </c>
      <c r="C61" t="s">
        <v>2671</v>
      </c>
      <c r="D61" t="s">
        <v>2715</v>
      </c>
      <c r="E61" t="s">
        <v>2716</v>
      </c>
      <c r="F61" t="s">
        <v>2731</v>
      </c>
      <c r="G61" t="s">
        <v>2732</v>
      </c>
    </row>
    <row r="62" spans="1:7" x14ac:dyDescent="0.3">
      <c r="A62" s="302">
        <v>46199.708969907406</v>
      </c>
      <c r="B62" t="s">
        <v>2669</v>
      </c>
      <c r="C62" t="s">
        <v>2671</v>
      </c>
      <c r="D62" t="s">
        <v>2715</v>
      </c>
      <c r="E62" t="s">
        <v>2716</v>
      </c>
      <c r="F62" t="s">
        <v>2733</v>
      </c>
      <c r="G62" t="s">
        <v>2734</v>
      </c>
    </row>
    <row r="63" spans="1:7" x14ac:dyDescent="0.3">
      <c r="A63" s="302">
        <v>46199.708969907406</v>
      </c>
      <c r="B63" t="s">
        <v>2669</v>
      </c>
      <c r="C63" t="s">
        <v>2671</v>
      </c>
      <c r="D63" t="s">
        <v>2715</v>
      </c>
      <c r="E63" t="s">
        <v>2716</v>
      </c>
      <c r="F63" t="s">
        <v>2735</v>
      </c>
      <c r="G63" t="s">
        <v>2736</v>
      </c>
    </row>
    <row r="64" spans="1:7" x14ac:dyDescent="0.3">
      <c r="A64" s="302">
        <v>46199.708969907406</v>
      </c>
      <c r="B64" t="s">
        <v>2669</v>
      </c>
      <c r="C64" t="s">
        <v>2671</v>
      </c>
      <c r="D64" t="s">
        <v>2715</v>
      </c>
      <c r="E64" t="s">
        <v>2716</v>
      </c>
      <c r="F64" t="s">
        <v>2737</v>
      </c>
      <c r="G64" t="s">
        <v>2738</v>
      </c>
    </row>
    <row r="65" spans="1:7" x14ac:dyDescent="0.3">
      <c r="A65" s="302">
        <v>46199.708969907406</v>
      </c>
      <c r="B65" t="s">
        <v>2669</v>
      </c>
      <c r="C65" t="s">
        <v>2671</v>
      </c>
      <c r="D65" t="s">
        <v>2715</v>
      </c>
      <c r="E65" t="s">
        <v>2716</v>
      </c>
      <c r="F65" t="s">
        <v>2739</v>
      </c>
      <c r="G65" t="s">
        <v>2740</v>
      </c>
    </row>
    <row r="66" spans="1:7" x14ac:dyDescent="0.3">
      <c r="A66" s="302">
        <v>46199.708969907406</v>
      </c>
      <c r="B66" t="s">
        <v>2669</v>
      </c>
      <c r="C66" t="s">
        <v>2671</v>
      </c>
      <c r="D66" t="s">
        <v>2715</v>
      </c>
      <c r="E66" t="s">
        <v>2716</v>
      </c>
      <c r="F66" t="s">
        <v>2741</v>
      </c>
      <c r="G66" t="s">
        <v>2742</v>
      </c>
    </row>
    <row r="67" spans="1:7" x14ac:dyDescent="0.3">
      <c r="A67" s="302">
        <v>46199.708969907406</v>
      </c>
      <c r="B67" t="s">
        <v>2669</v>
      </c>
      <c r="C67" t="s">
        <v>2671</v>
      </c>
      <c r="D67" t="s">
        <v>2715</v>
      </c>
      <c r="E67" t="s">
        <v>2716</v>
      </c>
      <c r="F67" t="s">
        <v>2743</v>
      </c>
      <c r="G67" t="s">
        <v>2744</v>
      </c>
    </row>
    <row r="68" spans="1:7" x14ac:dyDescent="0.3">
      <c r="A68" s="302">
        <v>46199.708969907406</v>
      </c>
      <c r="B68" t="s">
        <v>2669</v>
      </c>
      <c r="C68" t="s">
        <v>2671</v>
      </c>
      <c r="D68" t="s">
        <v>2715</v>
      </c>
      <c r="E68" t="s">
        <v>2716</v>
      </c>
      <c r="F68" t="s">
        <v>2745</v>
      </c>
      <c r="G68" t="s">
        <v>2746</v>
      </c>
    </row>
    <row r="69" spans="1:7" x14ac:dyDescent="0.3">
      <c r="A69" s="302">
        <v>46199.708969907406</v>
      </c>
      <c r="B69" t="s">
        <v>2669</v>
      </c>
      <c r="C69" t="s">
        <v>2671</v>
      </c>
      <c r="D69" t="s">
        <v>2715</v>
      </c>
      <c r="E69" t="s">
        <v>2716</v>
      </c>
      <c r="F69" t="s">
        <v>2747</v>
      </c>
      <c r="G69" t="s">
        <v>2748</v>
      </c>
    </row>
    <row r="70" spans="1:7" x14ac:dyDescent="0.3">
      <c r="A70" s="302">
        <v>46199.708969907406</v>
      </c>
      <c r="B70" t="s">
        <v>2669</v>
      </c>
      <c r="C70" t="s">
        <v>2671</v>
      </c>
      <c r="D70" t="s">
        <v>2715</v>
      </c>
      <c r="E70" t="s">
        <v>2716</v>
      </c>
      <c r="F70" t="s">
        <v>2749</v>
      </c>
      <c r="G70" t="s">
        <v>2750</v>
      </c>
    </row>
    <row r="71" spans="1:7" x14ac:dyDescent="0.3">
      <c r="A71" s="302">
        <v>46199.708969907406</v>
      </c>
      <c r="B71" t="s">
        <v>2669</v>
      </c>
      <c r="C71" t="s">
        <v>2671</v>
      </c>
      <c r="D71" t="s">
        <v>2715</v>
      </c>
      <c r="E71" t="s">
        <v>2716</v>
      </c>
      <c r="F71" t="s">
        <v>2751</v>
      </c>
      <c r="G71" t="s">
        <v>2752</v>
      </c>
    </row>
    <row r="72" spans="1:7" x14ac:dyDescent="0.3">
      <c r="A72" s="302">
        <v>46199.708969907406</v>
      </c>
      <c r="B72" t="s">
        <v>2669</v>
      </c>
      <c r="C72" t="s">
        <v>2671</v>
      </c>
      <c r="D72" t="s">
        <v>2715</v>
      </c>
      <c r="E72" t="s">
        <v>2716</v>
      </c>
      <c r="F72" t="s">
        <v>2753</v>
      </c>
      <c r="G72" t="s">
        <v>2754</v>
      </c>
    </row>
    <row r="73" spans="1:7" x14ac:dyDescent="0.3">
      <c r="A73" s="302">
        <v>46199.708969907406</v>
      </c>
      <c r="B73" t="s">
        <v>2669</v>
      </c>
      <c r="C73" t="s">
        <v>2671</v>
      </c>
      <c r="D73" t="s">
        <v>2715</v>
      </c>
      <c r="E73" t="s">
        <v>2716</v>
      </c>
      <c r="F73" t="s">
        <v>2755</v>
      </c>
      <c r="G73" t="s">
        <v>2756</v>
      </c>
    </row>
    <row r="74" spans="1:7" x14ac:dyDescent="0.3">
      <c r="A74" s="302">
        <v>46199.708969907406</v>
      </c>
      <c r="B74" t="s">
        <v>2669</v>
      </c>
      <c r="C74" t="s">
        <v>2671</v>
      </c>
      <c r="D74" t="s">
        <v>2715</v>
      </c>
      <c r="E74" t="s">
        <v>2716</v>
      </c>
      <c r="F74" t="s">
        <v>2757</v>
      </c>
      <c r="G74" t="s">
        <v>2786</v>
      </c>
    </row>
    <row r="75" spans="1:7" x14ac:dyDescent="0.3">
      <c r="A75" s="302">
        <v>46199.708969907406</v>
      </c>
      <c r="B75" t="s">
        <v>2669</v>
      </c>
      <c r="C75" t="s">
        <v>2671</v>
      </c>
      <c r="D75" t="s">
        <v>2715</v>
      </c>
      <c r="E75" t="s">
        <v>2716</v>
      </c>
      <c r="F75" t="s">
        <v>2759</v>
      </c>
      <c r="G75" t="s">
        <v>2760</v>
      </c>
    </row>
    <row r="76" spans="1:7" x14ac:dyDescent="0.3">
      <c r="A76" s="302">
        <v>46199.708969907406</v>
      </c>
      <c r="B76" t="s">
        <v>2669</v>
      </c>
      <c r="C76" t="s">
        <v>2671</v>
      </c>
      <c r="D76" t="s">
        <v>2715</v>
      </c>
      <c r="E76" t="s">
        <v>2716</v>
      </c>
      <c r="F76" t="s">
        <v>2761</v>
      </c>
      <c r="G76" t="s">
        <v>2787</v>
      </c>
    </row>
    <row r="77" spans="1:7" x14ac:dyDescent="0.3">
      <c r="A77" s="302">
        <v>46199.708969907406</v>
      </c>
      <c r="B77" t="s">
        <v>2669</v>
      </c>
      <c r="C77" t="s">
        <v>2671</v>
      </c>
      <c r="D77" t="s">
        <v>2715</v>
      </c>
      <c r="E77" t="s">
        <v>2716</v>
      </c>
      <c r="F77" t="s">
        <v>2763</v>
      </c>
      <c r="G77" t="s">
        <v>2788</v>
      </c>
    </row>
    <row r="78" spans="1:7" x14ac:dyDescent="0.3">
      <c r="A78" s="302">
        <v>46199.708969907406</v>
      </c>
      <c r="B78" t="s">
        <v>2669</v>
      </c>
      <c r="C78" t="s">
        <v>2671</v>
      </c>
      <c r="D78" t="s">
        <v>2715</v>
      </c>
      <c r="E78" t="s">
        <v>2716</v>
      </c>
      <c r="F78" t="s">
        <v>2765</v>
      </c>
      <c r="G78" t="s">
        <v>2789</v>
      </c>
    </row>
    <row r="79" spans="1:7" x14ac:dyDescent="0.3">
      <c r="A79" s="302">
        <v>46199.708969907406</v>
      </c>
      <c r="B79" t="s">
        <v>2669</v>
      </c>
      <c r="C79" t="s">
        <v>2671</v>
      </c>
      <c r="D79" t="s">
        <v>2715</v>
      </c>
      <c r="E79" t="s">
        <v>2716</v>
      </c>
      <c r="F79" t="s">
        <v>2767</v>
      </c>
      <c r="G79" t="s">
        <v>2790</v>
      </c>
    </row>
    <row r="80" spans="1:7" x14ac:dyDescent="0.3">
      <c r="A80" s="302">
        <v>46199.708969907406</v>
      </c>
      <c r="B80" t="s">
        <v>2669</v>
      </c>
      <c r="C80" t="s">
        <v>2671</v>
      </c>
      <c r="D80" t="s">
        <v>2715</v>
      </c>
      <c r="E80" t="s">
        <v>2716</v>
      </c>
      <c r="F80" t="s">
        <v>2769</v>
      </c>
      <c r="G80" t="s">
        <v>2768</v>
      </c>
    </row>
    <row r="81" spans="1:7" x14ac:dyDescent="0.3">
      <c r="A81" s="302">
        <v>46199.708969907406</v>
      </c>
      <c r="B81" t="s">
        <v>2669</v>
      </c>
      <c r="C81" t="s">
        <v>2671</v>
      </c>
      <c r="D81" t="s">
        <v>2715</v>
      </c>
      <c r="E81" t="s">
        <v>2716</v>
      </c>
      <c r="F81" t="s">
        <v>2771</v>
      </c>
      <c r="G81" t="s">
        <v>2772</v>
      </c>
    </row>
    <row r="82" spans="1:7" x14ac:dyDescent="0.3">
      <c r="A82" s="302">
        <v>46199.708969907406</v>
      </c>
      <c r="B82" t="s">
        <v>2669</v>
      </c>
      <c r="C82" t="s">
        <v>2671</v>
      </c>
      <c r="D82" t="s">
        <v>2715</v>
      </c>
      <c r="E82" t="s">
        <v>2716</v>
      </c>
      <c r="F82" t="s">
        <v>2773</v>
      </c>
      <c r="G82" t="s">
        <v>2774</v>
      </c>
    </row>
    <row r="83" spans="1:7" x14ac:dyDescent="0.3">
      <c r="A83" s="302">
        <v>46199.708969907406</v>
      </c>
      <c r="B83" t="s">
        <v>2669</v>
      </c>
      <c r="C83" t="s">
        <v>2671</v>
      </c>
      <c r="D83" t="s">
        <v>2715</v>
      </c>
      <c r="E83" t="s">
        <v>2716</v>
      </c>
      <c r="F83" t="s">
        <v>2775</v>
      </c>
      <c r="G83" t="s">
        <v>2791</v>
      </c>
    </row>
    <row r="84" spans="1:7" x14ac:dyDescent="0.3">
      <c r="A84" s="302">
        <v>46199.708969907406</v>
      </c>
      <c r="B84" t="s">
        <v>2669</v>
      </c>
      <c r="C84" t="s">
        <v>2671</v>
      </c>
      <c r="D84" t="s">
        <v>2715</v>
      </c>
      <c r="E84" t="s">
        <v>2716</v>
      </c>
      <c r="F84" t="s">
        <v>2792</v>
      </c>
      <c r="G84" t="s">
        <v>2791</v>
      </c>
    </row>
    <row r="85" spans="1:7" x14ac:dyDescent="0.3">
      <c r="A85" s="302">
        <v>46199.708969907406</v>
      </c>
      <c r="B85" t="s">
        <v>2669</v>
      </c>
      <c r="C85" t="s">
        <v>2671</v>
      </c>
      <c r="D85" t="s">
        <v>2715</v>
      </c>
      <c r="E85" t="s">
        <v>2716</v>
      </c>
      <c r="F85" t="s">
        <v>2793</v>
      </c>
      <c r="G85" t="s">
        <v>2772</v>
      </c>
    </row>
    <row r="86" spans="1:7" x14ac:dyDescent="0.3">
      <c r="A86" s="302">
        <v>46199.708969907406</v>
      </c>
      <c r="B86" t="s">
        <v>2669</v>
      </c>
      <c r="C86" t="s">
        <v>2671</v>
      </c>
      <c r="D86" t="s">
        <v>2715</v>
      </c>
      <c r="E86" t="s">
        <v>2716</v>
      </c>
      <c r="F86" t="s">
        <v>2794</v>
      </c>
      <c r="G86" t="s">
        <v>2795</v>
      </c>
    </row>
    <row r="87" spans="1:7" x14ac:dyDescent="0.3">
      <c r="A87" s="302">
        <v>46199.708969907406</v>
      </c>
      <c r="B87" t="s">
        <v>2669</v>
      </c>
      <c r="C87" t="s">
        <v>2671</v>
      </c>
      <c r="D87" t="s">
        <v>2715</v>
      </c>
      <c r="E87" t="s">
        <v>2716</v>
      </c>
      <c r="F87" t="s">
        <v>2781</v>
      </c>
      <c r="G87" t="s">
        <v>2784</v>
      </c>
    </row>
    <row r="88" spans="1:7" x14ac:dyDescent="0.3">
      <c r="A88" s="302">
        <v>46199.708969907406</v>
      </c>
      <c r="B88" t="s">
        <v>2669</v>
      </c>
      <c r="C88" t="s">
        <v>2671</v>
      </c>
      <c r="D88" t="s">
        <v>2715</v>
      </c>
      <c r="E88" t="s">
        <v>2716</v>
      </c>
      <c r="F88" t="s">
        <v>2796</v>
      </c>
      <c r="G88" t="s">
        <v>2797</v>
      </c>
    </row>
    <row r="89" spans="1:7" x14ac:dyDescent="0.3">
      <c r="A89" s="302">
        <v>46199.708969907406</v>
      </c>
      <c r="B89" t="s">
        <v>2669</v>
      </c>
      <c r="C89" t="s">
        <v>2671</v>
      </c>
      <c r="D89" t="s">
        <v>2715</v>
      </c>
      <c r="E89" t="s">
        <v>2716</v>
      </c>
      <c r="F89" t="s">
        <v>2798</v>
      </c>
      <c r="G89" t="s">
        <v>2799</v>
      </c>
    </row>
    <row r="90" spans="1:7" x14ac:dyDescent="0.3">
      <c r="A90" s="302">
        <v>46199.708969907406</v>
      </c>
      <c r="B90" t="s">
        <v>2669</v>
      </c>
      <c r="C90" t="s">
        <v>2671</v>
      </c>
      <c r="D90" t="s">
        <v>2715</v>
      </c>
      <c r="E90" t="s">
        <v>2716</v>
      </c>
      <c r="F90" t="s">
        <v>2783</v>
      </c>
      <c r="G90" t="s">
        <v>2800</v>
      </c>
    </row>
    <row r="91" spans="1:7" x14ac:dyDescent="0.3">
      <c r="A91" s="302">
        <v>46199.708969907406</v>
      </c>
      <c r="B91" t="s">
        <v>2669</v>
      </c>
      <c r="C91" t="s">
        <v>2671</v>
      </c>
      <c r="D91" t="s">
        <v>2715</v>
      </c>
      <c r="E91" t="s">
        <v>2716</v>
      </c>
      <c r="F91" t="s">
        <v>2801</v>
      </c>
      <c r="G91" t="s">
        <v>2786</v>
      </c>
    </row>
    <row r="92" spans="1:7" x14ac:dyDescent="0.3">
      <c r="A92" s="302">
        <v>46199.708969907406</v>
      </c>
      <c r="B92" t="s">
        <v>2669</v>
      </c>
      <c r="C92" t="s">
        <v>2671</v>
      </c>
      <c r="D92" t="s">
        <v>2715</v>
      </c>
      <c r="E92" t="s">
        <v>2716</v>
      </c>
      <c r="F92" t="s">
        <v>2802</v>
      </c>
      <c r="G92" t="s">
        <v>2760</v>
      </c>
    </row>
    <row r="93" spans="1:7" x14ac:dyDescent="0.3">
      <c r="A93" s="302">
        <v>46199.708969907406</v>
      </c>
      <c r="B93" t="s">
        <v>2669</v>
      </c>
      <c r="C93" t="s">
        <v>2671</v>
      </c>
      <c r="D93" t="s">
        <v>2715</v>
      </c>
      <c r="E93" t="s">
        <v>2716</v>
      </c>
      <c r="F93" t="s">
        <v>2803</v>
      </c>
      <c r="G93" t="s">
        <v>2787</v>
      </c>
    </row>
    <row r="94" spans="1:7" x14ac:dyDescent="0.3">
      <c r="A94" s="302">
        <v>46199.708969907406</v>
      </c>
      <c r="B94" t="s">
        <v>2669</v>
      </c>
      <c r="C94" t="s">
        <v>2671</v>
      </c>
      <c r="D94" t="s">
        <v>2715</v>
      </c>
      <c r="E94" t="s">
        <v>2716</v>
      </c>
      <c r="F94" t="s">
        <v>2804</v>
      </c>
      <c r="G94" t="s">
        <v>2788</v>
      </c>
    </row>
    <row r="95" spans="1:7" x14ac:dyDescent="0.3">
      <c r="A95" s="302">
        <v>46199.708969907406</v>
      </c>
      <c r="B95" t="s">
        <v>2669</v>
      </c>
      <c r="C95" t="s">
        <v>2671</v>
      </c>
      <c r="D95" t="s">
        <v>2715</v>
      </c>
      <c r="E95" t="s">
        <v>2716</v>
      </c>
      <c r="F95" t="s">
        <v>2805</v>
      </c>
      <c r="G95" t="s">
        <v>2806</v>
      </c>
    </row>
    <row r="96" spans="1:7" x14ac:dyDescent="0.3">
      <c r="A96" s="302">
        <v>46199.708969907406</v>
      </c>
      <c r="B96" t="s">
        <v>2669</v>
      </c>
      <c r="C96" t="s">
        <v>2671</v>
      </c>
      <c r="D96" t="s">
        <v>2715</v>
      </c>
      <c r="E96" t="s">
        <v>2716</v>
      </c>
      <c r="F96" t="s">
        <v>2807</v>
      </c>
      <c r="G96" t="s">
        <v>2790</v>
      </c>
    </row>
    <row r="97" spans="1:7" x14ac:dyDescent="0.3">
      <c r="A97" s="302">
        <v>46199.708969907406</v>
      </c>
      <c r="B97" t="s">
        <v>2669</v>
      </c>
      <c r="C97" t="s">
        <v>2671</v>
      </c>
      <c r="D97" t="s">
        <v>2715</v>
      </c>
      <c r="E97" t="s">
        <v>2716</v>
      </c>
      <c r="F97" t="s">
        <v>2808</v>
      </c>
      <c r="G97" t="s">
        <v>2768</v>
      </c>
    </row>
    <row r="98" spans="1:7" x14ac:dyDescent="0.3">
      <c r="A98" s="302">
        <v>46199.708969907406</v>
      </c>
      <c r="B98" t="s">
        <v>2669</v>
      </c>
      <c r="C98" t="s">
        <v>2671</v>
      </c>
      <c r="D98" t="s">
        <v>2715</v>
      </c>
      <c r="E98" t="s">
        <v>2716</v>
      </c>
      <c r="F98" t="s">
        <v>2809</v>
      </c>
      <c r="G98" t="s">
        <v>2772</v>
      </c>
    </row>
    <row r="99" spans="1:7" x14ac:dyDescent="0.3">
      <c r="A99" s="302">
        <v>46199.708969907406</v>
      </c>
      <c r="B99" t="s">
        <v>2669</v>
      </c>
      <c r="C99" t="s">
        <v>2671</v>
      </c>
      <c r="D99" t="s">
        <v>2715</v>
      </c>
      <c r="E99" t="s">
        <v>2716</v>
      </c>
      <c r="F99" t="s">
        <v>2810</v>
      </c>
      <c r="G99" t="s">
        <v>2774</v>
      </c>
    </row>
    <row r="100" spans="1:7" x14ac:dyDescent="0.3">
      <c r="A100" s="302">
        <v>46199.708969907406</v>
      </c>
      <c r="B100" t="s">
        <v>2669</v>
      </c>
      <c r="C100" t="s">
        <v>2671</v>
      </c>
      <c r="D100" t="s">
        <v>2715</v>
      </c>
      <c r="E100" t="s">
        <v>2716</v>
      </c>
      <c r="F100" t="s">
        <v>2811</v>
      </c>
      <c r="G100" t="s">
        <v>2791</v>
      </c>
    </row>
    <row r="101" spans="1:7" x14ac:dyDescent="0.3">
      <c r="A101" s="302">
        <v>46199.708969907406</v>
      </c>
      <c r="B101" t="s">
        <v>2669</v>
      </c>
      <c r="C101" t="s">
        <v>2671</v>
      </c>
      <c r="D101" t="s">
        <v>2715</v>
      </c>
      <c r="E101" t="s">
        <v>2716</v>
      </c>
      <c r="F101" t="s">
        <v>2812</v>
      </c>
      <c r="G101" t="s">
        <v>2791</v>
      </c>
    </row>
    <row r="102" spans="1:7" x14ac:dyDescent="0.3">
      <c r="A102" s="302">
        <v>46199.708969907406</v>
      </c>
      <c r="B102" t="s">
        <v>2669</v>
      </c>
      <c r="C102" t="s">
        <v>2671</v>
      </c>
      <c r="D102" t="s">
        <v>2715</v>
      </c>
      <c r="E102" t="s">
        <v>2716</v>
      </c>
      <c r="F102" t="s">
        <v>2813</v>
      </c>
      <c r="G102" t="s">
        <v>2814</v>
      </c>
    </row>
    <row r="103" spans="1:7" x14ac:dyDescent="0.3">
      <c r="A103" s="302">
        <v>46199.708969907406</v>
      </c>
      <c r="B103" t="s">
        <v>2669</v>
      </c>
      <c r="C103" t="s">
        <v>2671</v>
      </c>
      <c r="D103" t="s">
        <v>2715</v>
      </c>
      <c r="E103" t="s">
        <v>2716</v>
      </c>
      <c r="F103" t="s">
        <v>2815</v>
      </c>
      <c r="G103" t="s">
        <v>2816</v>
      </c>
    </row>
    <row r="104" spans="1:7" x14ac:dyDescent="0.3">
      <c r="A104" s="302">
        <v>46199.708969907406</v>
      </c>
      <c r="B104" t="s">
        <v>2669</v>
      </c>
      <c r="C104" t="s">
        <v>2671</v>
      </c>
      <c r="D104" t="s">
        <v>2715</v>
      </c>
      <c r="E104" t="s">
        <v>2716</v>
      </c>
      <c r="F104" t="s">
        <v>2817</v>
      </c>
      <c r="G104" t="s">
        <v>2784</v>
      </c>
    </row>
    <row r="105" spans="1:7" x14ac:dyDescent="0.3">
      <c r="A105" s="302">
        <v>46199.708969907406</v>
      </c>
      <c r="B105" t="s">
        <v>2669</v>
      </c>
      <c r="C105" t="s">
        <v>2671</v>
      </c>
      <c r="D105" t="s">
        <v>2715</v>
      </c>
      <c r="E105" t="s">
        <v>2716</v>
      </c>
      <c r="F105" t="s">
        <v>2818</v>
      </c>
      <c r="G105" t="s">
        <v>2797</v>
      </c>
    </row>
    <row r="106" spans="1:7" x14ac:dyDescent="0.3">
      <c r="A106" s="302">
        <v>46199.708969907406</v>
      </c>
      <c r="B106" t="s">
        <v>2669</v>
      </c>
      <c r="C106" t="s">
        <v>2671</v>
      </c>
      <c r="D106" t="s">
        <v>2715</v>
      </c>
      <c r="E106" t="s">
        <v>2716</v>
      </c>
      <c r="F106" t="s">
        <v>2819</v>
      </c>
      <c r="G106" t="s">
        <v>2799</v>
      </c>
    </row>
    <row r="107" spans="1:7" x14ac:dyDescent="0.3">
      <c r="A107" s="302">
        <v>46199.708969907406</v>
      </c>
      <c r="B107" t="s">
        <v>2669</v>
      </c>
      <c r="C107" t="s">
        <v>2671</v>
      </c>
      <c r="D107" t="s">
        <v>2715</v>
      </c>
      <c r="E107" t="s">
        <v>2716</v>
      </c>
      <c r="F107" t="s">
        <v>2820</v>
      </c>
      <c r="G107" t="s">
        <v>2800</v>
      </c>
    </row>
    <row r="108" spans="1:7" x14ac:dyDescent="0.3">
      <c r="A108" s="302">
        <v>46199.708969907406</v>
      </c>
      <c r="B108" t="s">
        <v>2669</v>
      </c>
      <c r="C108" t="s">
        <v>2671</v>
      </c>
      <c r="D108" t="s">
        <v>2715</v>
      </c>
      <c r="E108" t="s">
        <v>2716</v>
      </c>
      <c r="F108" t="s">
        <v>2821</v>
      </c>
      <c r="G108" t="s">
        <v>2822</v>
      </c>
    </row>
    <row r="109" spans="1:7" x14ac:dyDescent="0.3">
      <c r="A109" s="302">
        <v>46199.708969907406</v>
      </c>
      <c r="B109" t="s">
        <v>2669</v>
      </c>
      <c r="C109" t="s">
        <v>2671</v>
      </c>
      <c r="D109" t="s">
        <v>2715</v>
      </c>
      <c r="E109" t="s">
        <v>2716</v>
      </c>
      <c r="F109" t="s">
        <v>2823</v>
      </c>
      <c r="G109" t="s">
        <v>2760</v>
      </c>
    </row>
    <row r="110" spans="1:7" x14ac:dyDescent="0.3">
      <c r="A110" s="302">
        <v>46199.708969907406</v>
      </c>
      <c r="B110" t="s">
        <v>2669</v>
      </c>
      <c r="C110" t="s">
        <v>2671</v>
      </c>
      <c r="D110" t="s">
        <v>2715</v>
      </c>
      <c r="E110" t="s">
        <v>2716</v>
      </c>
      <c r="F110" t="s">
        <v>2824</v>
      </c>
      <c r="G110" t="s">
        <v>2825</v>
      </c>
    </row>
    <row r="111" spans="1:7" x14ac:dyDescent="0.3">
      <c r="A111" s="302">
        <v>46199.708969907406</v>
      </c>
      <c r="B111" t="s">
        <v>2669</v>
      </c>
      <c r="C111" t="s">
        <v>2671</v>
      </c>
      <c r="D111" t="s">
        <v>2715</v>
      </c>
      <c r="E111" t="s">
        <v>2716</v>
      </c>
      <c r="F111" t="s">
        <v>2826</v>
      </c>
      <c r="G111" t="s">
        <v>2827</v>
      </c>
    </row>
    <row r="112" spans="1:7" x14ac:dyDescent="0.3">
      <c r="A112" s="302">
        <v>46199.708969907406</v>
      </c>
      <c r="B112" t="s">
        <v>2669</v>
      </c>
      <c r="C112" t="s">
        <v>2671</v>
      </c>
      <c r="D112" t="s">
        <v>2715</v>
      </c>
      <c r="E112" t="s">
        <v>2716</v>
      </c>
      <c r="F112" t="s">
        <v>2828</v>
      </c>
      <c r="G112" t="s">
        <v>2829</v>
      </c>
    </row>
    <row r="113" spans="1:7" x14ac:dyDescent="0.3">
      <c r="A113" s="302">
        <v>46199.708969907406</v>
      </c>
      <c r="B113" t="s">
        <v>2669</v>
      </c>
      <c r="C113" t="s">
        <v>2671</v>
      </c>
      <c r="D113" t="s">
        <v>2715</v>
      </c>
      <c r="E113" t="s">
        <v>2716</v>
      </c>
      <c r="F113" t="s">
        <v>2830</v>
      </c>
      <c r="G113" t="s">
        <v>2790</v>
      </c>
    </row>
    <row r="114" spans="1:7" x14ac:dyDescent="0.3">
      <c r="A114" s="302">
        <v>46199.708969907406</v>
      </c>
      <c r="B114" t="s">
        <v>2669</v>
      </c>
      <c r="C114" t="s">
        <v>2671</v>
      </c>
      <c r="D114" t="s">
        <v>2715</v>
      </c>
      <c r="E114" t="s">
        <v>2716</v>
      </c>
      <c r="F114" t="s">
        <v>2831</v>
      </c>
      <c r="G114" t="s">
        <v>2832</v>
      </c>
    </row>
    <row r="115" spans="1:7" x14ac:dyDescent="0.3">
      <c r="A115" s="302">
        <v>46199.708969907406</v>
      </c>
      <c r="B115" t="s">
        <v>2669</v>
      </c>
      <c r="C115" t="s">
        <v>2671</v>
      </c>
      <c r="D115" t="s">
        <v>2715</v>
      </c>
      <c r="E115" t="s">
        <v>2716</v>
      </c>
      <c r="F115" t="s">
        <v>2833</v>
      </c>
      <c r="G115" t="s">
        <v>2795</v>
      </c>
    </row>
    <row r="116" spans="1:7" x14ac:dyDescent="0.3">
      <c r="A116" s="302">
        <v>46199.708969907406</v>
      </c>
      <c r="B116" t="s">
        <v>2669</v>
      </c>
      <c r="C116" t="s">
        <v>2671</v>
      </c>
      <c r="D116" t="s">
        <v>2715</v>
      </c>
      <c r="E116" t="s">
        <v>2716</v>
      </c>
      <c r="F116" t="s">
        <v>2834</v>
      </c>
      <c r="G116" t="s">
        <v>2774</v>
      </c>
    </row>
    <row r="117" spans="1:7" x14ac:dyDescent="0.3">
      <c r="A117" s="302">
        <v>46199.708969907406</v>
      </c>
      <c r="B117" t="s">
        <v>2669</v>
      </c>
      <c r="C117" t="s">
        <v>2671</v>
      </c>
      <c r="D117" t="s">
        <v>2715</v>
      </c>
      <c r="E117" t="s">
        <v>2716</v>
      </c>
      <c r="F117" t="s">
        <v>2835</v>
      </c>
      <c r="G117" t="s">
        <v>2791</v>
      </c>
    </row>
    <row r="118" spans="1:7" x14ac:dyDescent="0.3">
      <c r="A118" s="302">
        <v>46199.708969907406</v>
      </c>
      <c r="B118" t="s">
        <v>2669</v>
      </c>
      <c r="C118" t="s">
        <v>2671</v>
      </c>
      <c r="D118" t="s">
        <v>2715</v>
      </c>
      <c r="E118" t="s">
        <v>2716</v>
      </c>
      <c r="F118" t="s">
        <v>2836</v>
      </c>
      <c r="G118" t="s">
        <v>2760</v>
      </c>
    </row>
    <row r="119" spans="1:7" x14ac:dyDescent="0.3">
      <c r="A119" s="302">
        <v>46199.708981481483</v>
      </c>
      <c r="B119" t="s">
        <v>2669</v>
      </c>
      <c r="C119" t="s">
        <v>2671</v>
      </c>
      <c r="D119" t="s">
        <v>2715</v>
      </c>
      <c r="E119" t="s">
        <v>2716</v>
      </c>
      <c r="F119" t="s">
        <v>2837</v>
      </c>
      <c r="G119" t="s">
        <v>2838</v>
      </c>
    </row>
    <row r="120" spans="1:7" x14ac:dyDescent="0.3">
      <c r="A120" s="302">
        <v>46199.708981481483</v>
      </c>
      <c r="B120" t="s">
        <v>2669</v>
      </c>
      <c r="C120" t="s">
        <v>2671</v>
      </c>
      <c r="D120" t="s">
        <v>2715</v>
      </c>
      <c r="E120" t="s">
        <v>2716</v>
      </c>
      <c r="F120" t="s">
        <v>2839</v>
      </c>
      <c r="G120" t="s">
        <v>2784</v>
      </c>
    </row>
    <row r="121" spans="1:7" x14ac:dyDescent="0.3">
      <c r="A121" s="302">
        <v>46199.708981481483</v>
      </c>
      <c r="B121" t="s">
        <v>2669</v>
      </c>
      <c r="C121" t="s">
        <v>2671</v>
      </c>
      <c r="D121" t="s">
        <v>2715</v>
      </c>
      <c r="E121" t="s">
        <v>2716</v>
      </c>
      <c r="F121" t="s">
        <v>2840</v>
      </c>
      <c r="G121" t="s">
        <v>2784</v>
      </c>
    </row>
    <row r="122" spans="1:7" x14ac:dyDescent="0.3">
      <c r="A122" s="302">
        <v>46199.708981481483</v>
      </c>
      <c r="B122" t="s">
        <v>2669</v>
      </c>
      <c r="C122" t="s">
        <v>2671</v>
      </c>
      <c r="D122" t="s">
        <v>2715</v>
      </c>
      <c r="E122" t="s">
        <v>2716</v>
      </c>
      <c r="F122" t="s">
        <v>2841</v>
      </c>
      <c r="G122" t="s">
        <v>2786</v>
      </c>
    </row>
    <row r="123" spans="1:7" x14ac:dyDescent="0.3">
      <c r="A123" s="302">
        <v>46199.708981481483</v>
      </c>
      <c r="B123" t="s">
        <v>2669</v>
      </c>
      <c r="C123" t="s">
        <v>2671</v>
      </c>
      <c r="D123" t="s">
        <v>2715</v>
      </c>
      <c r="E123" t="s">
        <v>2716</v>
      </c>
      <c r="F123" t="s">
        <v>2842</v>
      </c>
      <c r="G123" t="s">
        <v>2760</v>
      </c>
    </row>
    <row r="124" spans="1:7" x14ac:dyDescent="0.3">
      <c r="A124" s="302">
        <v>46199.708981481483</v>
      </c>
      <c r="B124" t="s">
        <v>2669</v>
      </c>
      <c r="C124" t="s">
        <v>2671</v>
      </c>
      <c r="D124" t="s">
        <v>2715</v>
      </c>
      <c r="E124" t="s">
        <v>2716</v>
      </c>
      <c r="F124" t="s">
        <v>2843</v>
      </c>
      <c r="G124" t="s">
        <v>2844</v>
      </c>
    </row>
    <row r="125" spans="1:7" x14ac:dyDescent="0.3">
      <c r="A125" s="302">
        <v>46199.708981481483</v>
      </c>
      <c r="B125" t="s">
        <v>2669</v>
      </c>
      <c r="C125" t="s">
        <v>2671</v>
      </c>
      <c r="D125" t="s">
        <v>2715</v>
      </c>
      <c r="E125" t="s">
        <v>2716</v>
      </c>
      <c r="F125" t="s">
        <v>2845</v>
      </c>
      <c r="G125" t="s">
        <v>2846</v>
      </c>
    </row>
    <row r="126" spans="1:7" x14ac:dyDescent="0.3">
      <c r="A126" s="302">
        <v>46199.708981481483</v>
      </c>
      <c r="B126" t="s">
        <v>2669</v>
      </c>
      <c r="C126" t="s">
        <v>2671</v>
      </c>
      <c r="D126" t="s">
        <v>2715</v>
      </c>
      <c r="E126" t="s">
        <v>2716</v>
      </c>
      <c r="F126" t="s">
        <v>2847</v>
      </c>
      <c r="G126" t="s">
        <v>2848</v>
      </c>
    </row>
    <row r="127" spans="1:7" x14ac:dyDescent="0.3">
      <c r="A127" s="302">
        <v>46199.708981481483</v>
      </c>
      <c r="B127" t="s">
        <v>2669</v>
      </c>
      <c r="C127" t="s">
        <v>2671</v>
      </c>
      <c r="D127" t="s">
        <v>2715</v>
      </c>
      <c r="E127" t="s">
        <v>2716</v>
      </c>
      <c r="F127" t="s">
        <v>2849</v>
      </c>
      <c r="G127" t="s">
        <v>2850</v>
      </c>
    </row>
    <row r="128" spans="1:7" x14ac:dyDescent="0.3">
      <c r="A128" s="302">
        <v>46199.708981481483</v>
      </c>
      <c r="B128" t="s">
        <v>2669</v>
      </c>
      <c r="C128" t="s">
        <v>2671</v>
      </c>
      <c r="D128" t="s">
        <v>2715</v>
      </c>
      <c r="E128" t="s">
        <v>2716</v>
      </c>
      <c r="F128" t="s">
        <v>2851</v>
      </c>
      <c r="G128" t="s">
        <v>2852</v>
      </c>
    </row>
    <row r="129" spans="1:7" x14ac:dyDescent="0.3">
      <c r="A129" s="302">
        <v>46199.708981481483</v>
      </c>
      <c r="B129" t="s">
        <v>2669</v>
      </c>
      <c r="C129" t="s">
        <v>2671</v>
      </c>
      <c r="D129" t="s">
        <v>2715</v>
      </c>
      <c r="E129" t="s">
        <v>2716</v>
      </c>
      <c r="F129" t="s">
        <v>2853</v>
      </c>
      <c r="G129" t="s">
        <v>2795</v>
      </c>
    </row>
    <row r="130" spans="1:7" x14ac:dyDescent="0.3">
      <c r="A130" s="302">
        <v>46199.708981481483</v>
      </c>
      <c r="B130" t="s">
        <v>2669</v>
      </c>
      <c r="C130" t="s">
        <v>2671</v>
      </c>
      <c r="D130" t="s">
        <v>2715</v>
      </c>
      <c r="E130" t="s">
        <v>2716</v>
      </c>
      <c r="F130" t="s">
        <v>2854</v>
      </c>
      <c r="G130" t="s">
        <v>2774</v>
      </c>
    </row>
    <row r="131" spans="1:7" x14ac:dyDescent="0.3">
      <c r="A131" s="302">
        <v>46199.708981481483</v>
      </c>
      <c r="B131" t="s">
        <v>2669</v>
      </c>
      <c r="C131" t="s">
        <v>2671</v>
      </c>
      <c r="D131" t="s">
        <v>2715</v>
      </c>
      <c r="E131" t="s">
        <v>2716</v>
      </c>
      <c r="F131" t="s">
        <v>2855</v>
      </c>
      <c r="G131" t="s">
        <v>2776</v>
      </c>
    </row>
    <row r="132" spans="1:7" x14ac:dyDescent="0.3">
      <c r="A132" s="302">
        <v>46199.708981481483</v>
      </c>
      <c r="B132" t="s">
        <v>2669</v>
      </c>
      <c r="C132" t="s">
        <v>2671</v>
      </c>
      <c r="D132" t="s">
        <v>2715</v>
      </c>
      <c r="E132" t="s">
        <v>2716</v>
      </c>
      <c r="F132" t="s">
        <v>2856</v>
      </c>
      <c r="G132" t="s">
        <v>2760</v>
      </c>
    </row>
    <row r="133" spans="1:7" x14ac:dyDescent="0.3">
      <c r="A133" s="302">
        <v>46199.708981481483</v>
      </c>
      <c r="B133" t="s">
        <v>2669</v>
      </c>
      <c r="C133" t="s">
        <v>2671</v>
      </c>
      <c r="D133" t="s">
        <v>2715</v>
      </c>
      <c r="E133" t="s">
        <v>2716</v>
      </c>
      <c r="F133" t="s">
        <v>2857</v>
      </c>
      <c r="G133" t="s">
        <v>2816</v>
      </c>
    </row>
    <row r="134" spans="1:7" x14ac:dyDescent="0.3">
      <c r="A134" s="302">
        <v>46199.708981481483</v>
      </c>
      <c r="B134" t="s">
        <v>2669</v>
      </c>
      <c r="C134" t="s">
        <v>2671</v>
      </c>
      <c r="D134" t="s">
        <v>2715</v>
      </c>
      <c r="E134" t="s">
        <v>2716</v>
      </c>
      <c r="F134" t="s">
        <v>2858</v>
      </c>
      <c r="G134" t="s">
        <v>2784</v>
      </c>
    </row>
    <row r="135" spans="1:7" x14ac:dyDescent="0.3">
      <c r="A135" s="302">
        <v>46199.708981481483</v>
      </c>
      <c r="B135" t="s">
        <v>2669</v>
      </c>
      <c r="C135" t="s">
        <v>2671</v>
      </c>
      <c r="D135" t="s">
        <v>2715</v>
      </c>
      <c r="E135" t="s">
        <v>2716</v>
      </c>
      <c r="F135" t="s">
        <v>2859</v>
      </c>
      <c r="G135" t="s">
        <v>2784</v>
      </c>
    </row>
    <row r="136" spans="1:7" x14ac:dyDescent="0.3">
      <c r="A136" s="302">
        <v>46199.708981481483</v>
      </c>
      <c r="B136" t="s">
        <v>2669</v>
      </c>
      <c r="C136" t="s">
        <v>2671</v>
      </c>
      <c r="D136" t="s">
        <v>2715</v>
      </c>
      <c r="E136" t="s">
        <v>2716</v>
      </c>
      <c r="F136" t="s">
        <v>2860</v>
      </c>
      <c r="G136" t="s">
        <v>2786</v>
      </c>
    </row>
    <row r="137" spans="1:7" x14ac:dyDescent="0.3">
      <c r="A137" s="302">
        <v>46199.708981481483</v>
      </c>
      <c r="B137" t="s">
        <v>2669</v>
      </c>
      <c r="C137" t="s">
        <v>2671</v>
      </c>
      <c r="D137" t="s">
        <v>2715</v>
      </c>
      <c r="E137" t="s">
        <v>2716</v>
      </c>
      <c r="F137" t="s">
        <v>2861</v>
      </c>
      <c r="G137" t="s">
        <v>2760</v>
      </c>
    </row>
    <row r="138" spans="1:7" x14ac:dyDescent="0.3">
      <c r="A138" s="302">
        <v>46199.708981481483</v>
      </c>
      <c r="B138" t="s">
        <v>2669</v>
      </c>
      <c r="C138" t="s">
        <v>2671</v>
      </c>
      <c r="D138" t="s">
        <v>2715</v>
      </c>
      <c r="E138" t="s">
        <v>2716</v>
      </c>
      <c r="F138" t="s">
        <v>2862</v>
      </c>
      <c r="G138" t="s">
        <v>2787</v>
      </c>
    </row>
    <row r="139" spans="1:7" x14ac:dyDescent="0.3">
      <c r="A139" s="302">
        <v>46199.708981481483</v>
      </c>
      <c r="B139" t="s">
        <v>2669</v>
      </c>
      <c r="C139" t="s">
        <v>2671</v>
      </c>
      <c r="D139" t="s">
        <v>2715</v>
      </c>
      <c r="E139" t="s">
        <v>2716</v>
      </c>
      <c r="F139" t="s">
        <v>2863</v>
      </c>
      <c r="G139" t="s">
        <v>2864</v>
      </c>
    </row>
    <row r="140" spans="1:7" x14ac:dyDescent="0.3">
      <c r="A140" s="302">
        <v>46199.708981481483</v>
      </c>
      <c r="B140" t="s">
        <v>2669</v>
      </c>
      <c r="C140" t="s">
        <v>2671</v>
      </c>
      <c r="D140" t="s">
        <v>2715</v>
      </c>
      <c r="E140" t="s">
        <v>2716</v>
      </c>
      <c r="F140" t="s">
        <v>2865</v>
      </c>
      <c r="G140" t="s">
        <v>2866</v>
      </c>
    </row>
    <row r="141" spans="1:7" x14ac:dyDescent="0.3">
      <c r="A141" s="302">
        <v>46199.708981481483</v>
      </c>
      <c r="B141" t="s">
        <v>2669</v>
      </c>
      <c r="C141" t="s">
        <v>2671</v>
      </c>
      <c r="D141" t="s">
        <v>2715</v>
      </c>
      <c r="E141" t="s">
        <v>2716</v>
      </c>
      <c r="F141" t="s">
        <v>2867</v>
      </c>
      <c r="G141" t="s">
        <v>2868</v>
      </c>
    </row>
    <row r="142" spans="1:7" x14ac:dyDescent="0.3">
      <c r="A142" s="302">
        <v>46199.708981481483</v>
      </c>
      <c r="B142" t="s">
        <v>2669</v>
      </c>
      <c r="C142" t="s">
        <v>2671</v>
      </c>
      <c r="D142" t="s">
        <v>2715</v>
      </c>
      <c r="E142" t="s">
        <v>2716</v>
      </c>
      <c r="F142" t="s">
        <v>2869</v>
      </c>
      <c r="G142" t="s">
        <v>2850</v>
      </c>
    </row>
    <row r="143" spans="1:7" x14ac:dyDescent="0.3">
      <c r="A143" s="302">
        <v>46199.708981481483</v>
      </c>
      <c r="B143" t="s">
        <v>2669</v>
      </c>
      <c r="C143" t="s">
        <v>2671</v>
      </c>
      <c r="D143" t="s">
        <v>2715</v>
      </c>
      <c r="E143" t="s">
        <v>2716</v>
      </c>
      <c r="F143" t="s">
        <v>2870</v>
      </c>
      <c r="G143" t="s">
        <v>2795</v>
      </c>
    </row>
    <row r="144" spans="1:7" x14ac:dyDescent="0.3">
      <c r="A144" s="302">
        <v>46199.708981481483</v>
      </c>
      <c r="B144" t="s">
        <v>2669</v>
      </c>
      <c r="C144" t="s">
        <v>2671</v>
      </c>
      <c r="D144" t="s">
        <v>2715</v>
      </c>
      <c r="E144" t="s">
        <v>2716</v>
      </c>
      <c r="F144" t="s">
        <v>2871</v>
      </c>
      <c r="G144" t="s">
        <v>2774</v>
      </c>
    </row>
    <row r="145" spans="1:7" x14ac:dyDescent="0.3">
      <c r="A145" s="302">
        <v>46199.708981481483</v>
      </c>
      <c r="B145" t="s">
        <v>2669</v>
      </c>
      <c r="C145" t="s">
        <v>2671</v>
      </c>
      <c r="D145" t="s">
        <v>2715</v>
      </c>
      <c r="E145" t="s">
        <v>2716</v>
      </c>
      <c r="F145" t="s">
        <v>2872</v>
      </c>
      <c r="G145" t="s">
        <v>2791</v>
      </c>
    </row>
    <row r="146" spans="1:7" x14ac:dyDescent="0.3">
      <c r="A146" s="302">
        <v>46199.708981481483</v>
      </c>
      <c r="B146" t="s">
        <v>2669</v>
      </c>
      <c r="C146" t="s">
        <v>2671</v>
      </c>
      <c r="D146" t="s">
        <v>2715</v>
      </c>
      <c r="E146" t="s">
        <v>2716</v>
      </c>
      <c r="F146" t="s">
        <v>2873</v>
      </c>
      <c r="G146" t="s">
        <v>2784</v>
      </c>
    </row>
    <row r="147" spans="1:7" x14ac:dyDescent="0.3">
      <c r="A147" s="302">
        <v>46199.708981481483</v>
      </c>
      <c r="B147" t="s">
        <v>2669</v>
      </c>
      <c r="C147" t="s">
        <v>2671</v>
      </c>
      <c r="D147" t="s">
        <v>2715</v>
      </c>
      <c r="E147" t="s">
        <v>2716</v>
      </c>
      <c r="F147" t="s">
        <v>2874</v>
      </c>
      <c r="G147" t="s">
        <v>2875</v>
      </c>
    </row>
    <row r="148" spans="1:7" x14ac:dyDescent="0.3">
      <c r="A148" s="302">
        <v>46199.708981481483</v>
      </c>
      <c r="B148" t="s">
        <v>2669</v>
      </c>
      <c r="C148" t="s">
        <v>2671</v>
      </c>
      <c r="D148" t="s">
        <v>2715</v>
      </c>
      <c r="E148" t="s">
        <v>2716</v>
      </c>
      <c r="F148" t="s">
        <v>2876</v>
      </c>
      <c r="G148" t="s">
        <v>2877</v>
      </c>
    </row>
    <row r="149" spans="1:7" x14ac:dyDescent="0.3">
      <c r="A149" s="302">
        <v>46199.708981481483</v>
      </c>
      <c r="B149" t="s">
        <v>2669</v>
      </c>
      <c r="C149" t="s">
        <v>2671</v>
      </c>
      <c r="D149" t="s">
        <v>2715</v>
      </c>
      <c r="E149" t="s">
        <v>2716</v>
      </c>
      <c r="F149" t="s">
        <v>2878</v>
      </c>
      <c r="G149" t="s">
        <v>2879</v>
      </c>
    </row>
    <row r="150" spans="1:7" x14ac:dyDescent="0.3">
      <c r="A150" s="302">
        <v>46199.708981481483</v>
      </c>
      <c r="B150" t="s">
        <v>2669</v>
      </c>
      <c r="C150" t="s">
        <v>2671</v>
      </c>
      <c r="D150" t="s">
        <v>2715</v>
      </c>
      <c r="E150" t="s">
        <v>2716</v>
      </c>
      <c r="F150" t="s">
        <v>2880</v>
      </c>
      <c r="G150" t="s">
        <v>2786</v>
      </c>
    </row>
    <row r="151" spans="1:7" x14ac:dyDescent="0.3">
      <c r="A151" s="302">
        <v>46199.708981481483</v>
      </c>
      <c r="B151" t="s">
        <v>2669</v>
      </c>
      <c r="C151" t="s">
        <v>2671</v>
      </c>
      <c r="D151" t="s">
        <v>2715</v>
      </c>
      <c r="E151" t="s">
        <v>2716</v>
      </c>
      <c r="F151" t="s">
        <v>2881</v>
      </c>
      <c r="G151" t="s">
        <v>2760</v>
      </c>
    </row>
    <row r="152" spans="1:7" x14ac:dyDescent="0.3">
      <c r="A152" s="302">
        <v>46199.708981481483</v>
      </c>
      <c r="B152" t="s">
        <v>2669</v>
      </c>
      <c r="C152" t="s">
        <v>2671</v>
      </c>
      <c r="D152" t="s">
        <v>2715</v>
      </c>
      <c r="E152" t="s">
        <v>2716</v>
      </c>
      <c r="F152" t="s">
        <v>2882</v>
      </c>
      <c r="G152" t="s">
        <v>2844</v>
      </c>
    </row>
    <row r="153" spans="1:7" x14ac:dyDescent="0.3">
      <c r="A153" s="302">
        <v>46199.708981481483</v>
      </c>
      <c r="B153" t="s">
        <v>2669</v>
      </c>
      <c r="C153" t="s">
        <v>2671</v>
      </c>
      <c r="D153" t="s">
        <v>2715</v>
      </c>
      <c r="E153" t="s">
        <v>2716</v>
      </c>
      <c r="F153" t="s">
        <v>2883</v>
      </c>
      <c r="G153" t="s">
        <v>2884</v>
      </c>
    </row>
    <row r="154" spans="1:7" x14ac:dyDescent="0.3">
      <c r="A154" s="302">
        <v>46199.708981481483</v>
      </c>
      <c r="B154" t="s">
        <v>2669</v>
      </c>
      <c r="C154" t="s">
        <v>2671</v>
      </c>
      <c r="D154" t="s">
        <v>2715</v>
      </c>
      <c r="E154" t="s">
        <v>2716</v>
      </c>
      <c r="F154" t="s">
        <v>2885</v>
      </c>
      <c r="G154" t="s">
        <v>2886</v>
      </c>
    </row>
    <row r="155" spans="1:7" x14ac:dyDescent="0.3">
      <c r="A155" s="302">
        <v>46199.708981481483</v>
      </c>
      <c r="B155" t="s">
        <v>2669</v>
      </c>
      <c r="C155" t="s">
        <v>2671</v>
      </c>
      <c r="D155" t="s">
        <v>2715</v>
      </c>
      <c r="E155" t="s">
        <v>2716</v>
      </c>
      <c r="F155" t="s">
        <v>2887</v>
      </c>
      <c r="G155" t="s">
        <v>2888</v>
      </c>
    </row>
    <row r="156" spans="1:7" x14ac:dyDescent="0.3">
      <c r="A156" s="302">
        <v>46199.708981481483</v>
      </c>
      <c r="B156" t="s">
        <v>2669</v>
      </c>
      <c r="C156" t="s">
        <v>2671</v>
      </c>
      <c r="D156" t="s">
        <v>2715</v>
      </c>
      <c r="E156" t="s">
        <v>2716</v>
      </c>
      <c r="F156" t="s">
        <v>2889</v>
      </c>
      <c r="G156" t="s">
        <v>2890</v>
      </c>
    </row>
    <row r="157" spans="1:7" x14ac:dyDescent="0.3">
      <c r="A157" s="302">
        <v>46199.708981481483</v>
      </c>
      <c r="B157" t="s">
        <v>2669</v>
      </c>
      <c r="C157" t="s">
        <v>2671</v>
      </c>
      <c r="D157" t="s">
        <v>2715</v>
      </c>
      <c r="E157" t="s">
        <v>2716</v>
      </c>
      <c r="F157" t="s">
        <v>2891</v>
      </c>
      <c r="G157" t="s">
        <v>2892</v>
      </c>
    </row>
    <row r="158" spans="1:7" x14ac:dyDescent="0.3">
      <c r="A158" s="302">
        <v>46199.708981481483</v>
      </c>
      <c r="B158" t="s">
        <v>2669</v>
      </c>
      <c r="C158" t="s">
        <v>2671</v>
      </c>
      <c r="D158" t="s">
        <v>2715</v>
      </c>
      <c r="E158" t="s">
        <v>2716</v>
      </c>
      <c r="F158" t="s">
        <v>2893</v>
      </c>
      <c r="G158" t="s">
        <v>2774</v>
      </c>
    </row>
    <row r="159" spans="1:7" x14ac:dyDescent="0.3">
      <c r="A159" s="302">
        <v>46199.708981481483</v>
      </c>
      <c r="B159" t="s">
        <v>2669</v>
      </c>
      <c r="C159" t="s">
        <v>2671</v>
      </c>
      <c r="D159" t="s">
        <v>2715</v>
      </c>
      <c r="E159" t="s">
        <v>2716</v>
      </c>
      <c r="F159" t="s">
        <v>2894</v>
      </c>
      <c r="G159" t="s">
        <v>2760</v>
      </c>
    </row>
    <row r="160" spans="1:7" x14ac:dyDescent="0.3">
      <c r="A160" s="302">
        <v>46199.708981481483</v>
      </c>
      <c r="B160" t="s">
        <v>2669</v>
      </c>
      <c r="C160" t="s">
        <v>2671</v>
      </c>
      <c r="D160" t="s">
        <v>2715</v>
      </c>
      <c r="E160" t="s">
        <v>2716</v>
      </c>
      <c r="F160" t="s">
        <v>2895</v>
      </c>
      <c r="G160" t="s">
        <v>2784</v>
      </c>
    </row>
    <row r="161" spans="1:7" x14ac:dyDescent="0.3">
      <c r="A161" s="302">
        <v>46199.708981481483</v>
      </c>
      <c r="B161" t="s">
        <v>2669</v>
      </c>
      <c r="C161" t="s">
        <v>2671</v>
      </c>
      <c r="D161" t="s">
        <v>2715</v>
      </c>
      <c r="E161" t="s">
        <v>2716</v>
      </c>
      <c r="F161" t="s">
        <v>2896</v>
      </c>
      <c r="G161" t="s">
        <v>2897</v>
      </c>
    </row>
    <row r="162" spans="1:7" x14ac:dyDescent="0.3">
      <c r="A162" s="302">
        <v>46199.708981481483</v>
      </c>
      <c r="B162" t="s">
        <v>2669</v>
      </c>
      <c r="C162" t="s">
        <v>2671</v>
      </c>
      <c r="D162" t="s">
        <v>2715</v>
      </c>
      <c r="E162" t="s">
        <v>2716</v>
      </c>
      <c r="F162" t="s">
        <v>2898</v>
      </c>
      <c r="G162" t="s">
        <v>2899</v>
      </c>
    </row>
    <row r="163" spans="1:7" x14ac:dyDescent="0.3">
      <c r="A163" s="302">
        <v>46199.708981481483</v>
      </c>
      <c r="B163" t="s">
        <v>2669</v>
      </c>
      <c r="C163" t="s">
        <v>2671</v>
      </c>
      <c r="D163" t="s">
        <v>2715</v>
      </c>
      <c r="E163" t="s">
        <v>2716</v>
      </c>
      <c r="F163" t="s">
        <v>2900</v>
      </c>
      <c r="G163" t="s">
        <v>2901</v>
      </c>
    </row>
    <row r="164" spans="1:7" x14ac:dyDescent="0.3">
      <c r="A164" s="302">
        <v>46199.709131944444</v>
      </c>
      <c r="B164" t="s">
        <v>2669</v>
      </c>
      <c r="C164" t="s">
        <v>2671</v>
      </c>
      <c r="D164" t="s">
        <v>2711</v>
      </c>
      <c r="E164" t="s">
        <v>2714</v>
      </c>
      <c r="F164" t="s">
        <v>2785</v>
      </c>
    </row>
    <row r="165" spans="1:7" x14ac:dyDescent="0.3">
      <c r="A165" s="302">
        <v>46199.709131944444</v>
      </c>
      <c r="B165" t="s">
        <v>2669</v>
      </c>
      <c r="C165" t="s">
        <v>2671</v>
      </c>
      <c r="D165" t="s">
        <v>2715</v>
      </c>
      <c r="E165" t="s">
        <v>2716</v>
      </c>
      <c r="F165" t="s">
        <v>2717</v>
      </c>
      <c r="G165" t="s">
        <v>2718</v>
      </c>
    </row>
    <row r="166" spans="1:7" x14ac:dyDescent="0.3">
      <c r="A166" s="302">
        <v>46199.709131944444</v>
      </c>
      <c r="B166" t="s">
        <v>2669</v>
      </c>
      <c r="C166" t="s">
        <v>2671</v>
      </c>
      <c r="D166" t="s">
        <v>2715</v>
      </c>
      <c r="E166" t="s">
        <v>2716</v>
      </c>
      <c r="F166" t="s">
        <v>2719</v>
      </c>
      <c r="G166" t="s">
        <v>2720</v>
      </c>
    </row>
    <row r="167" spans="1:7" x14ac:dyDescent="0.3">
      <c r="A167" s="302">
        <v>46199.709131944444</v>
      </c>
      <c r="B167" t="s">
        <v>2669</v>
      </c>
      <c r="C167" t="s">
        <v>2671</v>
      </c>
      <c r="D167" t="s">
        <v>2715</v>
      </c>
      <c r="E167" t="s">
        <v>2716</v>
      </c>
      <c r="F167" t="s">
        <v>2721</v>
      </c>
      <c r="G167" t="s">
        <v>2722</v>
      </c>
    </row>
    <row r="168" spans="1:7" x14ac:dyDescent="0.3">
      <c r="A168" s="302">
        <v>46199.709131944444</v>
      </c>
      <c r="B168" t="s">
        <v>2669</v>
      </c>
      <c r="C168" t="s">
        <v>2671</v>
      </c>
      <c r="D168" t="s">
        <v>2715</v>
      </c>
      <c r="E168" t="s">
        <v>2716</v>
      </c>
      <c r="F168" t="s">
        <v>2723</v>
      </c>
      <c r="G168" t="s">
        <v>2724</v>
      </c>
    </row>
    <row r="169" spans="1:7" x14ac:dyDescent="0.3">
      <c r="A169" s="302">
        <v>46199.709131944444</v>
      </c>
      <c r="B169" t="s">
        <v>2669</v>
      </c>
      <c r="C169" t="s">
        <v>2671</v>
      </c>
      <c r="D169" t="s">
        <v>2715</v>
      </c>
      <c r="E169" t="s">
        <v>2716</v>
      </c>
      <c r="F169" t="s">
        <v>2725</v>
      </c>
      <c r="G169" t="s">
        <v>2726</v>
      </c>
    </row>
    <row r="170" spans="1:7" x14ac:dyDescent="0.3">
      <c r="A170" s="302">
        <v>46199.709131944444</v>
      </c>
      <c r="B170" t="s">
        <v>2669</v>
      </c>
      <c r="C170" t="s">
        <v>2671</v>
      </c>
      <c r="D170" t="s">
        <v>2715</v>
      </c>
      <c r="E170" t="s">
        <v>2716</v>
      </c>
      <c r="F170" t="s">
        <v>2727</v>
      </c>
      <c r="G170" t="s">
        <v>2728</v>
      </c>
    </row>
    <row r="171" spans="1:7" x14ac:dyDescent="0.3">
      <c r="A171" s="302">
        <v>46199.709131944444</v>
      </c>
      <c r="B171" t="s">
        <v>2669</v>
      </c>
      <c r="C171" t="s">
        <v>2671</v>
      </c>
      <c r="D171" t="s">
        <v>2715</v>
      </c>
      <c r="E171" t="s">
        <v>2716</v>
      </c>
      <c r="F171" t="s">
        <v>2729</v>
      </c>
      <c r="G171" t="s">
        <v>2730</v>
      </c>
    </row>
    <row r="172" spans="1:7" x14ac:dyDescent="0.3">
      <c r="A172" s="302">
        <v>46199.709131944444</v>
      </c>
      <c r="B172" t="s">
        <v>2669</v>
      </c>
      <c r="C172" t="s">
        <v>2671</v>
      </c>
      <c r="D172" t="s">
        <v>2715</v>
      </c>
      <c r="E172" t="s">
        <v>2716</v>
      </c>
      <c r="F172" t="s">
        <v>2731</v>
      </c>
      <c r="G172" t="s">
        <v>2732</v>
      </c>
    </row>
    <row r="173" spans="1:7" x14ac:dyDescent="0.3">
      <c r="A173" s="302">
        <v>46199.709131944444</v>
      </c>
      <c r="B173" t="s">
        <v>2669</v>
      </c>
      <c r="C173" t="s">
        <v>2671</v>
      </c>
      <c r="D173" t="s">
        <v>2715</v>
      </c>
      <c r="E173" t="s">
        <v>2716</v>
      </c>
      <c r="F173" t="s">
        <v>2733</v>
      </c>
      <c r="G173" t="s">
        <v>2734</v>
      </c>
    </row>
    <row r="174" spans="1:7" x14ac:dyDescent="0.3">
      <c r="A174" s="302">
        <v>46199.709131944444</v>
      </c>
      <c r="B174" t="s">
        <v>2669</v>
      </c>
      <c r="C174" t="s">
        <v>2671</v>
      </c>
      <c r="D174" t="s">
        <v>2715</v>
      </c>
      <c r="E174" t="s">
        <v>2716</v>
      </c>
      <c r="F174" t="s">
        <v>2735</v>
      </c>
      <c r="G174" t="s">
        <v>2736</v>
      </c>
    </row>
    <row r="175" spans="1:7" x14ac:dyDescent="0.3">
      <c r="A175" s="302">
        <v>46199.709131944444</v>
      </c>
      <c r="B175" t="s">
        <v>2669</v>
      </c>
      <c r="C175" t="s">
        <v>2671</v>
      </c>
      <c r="D175" t="s">
        <v>2715</v>
      </c>
      <c r="E175" t="s">
        <v>2716</v>
      </c>
      <c r="F175" t="s">
        <v>2737</v>
      </c>
      <c r="G175" t="s">
        <v>2738</v>
      </c>
    </row>
    <row r="176" spans="1:7" x14ac:dyDescent="0.3">
      <c r="A176" s="302">
        <v>46199.709131944444</v>
      </c>
      <c r="B176" t="s">
        <v>2669</v>
      </c>
      <c r="C176" t="s">
        <v>2671</v>
      </c>
      <c r="D176" t="s">
        <v>2715</v>
      </c>
      <c r="E176" t="s">
        <v>2716</v>
      </c>
      <c r="F176" t="s">
        <v>2739</v>
      </c>
      <c r="G176" t="s">
        <v>2740</v>
      </c>
    </row>
    <row r="177" spans="1:7" x14ac:dyDescent="0.3">
      <c r="A177" s="302">
        <v>46199.709131944444</v>
      </c>
      <c r="B177" t="s">
        <v>2669</v>
      </c>
      <c r="C177" t="s">
        <v>2671</v>
      </c>
      <c r="D177" t="s">
        <v>2715</v>
      </c>
      <c r="E177" t="s">
        <v>2716</v>
      </c>
      <c r="F177" t="s">
        <v>2741</v>
      </c>
      <c r="G177" t="s">
        <v>2742</v>
      </c>
    </row>
    <row r="178" spans="1:7" x14ac:dyDescent="0.3">
      <c r="A178" s="302">
        <v>46199.709131944444</v>
      </c>
      <c r="B178" t="s">
        <v>2669</v>
      </c>
      <c r="C178" t="s">
        <v>2671</v>
      </c>
      <c r="D178" t="s">
        <v>2715</v>
      </c>
      <c r="E178" t="s">
        <v>2716</v>
      </c>
      <c r="F178" t="s">
        <v>2743</v>
      </c>
      <c r="G178" t="s">
        <v>2744</v>
      </c>
    </row>
    <row r="179" spans="1:7" x14ac:dyDescent="0.3">
      <c r="A179" s="302">
        <v>46199.709131944444</v>
      </c>
      <c r="B179" t="s">
        <v>2669</v>
      </c>
      <c r="C179" t="s">
        <v>2671</v>
      </c>
      <c r="D179" t="s">
        <v>2715</v>
      </c>
      <c r="E179" t="s">
        <v>2716</v>
      </c>
      <c r="F179" t="s">
        <v>2745</v>
      </c>
      <c r="G179" t="s">
        <v>2746</v>
      </c>
    </row>
    <row r="180" spans="1:7" x14ac:dyDescent="0.3">
      <c r="A180" s="302">
        <v>46199.709131944444</v>
      </c>
      <c r="B180" t="s">
        <v>2669</v>
      </c>
      <c r="C180" t="s">
        <v>2671</v>
      </c>
      <c r="D180" t="s">
        <v>2715</v>
      </c>
      <c r="E180" t="s">
        <v>2716</v>
      </c>
      <c r="F180" t="s">
        <v>2747</v>
      </c>
      <c r="G180" t="s">
        <v>2748</v>
      </c>
    </row>
    <row r="181" spans="1:7" x14ac:dyDescent="0.3">
      <c r="A181" s="302">
        <v>46199.709131944444</v>
      </c>
      <c r="B181" t="s">
        <v>2669</v>
      </c>
      <c r="C181" t="s">
        <v>2671</v>
      </c>
      <c r="D181" t="s">
        <v>2715</v>
      </c>
      <c r="E181" t="s">
        <v>2716</v>
      </c>
      <c r="F181" t="s">
        <v>2749</v>
      </c>
      <c r="G181" t="s">
        <v>2750</v>
      </c>
    </row>
    <row r="182" spans="1:7" x14ac:dyDescent="0.3">
      <c r="A182" s="302">
        <v>46199.709131944444</v>
      </c>
      <c r="B182" t="s">
        <v>2669</v>
      </c>
      <c r="C182" t="s">
        <v>2671</v>
      </c>
      <c r="D182" t="s">
        <v>2715</v>
      </c>
      <c r="E182" t="s">
        <v>2716</v>
      </c>
      <c r="F182" t="s">
        <v>2751</v>
      </c>
      <c r="G182" t="s">
        <v>2752</v>
      </c>
    </row>
    <row r="183" spans="1:7" x14ac:dyDescent="0.3">
      <c r="A183" s="302">
        <v>46199.709131944444</v>
      </c>
      <c r="B183" t="s">
        <v>2669</v>
      </c>
      <c r="C183" t="s">
        <v>2671</v>
      </c>
      <c r="D183" t="s">
        <v>2715</v>
      </c>
      <c r="E183" t="s">
        <v>2716</v>
      </c>
      <c r="F183" t="s">
        <v>2753</v>
      </c>
      <c r="G183" t="s">
        <v>2754</v>
      </c>
    </row>
    <row r="184" spans="1:7" x14ac:dyDescent="0.3">
      <c r="A184" s="302">
        <v>46199.709131944444</v>
      </c>
      <c r="B184" t="s">
        <v>2669</v>
      </c>
      <c r="C184" t="s">
        <v>2671</v>
      </c>
      <c r="D184" t="s">
        <v>2715</v>
      </c>
      <c r="E184" t="s">
        <v>2716</v>
      </c>
      <c r="F184" t="s">
        <v>2755</v>
      </c>
      <c r="G184" t="s">
        <v>2756</v>
      </c>
    </row>
    <row r="185" spans="1:7" x14ac:dyDescent="0.3">
      <c r="A185" s="302">
        <v>46199.709143518521</v>
      </c>
      <c r="B185" t="s">
        <v>2669</v>
      </c>
      <c r="C185" t="s">
        <v>2671</v>
      </c>
      <c r="D185" t="s">
        <v>2715</v>
      </c>
      <c r="E185" t="s">
        <v>2716</v>
      </c>
      <c r="F185" t="s">
        <v>2757</v>
      </c>
      <c r="G185" t="s">
        <v>2786</v>
      </c>
    </row>
    <row r="186" spans="1:7" x14ac:dyDescent="0.3">
      <c r="A186" s="302">
        <v>46199.709143518521</v>
      </c>
      <c r="B186" t="s">
        <v>2669</v>
      </c>
      <c r="C186" t="s">
        <v>2671</v>
      </c>
      <c r="D186" t="s">
        <v>2715</v>
      </c>
      <c r="E186" t="s">
        <v>2716</v>
      </c>
      <c r="F186" t="s">
        <v>2759</v>
      </c>
      <c r="G186" t="s">
        <v>2760</v>
      </c>
    </row>
    <row r="187" spans="1:7" x14ac:dyDescent="0.3">
      <c r="A187" s="302">
        <v>46199.709143518521</v>
      </c>
      <c r="B187" t="s">
        <v>2669</v>
      </c>
      <c r="C187" t="s">
        <v>2671</v>
      </c>
      <c r="D187" t="s">
        <v>2715</v>
      </c>
      <c r="E187" t="s">
        <v>2716</v>
      </c>
      <c r="F187" t="s">
        <v>2761</v>
      </c>
      <c r="G187" t="s">
        <v>2787</v>
      </c>
    </row>
    <row r="188" spans="1:7" x14ac:dyDescent="0.3">
      <c r="A188" s="302">
        <v>46199.709143518521</v>
      </c>
      <c r="B188" t="s">
        <v>2669</v>
      </c>
      <c r="C188" t="s">
        <v>2671</v>
      </c>
      <c r="D188" t="s">
        <v>2715</v>
      </c>
      <c r="E188" t="s">
        <v>2716</v>
      </c>
      <c r="F188" t="s">
        <v>2763</v>
      </c>
      <c r="G188" t="s">
        <v>2788</v>
      </c>
    </row>
    <row r="189" spans="1:7" x14ac:dyDescent="0.3">
      <c r="A189" s="302">
        <v>46199.709143518521</v>
      </c>
      <c r="B189" t="s">
        <v>2669</v>
      </c>
      <c r="C189" t="s">
        <v>2671</v>
      </c>
      <c r="D189" t="s">
        <v>2715</v>
      </c>
      <c r="E189" t="s">
        <v>2716</v>
      </c>
      <c r="F189" t="s">
        <v>2765</v>
      </c>
      <c r="G189" t="s">
        <v>2789</v>
      </c>
    </row>
    <row r="190" spans="1:7" x14ac:dyDescent="0.3">
      <c r="A190" s="302">
        <v>46199.709143518521</v>
      </c>
      <c r="B190" t="s">
        <v>2669</v>
      </c>
      <c r="C190" t="s">
        <v>2671</v>
      </c>
      <c r="D190" t="s">
        <v>2715</v>
      </c>
      <c r="E190" t="s">
        <v>2716</v>
      </c>
      <c r="F190" t="s">
        <v>2767</v>
      </c>
      <c r="G190" t="s">
        <v>2790</v>
      </c>
    </row>
    <row r="191" spans="1:7" x14ac:dyDescent="0.3">
      <c r="A191" s="302">
        <v>46199.709143518521</v>
      </c>
      <c r="B191" t="s">
        <v>2669</v>
      </c>
      <c r="C191" t="s">
        <v>2671</v>
      </c>
      <c r="D191" t="s">
        <v>2715</v>
      </c>
      <c r="E191" t="s">
        <v>2716</v>
      </c>
      <c r="F191" t="s">
        <v>2769</v>
      </c>
      <c r="G191" t="s">
        <v>2768</v>
      </c>
    </row>
    <row r="192" spans="1:7" x14ac:dyDescent="0.3">
      <c r="A192" s="302">
        <v>46199.709143518521</v>
      </c>
      <c r="B192" t="s">
        <v>2669</v>
      </c>
      <c r="C192" t="s">
        <v>2671</v>
      </c>
      <c r="D192" t="s">
        <v>2715</v>
      </c>
      <c r="E192" t="s">
        <v>2716</v>
      </c>
      <c r="F192" t="s">
        <v>2771</v>
      </c>
      <c r="G192" t="s">
        <v>2772</v>
      </c>
    </row>
    <row r="193" spans="1:7" x14ac:dyDescent="0.3">
      <c r="A193" s="302">
        <v>46199.709143518521</v>
      </c>
      <c r="B193" t="s">
        <v>2669</v>
      </c>
      <c r="C193" t="s">
        <v>2671</v>
      </c>
      <c r="D193" t="s">
        <v>2715</v>
      </c>
      <c r="E193" t="s">
        <v>2716</v>
      </c>
      <c r="F193" t="s">
        <v>2773</v>
      </c>
      <c r="G193" t="s">
        <v>2774</v>
      </c>
    </row>
    <row r="194" spans="1:7" x14ac:dyDescent="0.3">
      <c r="A194" s="302">
        <v>46199.709143518521</v>
      </c>
      <c r="B194" t="s">
        <v>2669</v>
      </c>
      <c r="C194" t="s">
        <v>2671</v>
      </c>
      <c r="D194" t="s">
        <v>2715</v>
      </c>
      <c r="E194" t="s">
        <v>2716</v>
      </c>
      <c r="F194" t="s">
        <v>2775</v>
      </c>
      <c r="G194" t="s">
        <v>2791</v>
      </c>
    </row>
    <row r="195" spans="1:7" x14ac:dyDescent="0.3">
      <c r="A195" s="302">
        <v>46199.709143518521</v>
      </c>
      <c r="B195" t="s">
        <v>2669</v>
      </c>
      <c r="C195" t="s">
        <v>2671</v>
      </c>
      <c r="D195" t="s">
        <v>2715</v>
      </c>
      <c r="E195" t="s">
        <v>2716</v>
      </c>
      <c r="F195" t="s">
        <v>2792</v>
      </c>
      <c r="G195" t="s">
        <v>2791</v>
      </c>
    </row>
    <row r="196" spans="1:7" x14ac:dyDescent="0.3">
      <c r="A196" s="302">
        <v>46199.709143518521</v>
      </c>
      <c r="B196" t="s">
        <v>2669</v>
      </c>
      <c r="C196" t="s">
        <v>2671</v>
      </c>
      <c r="D196" t="s">
        <v>2715</v>
      </c>
      <c r="E196" t="s">
        <v>2716</v>
      </c>
      <c r="F196" t="s">
        <v>2793</v>
      </c>
      <c r="G196" t="s">
        <v>2772</v>
      </c>
    </row>
    <row r="197" spans="1:7" x14ac:dyDescent="0.3">
      <c r="A197" s="302">
        <v>46199.709143518521</v>
      </c>
      <c r="B197" t="s">
        <v>2669</v>
      </c>
      <c r="C197" t="s">
        <v>2671</v>
      </c>
      <c r="D197" t="s">
        <v>2715</v>
      </c>
      <c r="E197" t="s">
        <v>2716</v>
      </c>
      <c r="F197" t="s">
        <v>2794</v>
      </c>
      <c r="G197" t="s">
        <v>2795</v>
      </c>
    </row>
    <row r="198" spans="1:7" x14ac:dyDescent="0.3">
      <c r="A198" s="302">
        <v>46199.709143518521</v>
      </c>
      <c r="B198" t="s">
        <v>2669</v>
      </c>
      <c r="C198" t="s">
        <v>2671</v>
      </c>
      <c r="D198" t="s">
        <v>2715</v>
      </c>
      <c r="E198" t="s">
        <v>2716</v>
      </c>
      <c r="F198" t="s">
        <v>2781</v>
      </c>
      <c r="G198" t="s">
        <v>2784</v>
      </c>
    </row>
    <row r="199" spans="1:7" x14ac:dyDescent="0.3">
      <c r="A199" s="302">
        <v>46199.709143518521</v>
      </c>
      <c r="B199" t="s">
        <v>2669</v>
      </c>
      <c r="C199" t="s">
        <v>2671</v>
      </c>
      <c r="D199" t="s">
        <v>2715</v>
      </c>
      <c r="E199" t="s">
        <v>2716</v>
      </c>
      <c r="F199" t="s">
        <v>2796</v>
      </c>
      <c r="G199" t="s">
        <v>2797</v>
      </c>
    </row>
    <row r="200" spans="1:7" x14ac:dyDescent="0.3">
      <c r="A200" s="302">
        <v>46199.709143518521</v>
      </c>
      <c r="B200" t="s">
        <v>2669</v>
      </c>
      <c r="C200" t="s">
        <v>2671</v>
      </c>
      <c r="D200" t="s">
        <v>2715</v>
      </c>
      <c r="E200" t="s">
        <v>2716</v>
      </c>
      <c r="F200" t="s">
        <v>2798</v>
      </c>
      <c r="G200" t="s">
        <v>2799</v>
      </c>
    </row>
    <row r="201" spans="1:7" x14ac:dyDescent="0.3">
      <c r="A201" s="302">
        <v>46199.709143518521</v>
      </c>
      <c r="B201" t="s">
        <v>2669</v>
      </c>
      <c r="C201" t="s">
        <v>2671</v>
      </c>
      <c r="D201" t="s">
        <v>2715</v>
      </c>
      <c r="E201" t="s">
        <v>2716</v>
      </c>
      <c r="F201" t="s">
        <v>2783</v>
      </c>
      <c r="G201" t="s">
        <v>2800</v>
      </c>
    </row>
    <row r="202" spans="1:7" x14ac:dyDescent="0.3">
      <c r="A202" s="302">
        <v>46199.709143518521</v>
      </c>
      <c r="B202" t="s">
        <v>2669</v>
      </c>
      <c r="C202" t="s">
        <v>2671</v>
      </c>
      <c r="D202" t="s">
        <v>2715</v>
      </c>
      <c r="E202" t="s">
        <v>2716</v>
      </c>
      <c r="F202" t="s">
        <v>2801</v>
      </c>
      <c r="G202" t="s">
        <v>2786</v>
      </c>
    </row>
    <row r="203" spans="1:7" x14ac:dyDescent="0.3">
      <c r="A203" s="302">
        <v>46199.709143518521</v>
      </c>
      <c r="B203" t="s">
        <v>2669</v>
      </c>
      <c r="C203" t="s">
        <v>2671</v>
      </c>
      <c r="D203" t="s">
        <v>2715</v>
      </c>
      <c r="E203" t="s">
        <v>2716</v>
      </c>
      <c r="F203" t="s">
        <v>2802</v>
      </c>
      <c r="G203" t="s">
        <v>2760</v>
      </c>
    </row>
    <row r="204" spans="1:7" x14ac:dyDescent="0.3">
      <c r="A204" s="302">
        <v>46199.709143518521</v>
      </c>
      <c r="B204" t="s">
        <v>2669</v>
      </c>
      <c r="C204" t="s">
        <v>2671</v>
      </c>
      <c r="D204" t="s">
        <v>2715</v>
      </c>
      <c r="E204" t="s">
        <v>2716</v>
      </c>
      <c r="F204" t="s">
        <v>2803</v>
      </c>
      <c r="G204" t="s">
        <v>2787</v>
      </c>
    </row>
    <row r="205" spans="1:7" x14ac:dyDescent="0.3">
      <c r="A205" s="302">
        <v>46199.709143518521</v>
      </c>
      <c r="B205" t="s">
        <v>2669</v>
      </c>
      <c r="C205" t="s">
        <v>2671</v>
      </c>
      <c r="D205" t="s">
        <v>2715</v>
      </c>
      <c r="E205" t="s">
        <v>2716</v>
      </c>
      <c r="F205" t="s">
        <v>2804</v>
      </c>
      <c r="G205" t="s">
        <v>2788</v>
      </c>
    </row>
    <row r="206" spans="1:7" x14ac:dyDescent="0.3">
      <c r="A206" s="302">
        <v>46199.709143518521</v>
      </c>
      <c r="B206" t="s">
        <v>2669</v>
      </c>
      <c r="C206" t="s">
        <v>2671</v>
      </c>
      <c r="D206" t="s">
        <v>2715</v>
      </c>
      <c r="E206" t="s">
        <v>2716</v>
      </c>
      <c r="F206" t="s">
        <v>2805</v>
      </c>
      <c r="G206" t="s">
        <v>2806</v>
      </c>
    </row>
    <row r="207" spans="1:7" x14ac:dyDescent="0.3">
      <c r="A207" s="302">
        <v>46199.709143518521</v>
      </c>
      <c r="B207" t="s">
        <v>2669</v>
      </c>
      <c r="C207" t="s">
        <v>2671</v>
      </c>
      <c r="D207" t="s">
        <v>2715</v>
      </c>
      <c r="E207" t="s">
        <v>2716</v>
      </c>
      <c r="F207" t="s">
        <v>2807</v>
      </c>
      <c r="G207" t="s">
        <v>2790</v>
      </c>
    </row>
    <row r="208" spans="1:7" x14ac:dyDescent="0.3">
      <c r="A208" s="302">
        <v>46199.709143518521</v>
      </c>
      <c r="B208" t="s">
        <v>2669</v>
      </c>
      <c r="C208" t="s">
        <v>2671</v>
      </c>
      <c r="D208" t="s">
        <v>2715</v>
      </c>
      <c r="E208" t="s">
        <v>2716</v>
      </c>
      <c r="F208" t="s">
        <v>2808</v>
      </c>
      <c r="G208" t="s">
        <v>2768</v>
      </c>
    </row>
    <row r="209" spans="1:7" x14ac:dyDescent="0.3">
      <c r="A209" s="302">
        <v>46199.709143518521</v>
      </c>
      <c r="B209" t="s">
        <v>2669</v>
      </c>
      <c r="C209" t="s">
        <v>2671</v>
      </c>
      <c r="D209" t="s">
        <v>2715</v>
      </c>
      <c r="E209" t="s">
        <v>2716</v>
      </c>
      <c r="F209" t="s">
        <v>2809</v>
      </c>
      <c r="G209" t="s">
        <v>2772</v>
      </c>
    </row>
    <row r="210" spans="1:7" x14ac:dyDescent="0.3">
      <c r="A210" s="302">
        <v>46199.709143518521</v>
      </c>
      <c r="B210" t="s">
        <v>2669</v>
      </c>
      <c r="C210" t="s">
        <v>2671</v>
      </c>
      <c r="D210" t="s">
        <v>2715</v>
      </c>
      <c r="E210" t="s">
        <v>2716</v>
      </c>
      <c r="F210" t="s">
        <v>2810</v>
      </c>
      <c r="G210" t="s">
        <v>2774</v>
      </c>
    </row>
    <row r="211" spans="1:7" x14ac:dyDescent="0.3">
      <c r="A211" s="302">
        <v>46199.709143518521</v>
      </c>
      <c r="B211" t="s">
        <v>2669</v>
      </c>
      <c r="C211" t="s">
        <v>2671</v>
      </c>
      <c r="D211" t="s">
        <v>2715</v>
      </c>
      <c r="E211" t="s">
        <v>2716</v>
      </c>
      <c r="F211" t="s">
        <v>2811</v>
      </c>
      <c r="G211" t="s">
        <v>2791</v>
      </c>
    </row>
    <row r="212" spans="1:7" x14ac:dyDescent="0.3">
      <c r="A212" s="302">
        <v>46199.709143518521</v>
      </c>
      <c r="B212" t="s">
        <v>2669</v>
      </c>
      <c r="C212" t="s">
        <v>2671</v>
      </c>
      <c r="D212" t="s">
        <v>2715</v>
      </c>
      <c r="E212" t="s">
        <v>2716</v>
      </c>
      <c r="F212" t="s">
        <v>2812</v>
      </c>
      <c r="G212" t="s">
        <v>2791</v>
      </c>
    </row>
    <row r="213" spans="1:7" x14ac:dyDescent="0.3">
      <c r="A213" s="302">
        <v>46199.709143518521</v>
      </c>
      <c r="B213" t="s">
        <v>2669</v>
      </c>
      <c r="C213" t="s">
        <v>2671</v>
      </c>
      <c r="D213" t="s">
        <v>2715</v>
      </c>
      <c r="E213" t="s">
        <v>2716</v>
      </c>
      <c r="F213" t="s">
        <v>2813</v>
      </c>
      <c r="G213" t="s">
        <v>2814</v>
      </c>
    </row>
    <row r="214" spans="1:7" x14ac:dyDescent="0.3">
      <c r="A214" s="302">
        <v>46199.709143518521</v>
      </c>
      <c r="B214" t="s">
        <v>2669</v>
      </c>
      <c r="C214" t="s">
        <v>2671</v>
      </c>
      <c r="D214" t="s">
        <v>2715</v>
      </c>
      <c r="E214" t="s">
        <v>2716</v>
      </c>
      <c r="F214" t="s">
        <v>2815</v>
      </c>
      <c r="G214" t="s">
        <v>2816</v>
      </c>
    </row>
    <row r="215" spans="1:7" x14ac:dyDescent="0.3">
      <c r="A215" s="302">
        <v>46199.709143518521</v>
      </c>
      <c r="B215" t="s">
        <v>2669</v>
      </c>
      <c r="C215" t="s">
        <v>2671</v>
      </c>
      <c r="D215" t="s">
        <v>2715</v>
      </c>
      <c r="E215" t="s">
        <v>2716</v>
      </c>
      <c r="F215" t="s">
        <v>2817</v>
      </c>
      <c r="G215" t="s">
        <v>2784</v>
      </c>
    </row>
    <row r="216" spans="1:7" x14ac:dyDescent="0.3">
      <c r="A216" s="302">
        <v>46199.709143518521</v>
      </c>
      <c r="B216" t="s">
        <v>2669</v>
      </c>
      <c r="C216" t="s">
        <v>2671</v>
      </c>
      <c r="D216" t="s">
        <v>2715</v>
      </c>
      <c r="E216" t="s">
        <v>2716</v>
      </c>
      <c r="F216" t="s">
        <v>2818</v>
      </c>
      <c r="G216" t="s">
        <v>2797</v>
      </c>
    </row>
    <row r="217" spans="1:7" x14ac:dyDescent="0.3">
      <c r="A217" s="302">
        <v>46199.709143518521</v>
      </c>
      <c r="B217" t="s">
        <v>2669</v>
      </c>
      <c r="C217" t="s">
        <v>2671</v>
      </c>
      <c r="D217" t="s">
        <v>2715</v>
      </c>
      <c r="E217" t="s">
        <v>2716</v>
      </c>
      <c r="F217" t="s">
        <v>2819</v>
      </c>
      <c r="G217" t="s">
        <v>2799</v>
      </c>
    </row>
    <row r="218" spans="1:7" x14ac:dyDescent="0.3">
      <c r="A218" s="302">
        <v>46199.709143518521</v>
      </c>
      <c r="B218" t="s">
        <v>2669</v>
      </c>
      <c r="C218" t="s">
        <v>2671</v>
      </c>
      <c r="D218" t="s">
        <v>2715</v>
      </c>
      <c r="E218" t="s">
        <v>2716</v>
      </c>
      <c r="F218" t="s">
        <v>2820</v>
      </c>
      <c r="G218" t="s">
        <v>2800</v>
      </c>
    </row>
    <row r="219" spans="1:7" x14ac:dyDescent="0.3">
      <c r="A219" s="302">
        <v>46199.709143518521</v>
      </c>
      <c r="B219" t="s">
        <v>2669</v>
      </c>
      <c r="C219" t="s">
        <v>2671</v>
      </c>
      <c r="D219" t="s">
        <v>2715</v>
      </c>
      <c r="E219" t="s">
        <v>2716</v>
      </c>
      <c r="F219" t="s">
        <v>2821</v>
      </c>
      <c r="G219" t="s">
        <v>2786</v>
      </c>
    </row>
    <row r="220" spans="1:7" x14ac:dyDescent="0.3">
      <c r="A220" s="302">
        <v>46199.709143518521</v>
      </c>
      <c r="B220" t="s">
        <v>2669</v>
      </c>
      <c r="C220" t="s">
        <v>2671</v>
      </c>
      <c r="D220" t="s">
        <v>2715</v>
      </c>
      <c r="E220" t="s">
        <v>2716</v>
      </c>
      <c r="F220" t="s">
        <v>2823</v>
      </c>
      <c r="G220" t="s">
        <v>2760</v>
      </c>
    </row>
    <row r="221" spans="1:7" x14ac:dyDescent="0.3">
      <c r="A221" s="302">
        <v>46199.709143518521</v>
      </c>
      <c r="B221" t="s">
        <v>2669</v>
      </c>
      <c r="C221" t="s">
        <v>2671</v>
      </c>
      <c r="D221" t="s">
        <v>2715</v>
      </c>
      <c r="E221" t="s">
        <v>2716</v>
      </c>
      <c r="F221" t="s">
        <v>2824</v>
      </c>
      <c r="G221" t="s">
        <v>2787</v>
      </c>
    </row>
    <row r="222" spans="1:7" x14ac:dyDescent="0.3">
      <c r="A222" s="302">
        <v>46199.709143518521</v>
      </c>
      <c r="B222" t="s">
        <v>2669</v>
      </c>
      <c r="C222" t="s">
        <v>2671</v>
      </c>
      <c r="D222" t="s">
        <v>2715</v>
      </c>
      <c r="E222" t="s">
        <v>2716</v>
      </c>
      <c r="F222" t="s">
        <v>2826</v>
      </c>
      <c r="G222" t="s">
        <v>2864</v>
      </c>
    </row>
    <row r="223" spans="1:7" x14ac:dyDescent="0.3">
      <c r="A223" s="302">
        <v>46199.709143518521</v>
      </c>
      <c r="B223" t="s">
        <v>2669</v>
      </c>
      <c r="C223" t="s">
        <v>2671</v>
      </c>
      <c r="D223" t="s">
        <v>2715</v>
      </c>
      <c r="E223" t="s">
        <v>2716</v>
      </c>
      <c r="F223" t="s">
        <v>2828</v>
      </c>
      <c r="G223" t="s">
        <v>2866</v>
      </c>
    </row>
    <row r="224" spans="1:7" x14ac:dyDescent="0.3">
      <c r="A224" s="302">
        <v>46199.709143518521</v>
      </c>
      <c r="B224" t="s">
        <v>2669</v>
      </c>
      <c r="C224" t="s">
        <v>2671</v>
      </c>
      <c r="D224" t="s">
        <v>2715</v>
      </c>
      <c r="E224" t="s">
        <v>2716</v>
      </c>
      <c r="F224" t="s">
        <v>2830</v>
      </c>
      <c r="G224" t="s">
        <v>2868</v>
      </c>
    </row>
    <row r="225" spans="1:7" x14ac:dyDescent="0.3">
      <c r="A225" s="302">
        <v>46199.709143518521</v>
      </c>
      <c r="B225" t="s">
        <v>2669</v>
      </c>
      <c r="C225" t="s">
        <v>2671</v>
      </c>
      <c r="D225" t="s">
        <v>2715</v>
      </c>
      <c r="E225" t="s">
        <v>2716</v>
      </c>
      <c r="F225" t="s">
        <v>2831</v>
      </c>
      <c r="G225" t="s">
        <v>2850</v>
      </c>
    </row>
    <row r="226" spans="1:7" x14ac:dyDescent="0.3">
      <c r="A226" s="302">
        <v>46199.709143518521</v>
      </c>
      <c r="B226" t="s">
        <v>2669</v>
      </c>
      <c r="C226" t="s">
        <v>2671</v>
      </c>
      <c r="D226" t="s">
        <v>2715</v>
      </c>
      <c r="E226" t="s">
        <v>2716</v>
      </c>
      <c r="F226" t="s">
        <v>2833</v>
      </c>
      <c r="G226" t="s">
        <v>2795</v>
      </c>
    </row>
    <row r="227" spans="1:7" x14ac:dyDescent="0.3">
      <c r="A227" s="302">
        <v>46199.709143518521</v>
      </c>
      <c r="B227" t="s">
        <v>2669</v>
      </c>
      <c r="C227" t="s">
        <v>2671</v>
      </c>
      <c r="D227" t="s">
        <v>2715</v>
      </c>
      <c r="E227" t="s">
        <v>2716</v>
      </c>
      <c r="F227" t="s">
        <v>2834</v>
      </c>
      <c r="G227" t="s">
        <v>2774</v>
      </c>
    </row>
    <row r="228" spans="1:7" x14ac:dyDescent="0.3">
      <c r="A228" s="302">
        <v>46199.709143518521</v>
      </c>
      <c r="B228" t="s">
        <v>2669</v>
      </c>
      <c r="C228" t="s">
        <v>2671</v>
      </c>
      <c r="D228" t="s">
        <v>2715</v>
      </c>
      <c r="E228" t="s">
        <v>2716</v>
      </c>
      <c r="F228" t="s">
        <v>2835</v>
      </c>
      <c r="G228" t="s">
        <v>2791</v>
      </c>
    </row>
    <row r="229" spans="1:7" x14ac:dyDescent="0.3">
      <c r="A229" s="302">
        <v>46199.709143518521</v>
      </c>
      <c r="B229" t="s">
        <v>2669</v>
      </c>
      <c r="C229" t="s">
        <v>2671</v>
      </c>
      <c r="D229" t="s">
        <v>2715</v>
      </c>
      <c r="E229" t="s">
        <v>2716</v>
      </c>
      <c r="F229" t="s">
        <v>2839</v>
      </c>
      <c r="G229" t="s">
        <v>2784</v>
      </c>
    </row>
    <row r="230" spans="1:7" x14ac:dyDescent="0.3">
      <c r="A230" s="302">
        <v>46199.709143518521</v>
      </c>
      <c r="B230" t="s">
        <v>2669</v>
      </c>
      <c r="C230" t="s">
        <v>2671</v>
      </c>
      <c r="D230" t="s">
        <v>2715</v>
      </c>
      <c r="E230" t="s">
        <v>2716</v>
      </c>
      <c r="F230" t="s">
        <v>2902</v>
      </c>
      <c r="G230" t="s">
        <v>2875</v>
      </c>
    </row>
    <row r="231" spans="1:7" x14ac:dyDescent="0.3">
      <c r="A231" s="302">
        <v>46199.709143518521</v>
      </c>
      <c r="B231" t="s">
        <v>2669</v>
      </c>
      <c r="C231" t="s">
        <v>2671</v>
      </c>
      <c r="D231" t="s">
        <v>2715</v>
      </c>
      <c r="E231" t="s">
        <v>2716</v>
      </c>
      <c r="F231" t="s">
        <v>2903</v>
      </c>
      <c r="G231" t="s">
        <v>2877</v>
      </c>
    </row>
    <row r="232" spans="1:7" x14ac:dyDescent="0.3">
      <c r="A232" s="302">
        <v>46199.709143518521</v>
      </c>
      <c r="B232" t="s">
        <v>2669</v>
      </c>
      <c r="C232" t="s">
        <v>2671</v>
      </c>
      <c r="D232" t="s">
        <v>2715</v>
      </c>
      <c r="E232" t="s">
        <v>2716</v>
      </c>
      <c r="F232" t="s">
        <v>2840</v>
      </c>
      <c r="G232" t="s">
        <v>2879</v>
      </c>
    </row>
    <row r="233" spans="1:7" x14ac:dyDescent="0.3">
      <c r="A233" s="302">
        <v>46199.709143518521</v>
      </c>
      <c r="B233" t="s">
        <v>2669</v>
      </c>
      <c r="C233" t="s">
        <v>2671</v>
      </c>
      <c r="D233" t="s">
        <v>2715</v>
      </c>
      <c r="E233" t="s">
        <v>2716</v>
      </c>
      <c r="F233" t="s">
        <v>2841</v>
      </c>
      <c r="G233" t="s">
        <v>2786</v>
      </c>
    </row>
    <row r="234" spans="1:7" x14ac:dyDescent="0.3">
      <c r="A234" s="302">
        <v>46199.709143518521</v>
      </c>
      <c r="B234" t="s">
        <v>2669</v>
      </c>
      <c r="C234" t="s">
        <v>2671</v>
      </c>
      <c r="D234" t="s">
        <v>2715</v>
      </c>
      <c r="E234" t="s">
        <v>2716</v>
      </c>
      <c r="F234" t="s">
        <v>2842</v>
      </c>
      <c r="G234" t="s">
        <v>2760</v>
      </c>
    </row>
    <row r="235" spans="1:7" x14ac:dyDescent="0.3">
      <c r="A235" s="302">
        <v>46199.709143518521</v>
      </c>
      <c r="B235" t="s">
        <v>2669</v>
      </c>
      <c r="C235" t="s">
        <v>2671</v>
      </c>
      <c r="D235" t="s">
        <v>2715</v>
      </c>
      <c r="E235" t="s">
        <v>2716</v>
      </c>
      <c r="F235" t="s">
        <v>2843</v>
      </c>
      <c r="G235" t="s">
        <v>2844</v>
      </c>
    </row>
    <row r="236" spans="1:7" x14ac:dyDescent="0.3">
      <c r="A236" s="302">
        <v>46199.709143518521</v>
      </c>
      <c r="B236" t="s">
        <v>2669</v>
      </c>
      <c r="C236" t="s">
        <v>2671</v>
      </c>
      <c r="D236" t="s">
        <v>2715</v>
      </c>
      <c r="E236" t="s">
        <v>2716</v>
      </c>
      <c r="F236" t="s">
        <v>2845</v>
      </c>
      <c r="G236" t="s">
        <v>2884</v>
      </c>
    </row>
    <row r="237" spans="1:7" x14ac:dyDescent="0.3">
      <c r="A237" s="302">
        <v>46199.709143518521</v>
      </c>
      <c r="B237" t="s">
        <v>2669</v>
      </c>
      <c r="C237" t="s">
        <v>2671</v>
      </c>
      <c r="D237" t="s">
        <v>2715</v>
      </c>
      <c r="E237" t="s">
        <v>2716</v>
      </c>
      <c r="F237" t="s">
        <v>2847</v>
      </c>
      <c r="G237" t="s">
        <v>2886</v>
      </c>
    </row>
    <row r="238" spans="1:7" x14ac:dyDescent="0.3">
      <c r="A238" s="302">
        <v>46199.709143518521</v>
      </c>
      <c r="B238" t="s">
        <v>2669</v>
      </c>
      <c r="C238" t="s">
        <v>2671</v>
      </c>
      <c r="D238" t="s">
        <v>2715</v>
      </c>
      <c r="E238" t="s">
        <v>2716</v>
      </c>
      <c r="F238" t="s">
        <v>2849</v>
      </c>
      <c r="G238" t="s">
        <v>2888</v>
      </c>
    </row>
    <row r="239" spans="1:7" x14ac:dyDescent="0.3">
      <c r="A239" s="302">
        <v>46199.709143518521</v>
      </c>
      <c r="B239" t="s">
        <v>2669</v>
      </c>
      <c r="C239" t="s">
        <v>2671</v>
      </c>
      <c r="D239" t="s">
        <v>2715</v>
      </c>
      <c r="E239" t="s">
        <v>2716</v>
      </c>
      <c r="F239" t="s">
        <v>2851</v>
      </c>
      <c r="G239" t="s">
        <v>2890</v>
      </c>
    </row>
    <row r="240" spans="1:7" x14ac:dyDescent="0.3">
      <c r="A240" s="302">
        <v>46199.709143518521</v>
      </c>
      <c r="B240" t="s">
        <v>2669</v>
      </c>
      <c r="C240" t="s">
        <v>2671</v>
      </c>
      <c r="D240" t="s">
        <v>2715</v>
      </c>
      <c r="E240" t="s">
        <v>2716</v>
      </c>
      <c r="F240" t="s">
        <v>2853</v>
      </c>
      <c r="G240" t="s">
        <v>2892</v>
      </c>
    </row>
    <row r="241" spans="1:7" x14ac:dyDescent="0.3">
      <c r="A241" s="302">
        <v>46199.709143518521</v>
      </c>
      <c r="B241" t="s">
        <v>2669</v>
      </c>
      <c r="C241" t="s">
        <v>2671</v>
      </c>
      <c r="D241" t="s">
        <v>2715</v>
      </c>
      <c r="E241" t="s">
        <v>2716</v>
      </c>
      <c r="F241" t="s">
        <v>2854</v>
      </c>
      <c r="G241" t="s">
        <v>2774</v>
      </c>
    </row>
    <row r="242" spans="1:7" x14ac:dyDescent="0.3">
      <c r="A242" s="302">
        <v>46199.709143518521</v>
      </c>
      <c r="B242" t="s">
        <v>2669</v>
      </c>
      <c r="C242" t="s">
        <v>2671</v>
      </c>
      <c r="D242" t="s">
        <v>2715</v>
      </c>
      <c r="E242" t="s">
        <v>2716</v>
      </c>
      <c r="F242" t="s">
        <v>2855</v>
      </c>
      <c r="G242" t="s">
        <v>2760</v>
      </c>
    </row>
    <row r="243" spans="1:7" x14ac:dyDescent="0.3">
      <c r="A243" s="302">
        <v>46199.709143518521</v>
      </c>
      <c r="B243" t="s">
        <v>2669</v>
      </c>
      <c r="C243" t="s">
        <v>2671</v>
      </c>
      <c r="D243" t="s">
        <v>2715</v>
      </c>
      <c r="E243" t="s">
        <v>2716</v>
      </c>
      <c r="F243" t="s">
        <v>2858</v>
      </c>
      <c r="G243" t="s">
        <v>2784</v>
      </c>
    </row>
    <row r="244" spans="1:7" x14ac:dyDescent="0.3">
      <c r="A244" s="302">
        <v>46199.709143518521</v>
      </c>
      <c r="B244" t="s">
        <v>2669</v>
      </c>
      <c r="C244" t="s">
        <v>2671</v>
      </c>
      <c r="D244" t="s">
        <v>2715</v>
      </c>
      <c r="E244" t="s">
        <v>2716</v>
      </c>
      <c r="F244" t="s">
        <v>2904</v>
      </c>
      <c r="G244" t="s">
        <v>2897</v>
      </c>
    </row>
    <row r="245" spans="1:7" x14ac:dyDescent="0.3">
      <c r="A245" s="302">
        <v>46199.709143518521</v>
      </c>
      <c r="B245" t="s">
        <v>2669</v>
      </c>
      <c r="C245" t="s">
        <v>2671</v>
      </c>
      <c r="D245" t="s">
        <v>2715</v>
      </c>
      <c r="E245" t="s">
        <v>2716</v>
      </c>
      <c r="F245" t="s">
        <v>2905</v>
      </c>
      <c r="G245" t="s">
        <v>2899</v>
      </c>
    </row>
    <row r="246" spans="1:7" x14ac:dyDescent="0.3">
      <c r="A246" s="302">
        <v>46199.709143518521</v>
      </c>
      <c r="B246" t="s">
        <v>2669</v>
      </c>
      <c r="C246" t="s">
        <v>2671</v>
      </c>
      <c r="D246" t="s">
        <v>2715</v>
      </c>
      <c r="E246" t="s">
        <v>2716</v>
      </c>
      <c r="F246" t="s">
        <v>2859</v>
      </c>
      <c r="G246" t="s">
        <v>2901</v>
      </c>
    </row>
    <row r="247" spans="1:7" x14ac:dyDescent="0.3">
      <c r="A247" s="302">
        <v>46199.731423611112</v>
      </c>
      <c r="B247" t="s">
        <v>2669</v>
      </c>
      <c r="C247" t="s">
        <v>2671</v>
      </c>
      <c r="D247" t="s">
        <v>2708</v>
      </c>
      <c r="E247" t="s">
        <v>2709</v>
      </c>
      <c r="F247" t="s">
        <v>2669</v>
      </c>
      <c r="G247" t="s">
        <v>2710</v>
      </c>
    </row>
    <row r="248" spans="1:7" x14ac:dyDescent="0.3">
      <c r="A248" s="302">
        <v>46199.731759259259</v>
      </c>
      <c r="B248" t="s">
        <v>2669</v>
      </c>
      <c r="C248" t="s">
        <v>2671</v>
      </c>
      <c r="D248" t="s">
        <v>2711</v>
      </c>
      <c r="E248" t="s">
        <v>2906</v>
      </c>
      <c r="F248" t="s">
        <v>2785</v>
      </c>
    </row>
    <row r="249" spans="1:7" x14ac:dyDescent="0.3">
      <c r="A249" s="302">
        <v>46199.735902777778</v>
      </c>
      <c r="B249" t="s">
        <v>2669</v>
      </c>
      <c r="C249" t="s">
        <v>2671</v>
      </c>
      <c r="D249" t="s">
        <v>2708</v>
      </c>
      <c r="E249" t="s">
        <v>2709</v>
      </c>
      <c r="F249" t="s">
        <v>2669</v>
      </c>
      <c r="G249" t="s">
        <v>2710</v>
      </c>
    </row>
    <row r="250" spans="1:7" x14ac:dyDescent="0.3">
      <c r="A250" s="302">
        <v>46199.73678240741</v>
      </c>
      <c r="B250" t="s">
        <v>2697</v>
      </c>
      <c r="C250" t="s">
        <v>2696</v>
      </c>
      <c r="D250" t="s">
        <v>2708</v>
      </c>
      <c r="E250" t="s">
        <v>2709</v>
      </c>
      <c r="F250" t="s">
        <v>2697</v>
      </c>
      <c r="G250" t="s">
        <v>2710</v>
      </c>
    </row>
    <row r="251" spans="1:7" x14ac:dyDescent="0.3">
      <c r="A251" s="302">
        <v>46199.737187500003</v>
      </c>
      <c r="B251" t="s">
        <v>2690</v>
      </c>
      <c r="C251" t="s">
        <v>2689</v>
      </c>
      <c r="D251" t="s">
        <v>2708</v>
      </c>
      <c r="E251" t="s">
        <v>2709</v>
      </c>
      <c r="F251" t="s">
        <v>2690</v>
      </c>
      <c r="G251" t="s">
        <v>2710</v>
      </c>
    </row>
    <row r="252" spans="1:7" x14ac:dyDescent="0.3">
      <c r="A252" s="302">
        <v>46199.765138888892</v>
      </c>
      <c r="B252" t="s">
        <v>2669</v>
      </c>
      <c r="C252" t="s">
        <v>2671</v>
      </c>
      <c r="D252" t="s">
        <v>2708</v>
      </c>
      <c r="E252" t="s">
        <v>2709</v>
      </c>
      <c r="F252" t="s">
        <v>2669</v>
      </c>
      <c r="G252" t="s">
        <v>2710</v>
      </c>
    </row>
    <row r="253" spans="1:7" x14ac:dyDescent="0.3">
      <c r="A253" s="302">
        <v>46199.783252314817</v>
      </c>
      <c r="B253" t="s">
        <v>2669</v>
      </c>
      <c r="C253" t="s">
        <v>2671</v>
      </c>
      <c r="D253" t="s">
        <v>2708</v>
      </c>
      <c r="E253" t="s">
        <v>2709</v>
      </c>
      <c r="F253" t="s">
        <v>2669</v>
      </c>
      <c r="G253" t="s">
        <v>2710</v>
      </c>
    </row>
    <row r="254" spans="1:7" x14ac:dyDescent="0.3">
      <c r="A254" s="302">
        <v>46199.783888888887</v>
      </c>
      <c r="B254" t="s">
        <v>2669</v>
      </c>
      <c r="C254" t="s">
        <v>2671</v>
      </c>
      <c r="D254" t="s">
        <v>2711</v>
      </c>
      <c r="E254" t="s">
        <v>2712</v>
      </c>
      <c r="F254" t="s">
        <v>2785</v>
      </c>
    </row>
    <row r="255" spans="1:7" x14ac:dyDescent="0.3">
      <c r="A255" s="302">
        <v>46199.78398148148</v>
      </c>
      <c r="B255" t="s">
        <v>2669</v>
      </c>
      <c r="C255" t="s">
        <v>2671</v>
      </c>
      <c r="D255" t="s">
        <v>2711</v>
      </c>
      <c r="E255" t="s">
        <v>2712</v>
      </c>
      <c r="F255" t="s">
        <v>2785</v>
      </c>
    </row>
    <row r="256" spans="1:7" x14ac:dyDescent="0.3">
      <c r="A256" s="302">
        <v>46199.78460648148</v>
      </c>
      <c r="B256" t="s">
        <v>2669</v>
      </c>
      <c r="C256" t="s">
        <v>2671</v>
      </c>
      <c r="D256" t="s">
        <v>2715</v>
      </c>
      <c r="E256" t="s">
        <v>2907</v>
      </c>
      <c r="F256" t="s">
        <v>2721</v>
      </c>
      <c r="G256" t="s">
        <v>2844</v>
      </c>
    </row>
    <row r="257" spans="1:7" x14ac:dyDescent="0.3">
      <c r="A257" s="302">
        <v>46199.78460648148</v>
      </c>
      <c r="B257" t="s">
        <v>2669</v>
      </c>
      <c r="C257" t="s">
        <v>2671</v>
      </c>
      <c r="D257" t="s">
        <v>2715</v>
      </c>
      <c r="E257" t="s">
        <v>2907</v>
      </c>
      <c r="F257" t="s">
        <v>2821</v>
      </c>
      <c r="G257" t="s">
        <v>2908</v>
      </c>
    </row>
    <row r="258" spans="1:7" x14ac:dyDescent="0.3">
      <c r="A258" s="302">
        <v>46199.78460648148</v>
      </c>
      <c r="B258" t="s">
        <v>2669</v>
      </c>
      <c r="C258" t="s">
        <v>2671</v>
      </c>
      <c r="D258" t="s">
        <v>2715</v>
      </c>
      <c r="E258" t="s">
        <v>2907</v>
      </c>
      <c r="F258" t="s">
        <v>2823</v>
      </c>
      <c r="G258" t="s">
        <v>2868</v>
      </c>
    </row>
    <row r="259" spans="1:7" x14ac:dyDescent="0.3">
      <c r="A259" s="302">
        <v>46199.785034722219</v>
      </c>
      <c r="B259" t="s">
        <v>2669</v>
      </c>
      <c r="C259" t="s">
        <v>2671</v>
      </c>
      <c r="D259" t="s">
        <v>2909</v>
      </c>
      <c r="E259" t="s">
        <v>2910</v>
      </c>
      <c r="F259" t="s">
        <v>62</v>
      </c>
    </row>
    <row r="260" spans="1:7" x14ac:dyDescent="0.3">
      <c r="A260" s="302">
        <v>46199.785034722219</v>
      </c>
      <c r="B260" t="s">
        <v>2669</v>
      </c>
      <c r="C260" t="s">
        <v>2671</v>
      </c>
      <c r="D260" t="s">
        <v>2715</v>
      </c>
      <c r="E260" t="s">
        <v>2907</v>
      </c>
      <c r="F260" t="s">
        <v>2721</v>
      </c>
      <c r="G260" t="s">
        <v>2844</v>
      </c>
    </row>
    <row r="261" spans="1:7" x14ac:dyDescent="0.3">
      <c r="A261" s="302">
        <v>46199.785034722219</v>
      </c>
      <c r="B261" t="s">
        <v>2669</v>
      </c>
      <c r="C261" t="s">
        <v>2671</v>
      </c>
      <c r="D261" t="s">
        <v>2715</v>
      </c>
      <c r="E261" t="s">
        <v>2907</v>
      </c>
      <c r="F261" t="s">
        <v>2821</v>
      </c>
      <c r="G261" t="s">
        <v>2908</v>
      </c>
    </row>
    <row r="262" spans="1:7" x14ac:dyDescent="0.3">
      <c r="A262" s="302">
        <v>46199.785034722219</v>
      </c>
      <c r="B262" t="s">
        <v>2669</v>
      </c>
      <c r="C262" t="s">
        <v>2671</v>
      </c>
      <c r="D262" t="s">
        <v>2715</v>
      </c>
      <c r="E262" t="s">
        <v>2907</v>
      </c>
      <c r="F262" t="s">
        <v>2823</v>
      </c>
      <c r="G262" t="s">
        <v>2868</v>
      </c>
    </row>
    <row r="263" spans="1:7" x14ac:dyDescent="0.3">
      <c r="A263" s="302">
        <v>46200.007523148146</v>
      </c>
      <c r="B263" t="s">
        <v>2669</v>
      </c>
      <c r="C263" t="s">
        <v>2671</v>
      </c>
      <c r="D263" t="s">
        <v>2708</v>
      </c>
      <c r="E263" t="s">
        <v>2709</v>
      </c>
      <c r="F263" t="s">
        <v>2669</v>
      </c>
      <c r="G263" t="s">
        <v>2710</v>
      </c>
    </row>
    <row r="264" spans="1:7" x14ac:dyDescent="0.3">
      <c r="A264" s="302">
        <v>46200.382743055554</v>
      </c>
      <c r="D264" t="s">
        <v>2911</v>
      </c>
      <c r="E264" t="s">
        <v>2709</v>
      </c>
      <c r="F264" t="s">
        <v>2669</v>
      </c>
      <c r="G264" t="s">
        <v>2912</v>
      </c>
    </row>
    <row r="265" spans="1:7" x14ac:dyDescent="0.3">
      <c r="A265" s="302">
        <v>46200.383032407408</v>
      </c>
      <c r="B265" t="s">
        <v>2669</v>
      </c>
      <c r="C265" t="s">
        <v>2671</v>
      </c>
      <c r="D265" t="s">
        <v>2708</v>
      </c>
      <c r="E265" t="s">
        <v>2709</v>
      </c>
      <c r="F265" t="s">
        <v>2669</v>
      </c>
      <c r="G265" t="s">
        <v>2710</v>
      </c>
    </row>
    <row r="266" spans="1:7" x14ac:dyDescent="0.3">
      <c r="A266" s="302">
        <v>46200.38354166667</v>
      </c>
      <c r="B266" t="s">
        <v>2669</v>
      </c>
      <c r="C266" t="s">
        <v>2671</v>
      </c>
      <c r="D266" t="s">
        <v>2711</v>
      </c>
      <c r="E266" t="s">
        <v>2714</v>
      </c>
      <c r="F266" t="s">
        <v>2713</v>
      </c>
    </row>
    <row r="267" spans="1:7" x14ac:dyDescent="0.3">
      <c r="A267" s="302">
        <v>46200.38354166667</v>
      </c>
      <c r="B267" t="s">
        <v>2669</v>
      </c>
      <c r="C267" t="s">
        <v>2671</v>
      </c>
      <c r="D267" t="s">
        <v>2715</v>
      </c>
      <c r="E267" t="s">
        <v>2716</v>
      </c>
      <c r="F267" t="s">
        <v>2717</v>
      </c>
      <c r="G267" t="s">
        <v>2718</v>
      </c>
    </row>
    <row r="268" spans="1:7" x14ac:dyDescent="0.3">
      <c r="A268" s="302">
        <v>46200.38354166667</v>
      </c>
      <c r="B268" t="s">
        <v>2669</v>
      </c>
      <c r="C268" t="s">
        <v>2671</v>
      </c>
      <c r="D268" t="s">
        <v>2715</v>
      </c>
      <c r="E268" t="s">
        <v>2716</v>
      </c>
      <c r="F268" t="s">
        <v>2719</v>
      </c>
      <c r="G268" t="s">
        <v>2720</v>
      </c>
    </row>
    <row r="269" spans="1:7" x14ac:dyDescent="0.3">
      <c r="A269" s="302">
        <v>46200.38354166667</v>
      </c>
      <c r="B269" t="s">
        <v>2669</v>
      </c>
      <c r="C269" t="s">
        <v>2671</v>
      </c>
      <c r="D269" t="s">
        <v>2715</v>
      </c>
      <c r="E269" t="s">
        <v>2716</v>
      </c>
      <c r="F269" t="s">
        <v>2721</v>
      </c>
      <c r="G269" t="s">
        <v>2722</v>
      </c>
    </row>
    <row r="270" spans="1:7" x14ac:dyDescent="0.3">
      <c r="A270" s="302">
        <v>46200.38354166667</v>
      </c>
      <c r="B270" t="s">
        <v>2669</v>
      </c>
      <c r="C270" t="s">
        <v>2671</v>
      </c>
      <c r="D270" t="s">
        <v>2715</v>
      </c>
      <c r="E270" t="s">
        <v>2716</v>
      </c>
      <c r="F270" t="s">
        <v>2723</v>
      </c>
      <c r="G270" t="s">
        <v>2724</v>
      </c>
    </row>
    <row r="271" spans="1:7" x14ac:dyDescent="0.3">
      <c r="A271" s="302">
        <v>46200.38354166667</v>
      </c>
      <c r="B271" t="s">
        <v>2669</v>
      </c>
      <c r="C271" t="s">
        <v>2671</v>
      </c>
      <c r="D271" t="s">
        <v>2715</v>
      </c>
      <c r="E271" t="s">
        <v>2716</v>
      </c>
      <c r="F271" t="s">
        <v>2725</v>
      </c>
      <c r="G271" t="s">
        <v>2726</v>
      </c>
    </row>
    <row r="272" spans="1:7" x14ac:dyDescent="0.3">
      <c r="A272" s="302">
        <v>46200.38354166667</v>
      </c>
      <c r="B272" t="s">
        <v>2669</v>
      </c>
      <c r="C272" t="s">
        <v>2671</v>
      </c>
      <c r="D272" t="s">
        <v>2715</v>
      </c>
      <c r="E272" t="s">
        <v>2716</v>
      </c>
      <c r="F272" t="s">
        <v>2727</v>
      </c>
      <c r="G272" t="s">
        <v>2728</v>
      </c>
    </row>
    <row r="273" spans="1:7" x14ac:dyDescent="0.3">
      <c r="A273" s="302">
        <v>46200.38354166667</v>
      </c>
      <c r="B273" t="s">
        <v>2669</v>
      </c>
      <c r="C273" t="s">
        <v>2671</v>
      </c>
      <c r="D273" t="s">
        <v>2715</v>
      </c>
      <c r="E273" t="s">
        <v>2716</v>
      </c>
      <c r="F273" t="s">
        <v>2729</v>
      </c>
      <c r="G273" t="s">
        <v>2730</v>
      </c>
    </row>
    <row r="274" spans="1:7" x14ac:dyDescent="0.3">
      <c r="A274" s="302">
        <v>46200.38354166667</v>
      </c>
      <c r="B274" t="s">
        <v>2669</v>
      </c>
      <c r="C274" t="s">
        <v>2671</v>
      </c>
      <c r="D274" t="s">
        <v>2715</v>
      </c>
      <c r="E274" t="s">
        <v>2716</v>
      </c>
      <c r="F274" t="s">
        <v>2731</v>
      </c>
      <c r="G274" t="s">
        <v>2732</v>
      </c>
    </row>
    <row r="275" spans="1:7" x14ac:dyDescent="0.3">
      <c r="A275" s="302">
        <v>46200.38354166667</v>
      </c>
      <c r="B275" t="s">
        <v>2669</v>
      </c>
      <c r="C275" t="s">
        <v>2671</v>
      </c>
      <c r="D275" t="s">
        <v>2715</v>
      </c>
      <c r="E275" t="s">
        <v>2716</v>
      </c>
      <c r="F275" t="s">
        <v>2733</v>
      </c>
      <c r="G275" t="s">
        <v>2734</v>
      </c>
    </row>
    <row r="276" spans="1:7" x14ac:dyDescent="0.3">
      <c r="A276" s="302">
        <v>46200.38354166667</v>
      </c>
      <c r="B276" t="s">
        <v>2669</v>
      </c>
      <c r="C276" t="s">
        <v>2671</v>
      </c>
      <c r="D276" t="s">
        <v>2715</v>
      </c>
      <c r="E276" t="s">
        <v>2716</v>
      </c>
      <c r="F276" t="s">
        <v>2735</v>
      </c>
      <c r="G276" t="s">
        <v>2736</v>
      </c>
    </row>
    <row r="277" spans="1:7" x14ac:dyDescent="0.3">
      <c r="A277" s="302">
        <v>46200.38354166667</v>
      </c>
      <c r="B277" t="s">
        <v>2669</v>
      </c>
      <c r="C277" t="s">
        <v>2671</v>
      </c>
      <c r="D277" t="s">
        <v>2715</v>
      </c>
      <c r="E277" t="s">
        <v>2716</v>
      </c>
      <c r="F277" t="s">
        <v>2737</v>
      </c>
      <c r="G277" t="s">
        <v>2738</v>
      </c>
    </row>
    <row r="278" spans="1:7" x14ac:dyDescent="0.3">
      <c r="A278" s="302">
        <v>46200.38354166667</v>
      </c>
      <c r="B278" t="s">
        <v>2669</v>
      </c>
      <c r="C278" t="s">
        <v>2671</v>
      </c>
      <c r="D278" t="s">
        <v>2715</v>
      </c>
      <c r="E278" t="s">
        <v>2716</v>
      </c>
      <c r="F278" t="s">
        <v>2739</v>
      </c>
      <c r="G278" t="s">
        <v>2740</v>
      </c>
    </row>
    <row r="279" spans="1:7" x14ac:dyDescent="0.3">
      <c r="A279" s="302">
        <v>46200.38354166667</v>
      </c>
      <c r="B279" t="s">
        <v>2669</v>
      </c>
      <c r="C279" t="s">
        <v>2671</v>
      </c>
      <c r="D279" t="s">
        <v>2715</v>
      </c>
      <c r="E279" t="s">
        <v>2716</v>
      </c>
      <c r="F279" t="s">
        <v>2741</v>
      </c>
      <c r="G279" t="s">
        <v>2742</v>
      </c>
    </row>
    <row r="280" spans="1:7" x14ac:dyDescent="0.3">
      <c r="A280" s="302">
        <v>46200.38354166667</v>
      </c>
      <c r="B280" t="s">
        <v>2669</v>
      </c>
      <c r="C280" t="s">
        <v>2671</v>
      </c>
      <c r="D280" t="s">
        <v>2715</v>
      </c>
      <c r="E280" t="s">
        <v>2716</v>
      </c>
      <c r="F280" t="s">
        <v>2743</v>
      </c>
      <c r="G280" t="s">
        <v>2744</v>
      </c>
    </row>
    <row r="281" spans="1:7" x14ac:dyDescent="0.3">
      <c r="A281" s="302">
        <v>46200.38354166667</v>
      </c>
      <c r="B281" t="s">
        <v>2669</v>
      </c>
      <c r="C281" t="s">
        <v>2671</v>
      </c>
      <c r="D281" t="s">
        <v>2715</v>
      </c>
      <c r="E281" t="s">
        <v>2716</v>
      </c>
      <c r="F281" t="s">
        <v>2745</v>
      </c>
      <c r="G281" t="s">
        <v>2746</v>
      </c>
    </row>
    <row r="282" spans="1:7" x14ac:dyDescent="0.3">
      <c r="A282" s="302">
        <v>46200.38354166667</v>
      </c>
      <c r="B282" t="s">
        <v>2669</v>
      </c>
      <c r="C282" t="s">
        <v>2671</v>
      </c>
      <c r="D282" t="s">
        <v>2715</v>
      </c>
      <c r="E282" t="s">
        <v>2716</v>
      </c>
      <c r="F282" t="s">
        <v>2747</v>
      </c>
      <c r="G282" t="s">
        <v>2748</v>
      </c>
    </row>
    <row r="283" spans="1:7" x14ac:dyDescent="0.3">
      <c r="A283" s="302">
        <v>46200.38354166667</v>
      </c>
      <c r="B283" t="s">
        <v>2669</v>
      </c>
      <c r="C283" t="s">
        <v>2671</v>
      </c>
      <c r="D283" t="s">
        <v>2715</v>
      </c>
      <c r="E283" t="s">
        <v>2716</v>
      </c>
      <c r="F283" t="s">
        <v>2749</v>
      </c>
      <c r="G283" t="s">
        <v>2750</v>
      </c>
    </row>
    <row r="284" spans="1:7" x14ac:dyDescent="0.3">
      <c r="A284" s="302">
        <v>46200.38354166667</v>
      </c>
      <c r="B284" t="s">
        <v>2669</v>
      </c>
      <c r="C284" t="s">
        <v>2671</v>
      </c>
      <c r="D284" t="s">
        <v>2715</v>
      </c>
      <c r="E284" t="s">
        <v>2716</v>
      </c>
      <c r="F284" t="s">
        <v>2751</v>
      </c>
      <c r="G284" t="s">
        <v>2752</v>
      </c>
    </row>
    <row r="285" spans="1:7" x14ac:dyDescent="0.3">
      <c r="A285" s="302">
        <v>46200.38354166667</v>
      </c>
      <c r="B285" t="s">
        <v>2669</v>
      </c>
      <c r="C285" t="s">
        <v>2671</v>
      </c>
      <c r="D285" t="s">
        <v>2715</v>
      </c>
      <c r="E285" t="s">
        <v>2716</v>
      </c>
      <c r="F285" t="s">
        <v>2753</v>
      </c>
      <c r="G285" t="s">
        <v>2754</v>
      </c>
    </row>
    <row r="286" spans="1:7" x14ac:dyDescent="0.3">
      <c r="A286" s="302">
        <v>46200.38354166667</v>
      </c>
      <c r="B286" t="s">
        <v>2669</v>
      </c>
      <c r="C286" t="s">
        <v>2671</v>
      </c>
      <c r="D286" t="s">
        <v>2715</v>
      </c>
      <c r="E286" t="s">
        <v>2716</v>
      </c>
      <c r="F286" t="s">
        <v>2755</v>
      </c>
      <c r="G286" t="s">
        <v>2756</v>
      </c>
    </row>
    <row r="287" spans="1:7" x14ac:dyDescent="0.3">
      <c r="A287" s="302">
        <v>46200.38354166667</v>
      </c>
      <c r="B287" t="s">
        <v>2669</v>
      </c>
      <c r="C287" t="s">
        <v>2671</v>
      </c>
      <c r="D287" t="s">
        <v>2715</v>
      </c>
      <c r="E287" t="s">
        <v>2716</v>
      </c>
      <c r="F287" t="s">
        <v>2757</v>
      </c>
      <c r="G287" t="s">
        <v>2758</v>
      </c>
    </row>
    <row r="288" spans="1:7" x14ac:dyDescent="0.3">
      <c r="A288" s="302">
        <v>46200.38354166667</v>
      </c>
      <c r="B288" t="s">
        <v>2669</v>
      </c>
      <c r="C288" t="s">
        <v>2671</v>
      </c>
      <c r="D288" t="s">
        <v>2715</v>
      </c>
      <c r="E288" t="s">
        <v>2716</v>
      </c>
      <c r="F288" t="s">
        <v>2759</v>
      </c>
      <c r="G288" t="s">
        <v>2760</v>
      </c>
    </row>
    <row r="289" spans="1:7" x14ac:dyDescent="0.3">
      <c r="A289" s="302">
        <v>46200.38354166667</v>
      </c>
      <c r="B289" t="s">
        <v>2669</v>
      </c>
      <c r="C289" t="s">
        <v>2671</v>
      </c>
      <c r="D289" t="s">
        <v>2715</v>
      </c>
      <c r="E289" t="s">
        <v>2716</v>
      </c>
      <c r="F289" t="s">
        <v>2761</v>
      </c>
      <c r="G289" t="s">
        <v>2762</v>
      </c>
    </row>
    <row r="290" spans="1:7" x14ac:dyDescent="0.3">
      <c r="A290" s="302">
        <v>46200.38354166667</v>
      </c>
      <c r="B290" t="s">
        <v>2669</v>
      </c>
      <c r="C290" t="s">
        <v>2671</v>
      </c>
      <c r="D290" t="s">
        <v>2715</v>
      </c>
      <c r="E290" t="s">
        <v>2716</v>
      </c>
      <c r="F290" t="s">
        <v>2763</v>
      </c>
      <c r="G290" t="s">
        <v>2764</v>
      </c>
    </row>
    <row r="291" spans="1:7" x14ac:dyDescent="0.3">
      <c r="A291" s="302">
        <v>46200.38354166667</v>
      </c>
      <c r="B291" t="s">
        <v>2669</v>
      </c>
      <c r="C291" t="s">
        <v>2671</v>
      </c>
      <c r="D291" t="s">
        <v>2715</v>
      </c>
      <c r="E291" t="s">
        <v>2716</v>
      </c>
      <c r="F291" t="s">
        <v>2765</v>
      </c>
      <c r="G291" t="s">
        <v>2766</v>
      </c>
    </row>
    <row r="292" spans="1:7" x14ac:dyDescent="0.3">
      <c r="A292" s="302">
        <v>46200.38354166667</v>
      </c>
      <c r="B292" t="s">
        <v>2669</v>
      </c>
      <c r="C292" t="s">
        <v>2671</v>
      </c>
      <c r="D292" t="s">
        <v>2715</v>
      </c>
      <c r="E292" t="s">
        <v>2716</v>
      </c>
      <c r="F292" t="s">
        <v>2767</v>
      </c>
      <c r="G292" t="s">
        <v>2768</v>
      </c>
    </row>
    <row r="293" spans="1:7" x14ac:dyDescent="0.3">
      <c r="A293" s="302">
        <v>46200.38354166667</v>
      </c>
      <c r="B293" t="s">
        <v>2669</v>
      </c>
      <c r="C293" t="s">
        <v>2671</v>
      </c>
      <c r="D293" t="s">
        <v>2715</v>
      </c>
      <c r="E293" t="s">
        <v>2716</v>
      </c>
      <c r="F293" t="s">
        <v>2769</v>
      </c>
      <c r="G293" t="s">
        <v>2770</v>
      </c>
    </row>
    <row r="294" spans="1:7" x14ac:dyDescent="0.3">
      <c r="A294" s="302">
        <v>46200.38354166667</v>
      </c>
      <c r="B294" t="s">
        <v>2669</v>
      </c>
      <c r="C294" t="s">
        <v>2671</v>
      </c>
      <c r="D294" t="s">
        <v>2715</v>
      </c>
      <c r="E294" t="s">
        <v>2716</v>
      </c>
      <c r="F294" t="s">
        <v>2771</v>
      </c>
      <c r="G294" t="s">
        <v>2772</v>
      </c>
    </row>
    <row r="295" spans="1:7" x14ac:dyDescent="0.3">
      <c r="A295" s="302">
        <v>46200.38354166667</v>
      </c>
      <c r="B295" t="s">
        <v>2669</v>
      </c>
      <c r="C295" t="s">
        <v>2671</v>
      </c>
      <c r="D295" t="s">
        <v>2715</v>
      </c>
      <c r="E295" t="s">
        <v>2716</v>
      </c>
      <c r="F295" t="s">
        <v>2773</v>
      </c>
      <c r="G295" t="s">
        <v>2774</v>
      </c>
    </row>
    <row r="296" spans="1:7" x14ac:dyDescent="0.3">
      <c r="A296" s="302">
        <v>46200.38354166667</v>
      </c>
      <c r="B296" t="s">
        <v>2669</v>
      </c>
      <c r="C296" t="s">
        <v>2671</v>
      </c>
      <c r="D296" t="s">
        <v>2715</v>
      </c>
      <c r="E296" t="s">
        <v>2716</v>
      </c>
      <c r="F296" t="s">
        <v>2775</v>
      </c>
      <c r="G296" t="s">
        <v>2776</v>
      </c>
    </row>
    <row r="297" spans="1:7" x14ac:dyDescent="0.3">
      <c r="A297" s="302">
        <v>46200.38354166667</v>
      </c>
      <c r="B297" t="s">
        <v>2669</v>
      </c>
      <c r="C297" t="s">
        <v>2671</v>
      </c>
      <c r="D297" t="s">
        <v>2715</v>
      </c>
      <c r="E297" t="s">
        <v>2716</v>
      </c>
      <c r="F297" t="s">
        <v>2777</v>
      </c>
      <c r="G297" t="s">
        <v>2778</v>
      </c>
    </row>
    <row r="298" spans="1:7" x14ac:dyDescent="0.3">
      <c r="A298" s="302">
        <v>46200.38354166667</v>
      </c>
      <c r="B298" t="s">
        <v>2669</v>
      </c>
      <c r="C298" t="s">
        <v>2671</v>
      </c>
      <c r="D298" t="s">
        <v>2715</v>
      </c>
      <c r="E298" t="s">
        <v>2716</v>
      </c>
      <c r="F298" t="s">
        <v>2779</v>
      </c>
      <c r="G298" t="s">
        <v>2780</v>
      </c>
    </row>
    <row r="299" spans="1:7" x14ac:dyDescent="0.3">
      <c r="A299" s="302">
        <v>46200.38354166667</v>
      </c>
      <c r="B299" t="s">
        <v>2669</v>
      </c>
      <c r="C299" t="s">
        <v>2671</v>
      </c>
      <c r="D299" t="s">
        <v>2715</v>
      </c>
      <c r="E299" t="s">
        <v>2716</v>
      </c>
      <c r="F299" t="s">
        <v>2781</v>
      </c>
      <c r="G299" t="s">
        <v>2782</v>
      </c>
    </row>
    <row r="300" spans="1:7" x14ac:dyDescent="0.3">
      <c r="A300" s="302">
        <v>46200.38354166667</v>
      </c>
      <c r="B300" t="s">
        <v>2669</v>
      </c>
      <c r="C300" t="s">
        <v>2671</v>
      </c>
      <c r="D300" t="s">
        <v>2715</v>
      </c>
      <c r="E300" t="s">
        <v>2716</v>
      </c>
      <c r="F300" t="s">
        <v>2783</v>
      </c>
      <c r="G300" t="s">
        <v>2784</v>
      </c>
    </row>
    <row r="301" spans="1:7" x14ac:dyDescent="0.3">
      <c r="A301" s="302">
        <v>46200.383993055555</v>
      </c>
      <c r="B301" t="s">
        <v>2669</v>
      </c>
      <c r="C301" t="s">
        <v>2671</v>
      </c>
      <c r="D301" t="s">
        <v>2711</v>
      </c>
      <c r="E301" t="s">
        <v>2712</v>
      </c>
      <c r="F301" t="s">
        <v>2913</v>
      </c>
    </row>
    <row r="302" spans="1:7" x14ac:dyDescent="0.3">
      <c r="A302" s="302">
        <v>46200.384120370371</v>
      </c>
      <c r="B302" t="s">
        <v>2669</v>
      </c>
      <c r="C302" t="s">
        <v>2671</v>
      </c>
      <c r="D302" t="s">
        <v>2711</v>
      </c>
      <c r="E302" t="s">
        <v>2712</v>
      </c>
      <c r="F302" t="s">
        <v>2913</v>
      </c>
    </row>
    <row r="303" spans="1:7" x14ac:dyDescent="0.3">
      <c r="A303" s="302">
        <v>46200.392870370371</v>
      </c>
      <c r="B303" t="s">
        <v>2669</v>
      </c>
      <c r="C303" t="s">
        <v>2671</v>
      </c>
      <c r="D303" t="s">
        <v>2708</v>
      </c>
      <c r="E303" t="s">
        <v>2709</v>
      </c>
      <c r="F303" t="s">
        <v>2669</v>
      </c>
      <c r="G303" t="s">
        <v>2710</v>
      </c>
    </row>
    <row r="304" spans="1:7" x14ac:dyDescent="0.3">
      <c r="A304" s="302">
        <v>46200.393148148149</v>
      </c>
      <c r="B304" t="s">
        <v>2669</v>
      </c>
      <c r="C304" t="s">
        <v>2671</v>
      </c>
      <c r="D304" t="s">
        <v>2711</v>
      </c>
      <c r="E304" t="s">
        <v>2714</v>
      </c>
      <c r="F304" t="s">
        <v>2713</v>
      </c>
    </row>
    <row r="305" spans="1:7" x14ac:dyDescent="0.3">
      <c r="A305" s="302">
        <v>46200.393148148149</v>
      </c>
      <c r="B305" t="s">
        <v>2669</v>
      </c>
      <c r="C305" t="s">
        <v>2671</v>
      </c>
      <c r="D305" t="s">
        <v>2715</v>
      </c>
      <c r="E305" t="s">
        <v>2716</v>
      </c>
      <c r="F305" t="s">
        <v>2717</v>
      </c>
      <c r="G305" t="s">
        <v>2718</v>
      </c>
    </row>
    <row r="306" spans="1:7" x14ac:dyDescent="0.3">
      <c r="A306" s="302">
        <v>46200.393148148149</v>
      </c>
      <c r="B306" t="s">
        <v>2669</v>
      </c>
      <c r="C306" t="s">
        <v>2671</v>
      </c>
      <c r="D306" t="s">
        <v>2715</v>
      </c>
      <c r="E306" t="s">
        <v>2716</v>
      </c>
      <c r="F306" t="s">
        <v>2719</v>
      </c>
      <c r="G306" t="s">
        <v>2720</v>
      </c>
    </row>
    <row r="307" spans="1:7" x14ac:dyDescent="0.3">
      <c r="A307" s="302">
        <v>46200.393148148149</v>
      </c>
      <c r="B307" t="s">
        <v>2669</v>
      </c>
      <c r="C307" t="s">
        <v>2671</v>
      </c>
      <c r="D307" t="s">
        <v>2715</v>
      </c>
      <c r="E307" t="s">
        <v>2716</v>
      </c>
      <c r="F307" t="s">
        <v>2721</v>
      </c>
      <c r="G307" t="s">
        <v>2722</v>
      </c>
    </row>
    <row r="308" spans="1:7" x14ac:dyDescent="0.3">
      <c r="A308" s="302">
        <v>46200.393148148149</v>
      </c>
      <c r="B308" t="s">
        <v>2669</v>
      </c>
      <c r="C308" t="s">
        <v>2671</v>
      </c>
      <c r="D308" t="s">
        <v>2715</v>
      </c>
      <c r="E308" t="s">
        <v>2716</v>
      </c>
      <c r="F308" t="s">
        <v>2723</v>
      </c>
      <c r="G308" t="s">
        <v>2724</v>
      </c>
    </row>
    <row r="309" spans="1:7" x14ac:dyDescent="0.3">
      <c r="A309" s="302">
        <v>46200.393148148149</v>
      </c>
      <c r="B309" t="s">
        <v>2669</v>
      </c>
      <c r="C309" t="s">
        <v>2671</v>
      </c>
      <c r="D309" t="s">
        <v>2715</v>
      </c>
      <c r="E309" t="s">
        <v>2716</v>
      </c>
      <c r="F309" t="s">
        <v>2725</v>
      </c>
      <c r="G309" t="s">
        <v>2726</v>
      </c>
    </row>
    <row r="310" spans="1:7" x14ac:dyDescent="0.3">
      <c r="A310" s="302">
        <v>46200.393148148149</v>
      </c>
      <c r="B310" t="s">
        <v>2669</v>
      </c>
      <c r="C310" t="s">
        <v>2671</v>
      </c>
      <c r="D310" t="s">
        <v>2715</v>
      </c>
      <c r="E310" t="s">
        <v>2716</v>
      </c>
      <c r="F310" t="s">
        <v>2727</v>
      </c>
      <c r="G310" t="s">
        <v>2728</v>
      </c>
    </row>
    <row r="311" spans="1:7" x14ac:dyDescent="0.3">
      <c r="A311" s="302">
        <v>46200.393148148149</v>
      </c>
      <c r="B311" t="s">
        <v>2669</v>
      </c>
      <c r="C311" t="s">
        <v>2671</v>
      </c>
      <c r="D311" t="s">
        <v>2715</v>
      </c>
      <c r="E311" t="s">
        <v>2716</v>
      </c>
      <c r="F311" t="s">
        <v>2729</v>
      </c>
      <c r="G311" t="s">
        <v>2730</v>
      </c>
    </row>
    <row r="312" spans="1:7" x14ac:dyDescent="0.3">
      <c r="A312" s="302">
        <v>46200.393148148149</v>
      </c>
      <c r="B312" t="s">
        <v>2669</v>
      </c>
      <c r="C312" t="s">
        <v>2671</v>
      </c>
      <c r="D312" t="s">
        <v>2715</v>
      </c>
      <c r="E312" t="s">
        <v>2716</v>
      </c>
      <c r="F312" t="s">
        <v>2731</v>
      </c>
      <c r="G312" t="s">
        <v>2732</v>
      </c>
    </row>
    <row r="313" spans="1:7" x14ac:dyDescent="0.3">
      <c r="A313" s="302">
        <v>46200.393148148149</v>
      </c>
      <c r="B313" t="s">
        <v>2669</v>
      </c>
      <c r="C313" t="s">
        <v>2671</v>
      </c>
      <c r="D313" t="s">
        <v>2715</v>
      </c>
      <c r="E313" t="s">
        <v>2716</v>
      </c>
      <c r="F313" t="s">
        <v>2733</v>
      </c>
      <c r="G313" t="s">
        <v>2734</v>
      </c>
    </row>
    <row r="314" spans="1:7" x14ac:dyDescent="0.3">
      <c r="A314" s="302">
        <v>46200.393148148149</v>
      </c>
      <c r="B314" t="s">
        <v>2669</v>
      </c>
      <c r="C314" t="s">
        <v>2671</v>
      </c>
      <c r="D314" t="s">
        <v>2715</v>
      </c>
      <c r="E314" t="s">
        <v>2716</v>
      </c>
      <c r="F314" t="s">
        <v>2735</v>
      </c>
      <c r="G314" t="s">
        <v>2736</v>
      </c>
    </row>
    <row r="315" spans="1:7" x14ac:dyDescent="0.3">
      <c r="A315" s="302">
        <v>46200.393148148149</v>
      </c>
      <c r="B315" t="s">
        <v>2669</v>
      </c>
      <c r="C315" t="s">
        <v>2671</v>
      </c>
      <c r="D315" t="s">
        <v>2715</v>
      </c>
      <c r="E315" t="s">
        <v>2716</v>
      </c>
      <c r="F315" t="s">
        <v>2737</v>
      </c>
      <c r="G315" t="s">
        <v>2738</v>
      </c>
    </row>
    <row r="316" spans="1:7" x14ac:dyDescent="0.3">
      <c r="A316" s="302">
        <v>46200.393148148149</v>
      </c>
      <c r="B316" t="s">
        <v>2669</v>
      </c>
      <c r="C316" t="s">
        <v>2671</v>
      </c>
      <c r="D316" t="s">
        <v>2715</v>
      </c>
      <c r="E316" t="s">
        <v>2716</v>
      </c>
      <c r="F316" t="s">
        <v>2739</v>
      </c>
      <c r="G316" t="s">
        <v>2740</v>
      </c>
    </row>
    <row r="317" spans="1:7" x14ac:dyDescent="0.3">
      <c r="A317" s="302">
        <v>46200.393148148149</v>
      </c>
      <c r="B317" t="s">
        <v>2669</v>
      </c>
      <c r="C317" t="s">
        <v>2671</v>
      </c>
      <c r="D317" t="s">
        <v>2715</v>
      </c>
      <c r="E317" t="s">
        <v>2716</v>
      </c>
      <c r="F317" t="s">
        <v>2741</v>
      </c>
      <c r="G317" t="s">
        <v>2742</v>
      </c>
    </row>
    <row r="318" spans="1:7" x14ac:dyDescent="0.3">
      <c r="A318" s="302">
        <v>46200.393148148149</v>
      </c>
      <c r="B318" t="s">
        <v>2669</v>
      </c>
      <c r="C318" t="s">
        <v>2671</v>
      </c>
      <c r="D318" t="s">
        <v>2715</v>
      </c>
      <c r="E318" t="s">
        <v>2716</v>
      </c>
      <c r="F318" t="s">
        <v>2743</v>
      </c>
      <c r="G318" t="s">
        <v>2744</v>
      </c>
    </row>
    <row r="319" spans="1:7" x14ac:dyDescent="0.3">
      <c r="A319" s="302">
        <v>46200.393148148149</v>
      </c>
      <c r="B319" t="s">
        <v>2669</v>
      </c>
      <c r="C319" t="s">
        <v>2671</v>
      </c>
      <c r="D319" t="s">
        <v>2715</v>
      </c>
      <c r="E319" t="s">
        <v>2716</v>
      </c>
      <c r="F319" t="s">
        <v>2745</v>
      </c>
      <c r="G319" t="s">
        <v>2746</v>
      </c>
    </row>
    <row r="320" spans="1:7" x14ac:dyDescent="0.3">
      <c r="A320" s="302">
        <v>46200.393148148149</v>
      </c>
      <c r="B320" t="s">
        <v>2669</v>
      </c>
      <c r="C320" t="s">
        <v>2671</v>
      </c>
      <c r="D320" t="s">
        <v>2715</v>
      </c>
      <c r="E320" t="s">
        <v>2716</v>
      </c>
      <c r="F320" t="s">
        <v>2747</v>
      </c>
      <c r="G320" t="s">
        <v>2748</v>
      </c>
    </row>
    <row r="321" spans="1:7" x14ac:dyDescent="0.3">
      <c r="A321" s="302">
        <v>46200.393148148149</v>
      </c>
      <c r="B321" t="s">
        <v>2669</v>
      </c>
      <c r="C321" t="s">
        <v>2671</v>
      </c>
      <c r="D321" t="s">
        <v>2715</v>
      </c>
      <c r="E321" t="s">
        <v>2716</v>
      </c>
      <c r="F321" t="s">
        <v>2749</v>
      </c>
      <c r="G321" t="s">
        <v>2750</v>
      </c>
    </row>
    <row r="322" spans="1:7" x14ac:dyDescent="0.3">
      <c r="A322" s="302">
        <v>46200.393148148149</v>
      </c>
      <c r="B322" t="s">
        <v>2669</v>
      </c>
      <c r="C322" t="s">
        <v>2671</v>
      </c>
      <c r="D322" t="s">
        <v>2715</v>
      </c>
      <c r="E322" t="s">
        <v>2716</v>
      </c>
      <c r="F322" t="s">
        <v>2751</v>
      </c>
      <c r="G322" t="s">
        <v>2752</v>
      </c>
    </row>
    <row r="323" spans="1:7" x14ac:dyDescent="0.3">
      <c r="A323" s="302">
        <v>46200.393148148149</v>
      </c>
      <c r="B323" t="s">
        <v>2669</v>
      </c>
      <c r="C323" t="s">
        <v>2671</v>
      </c>
      <c r="D323" t="s">
        <v>2715</v>
      </c>
      <c r="E323" t="s">
        <v>2716</v>
      </c>
      <c r="F323" t="s">
        <v>2753</v>
      </c>
      <c r="G323" t="s">
        <v>2754</v>
      </c>
    </row>
    <row r="324" spans="1:7" x14ac:dyDescent="0.3">
      <c r="A324" s="302">
        <v>46200.393148148149</v>
      </c>
      <c r="B324" t="s">
        <v>2669</v>
      </c>
      <c r="C324" t="s">
        <v>2671</v>
      </c>
      <c r="D324" t="s">
        <v>2715</v>
      </c>
      <c r="E324" t="s">
        <v>2716</v>
      </c>
      <c r="F324" t="s">
        <v>2755</v>
      </c>
      <c r="G324" t="s">
        <v>2756</v>
      </c>
    </row>
    <row r="325" spans="1:7" x14ac:dyDescent="0.3">
      <c r="A325" s="302">
        <v>46200.393159722225</v>
      </c>
      <c r="B325" t="s">
        <v>2669</v>
      </c>
      <c r="C325" t="s">
        <v>2671</v>
      </c>
      <c r="D325" t="s">
        <v>2715</v>
      </c>
      <c r="E325" t="s">
        <v>2716</v>
      </c>
      <c r="F325" t="s">
        <v>2757</v>
      </c>
      <c r="G325" t="s">
        <v>2758</v>
      </c>
    </row>
    <row r="326" spans="1:7" x14ac:dyDescent="0.3">
      <c r="A326" s="302">
        <v>46200.393159722225</v>
      </c>
      <c r="B326" t="s">
        <v>2669</v>
      </c>
      <c r="C326" t="s">
        <v>2671</v>
      </c>
      <c r="D326" t="s">
        <v>2715</v>
      </c>
      <c r="E326" t="s">
        <v>2716</v>
      </c>
      <c r="F326" t="s">
        <v>2759</v>
      </c>
      <c r="G326" t="s">
        <v>2760</v>
      </c>
    </row>
    <row r="327" spans="1:7" x14ac:dyDescent="0.3">
      <c r="A327" s="302">
        <v>46200.393159722225</v>
      </c>
      <c r="B327" t="s">
        <v>2669</v>
      </c>
      <c r="C327" t="s">
        <v>2671</v>
      </c>
      <c r="D327" t="s">
        <v>2715</v>
      </c>
      <c r="E327" t="s">
        <v>2716</v>
      </c>
      <c r="F327" t="s">
        <v>2761</v>
      </c>
      <c r="G327" t="s">
        <v>2762</v>
      </c>
    </row>
    <row r="328" spans="1:7" x14ac:dyDescent="0.3">
      <c r="A328" s="302">
        <v>46200.393159722225</v>
      </c>
      <c r="B328" t="s">
        <v>2669</v>
      </c>
      <c r="C328" t="s">
        <v>2671</v>
      </c>
      <c r="D328" t="s">
        <v>2715</v>
      </c>
      <c r="E328" t="s">
        <v>2716</v>
      </c>
      <c r="F328" t="s">
        <v>2763</v>
      </c>
      <c r="G328" t="s">
        <v>2764</v>
      </c>
    </row>
    <row r="329" spans="1:7" x14ac:dyDescent="0.3">
      <c r="A329" s="302">
        <v>46200.393159722225</v>
      </c>
      <c r="B329" t="s">
        <v>2669</v>
      </c>
      <c r="C329" t="s">
        <v>2671</v>
      </c>
      <c r="D329" t="s">
        <v>2715</v>
      </c>
      <c r="E329" t="s">
        <v>2716</v>
      </c>
      <c r="F329" t="s">
        <v>2765</v>
      </c>
      <c r="G329" t="s">
        <v>2766</v>
      </c>
    </row>
    <row r="330" spans="1:7" x14ac:dyDescent="0.3">
      <c r="A330" s="302">
        <v>46200.393159722225</v>
      </c>
      <c r="B330" t="s">
        <v>2669</v>
      </c>
      <c r="C330" t="s">
        <v>2671</v>
      </c>
      <c r="D330" t="s">
        <v>2715</v>
      </c>
      <c r="E330" t="s">
        <v>2716</v>
      </c>
      <c r="F330" t="s">
        <v>2767</v>
      </c>
      <c r="G330" t="s">
        <v>2768</v>
      </c>
    </row>
    <row r="331" spans="1:7" x14ac:dyDescent="0.3">
      <c r="A331" s="302">
        <v>46200.393159722225</v>
      </c>
      <c r="B331" t="s">
        <v>2669</v>
      </c>
      <c r="C331" t="s">
        <v>2671</v>
      </c>
      <c r="D331" t="s">
        <v>2715</v>
      </c>
      <c r="E331" t="s">
        <v>2716</v>
      </c>
      <c r="F331" t="s">
        <v>2769</v>
      </c>
      <c r="G331" t="s">
        <v>2770</v>
      </c>
    </row>
    <row r="332" spans="1:7" x14ac:dyDescent="0.3">
      <c r="A332" s="302">
        <v>46200.393159722225</v>
      </c>
      <c r="B332" t="s">
        <v>2669</v>
      </c>
      <c r="C332" t="s">
        <v>2671</v>
      </c>
      <c r="D332" t="s">
        <v>2715</v>
      </c>
      <c r="E332" t="s">
        <v>2716</v>
      </c>
      <c r="F332" t="s">
        <v>2771</v>
      </c>
      <c r="G332" t="s">
        <v>2772</v>
      </c>
    </row>
    <row r="333" spans="1:7" x14ac:dyDescent="0.3">
      <c r="A333" s="302">
        <v>46200.393159722225</v>
      </c>
      <c r="B333" t="s">
        <v>2669</v>
      </c>
      <c r="C333" t="s">
        <v>2671</v>
      </c>
      <c r="D333" t="s">
        <v>2715</v>
      </c>
      <c r="E333" t="s">
        <v>2716</v>
      </c>
      <c r="F333" t="s">
        <v>2773</v>
      </c>
      <c r="G333" t="s">
        <v>2774</v>
      </c>
    </row>
    <row r="334" spans="1:7" x14ac:dyDescent="0.3">
      <c r="A334" s="302">
        <v>46200.393159722225</v>
      </c>
      <c r="B334" t="s">
        <v>2669</v>
      </c>
      <c r="C334" t="s">
        <v>2671</v>
      </c>
      <c r="D334" t="s">
        <v>2715</v>
      </c>
      <c r="E334" t="s">
        <v>2716</v>
      </c>
      <c r="F334" t="s">
        <v>2775</v>
      </c>
      <c r="G334" t="s">
        <v>2776</v>
      </c>
    </row>
    <row r="335" spans="1:7" x14ac:dyDescent="0.3">
      <c r="A335" s="302">
        <v>46200.393159722225</v>
      </c>
      <c r="B335" t="s">
        <v>2669</v>
      </c>
      <c r="C335" t="s">
        <v>2671</v>
      </c>
      <c r="D335" t="s">
        <v>2715</v>
      </c>
      <c r="E335" t="s">
        <v>2716</v>
      </c>
      <c r="F335" t="s">
        <v>2777</v>
      </c>
      <c r="G335" t="s">
        <v>2778</v>
      </c>
    </row>
    <row r="336" spans="1:7" x14ac:dyDescent="0.3">
      <c r="A336" s="302">
        <v>46200.393159722225</v>
      </c>
      <c r="B336" t="s">
        <v>2669</v>
      </c>
      <c r="C336" t="s">
        <v>2671</v>
      </c>
      <c r="D336" t="s">
        <v>2715</v>
      </c>
      <c r="E336" t="s">
        <v>2716</v>
      </c>
      <c r="F336" t="s">
        <v>2779</v>
      </c>
      <c r="G336" t="s">
        <v>2780</v>
      </c>
    </row>
    <row r="337" spans="1:7" x14ac:dyDescent="0.3">
      <c r="A337" s="302">
        <v>46200.393159722225</v>
      </c>
      <c r="B337" t="s">
        <v>2669</v>
      </c>
      <c r="C337" t="s">
        <v>2671</v>
      </c>
      <c r="D337" t="s">
        <v>2715</v>
      </c>
      <c r="E337" t="s">
        <v>2716</v>
      </c>
      <c r="F337" t="s">
        <v>2781</v>
      </c>
      <c r="G337" t="s">
        <v>2782</v>
      </c>
    </row>
    <row r="338" spans="1:7" x14ac:dyDescent="0.3">
      <c r="A338" s="302">
        <v>46200.393159722225</v>
      </c>
      <c r="B338" t="s">
        <v>2669</v>
      </c>
      <c r="C338" t="s">
        <v>2671</v>
      </c>
      <c r="D338" t="s">
        <v>2715</v>
      </c>
      <c r="E338" t="s">
        <v>2716</v>
      </c>
      <c r="F338" t="s">
        <v>2783</v>
      </c>
      <c r="G338" t="s">
        <v>2784</v>
      </c>
    </row>
    <row r="339" spans="1:7" x14ac:dyDescent="0.3">
      <c r="A339" s="302">
        <v>46200.394733796296</v>
      </c>
      <c r="B339" t="s">
        <v>2669</v>
      </c>
      <c r="C339" t="s">
        <v>2671</v>
      </c>
      <c r="D339" t="s">
        <v>2914</v>
      </c>
      <c r="E339" t="s">
        <v>2703</v>
      </c>
      <c r="F339" t="s">
        <v>2688</v>
      </c>
    </row>
    <row r="340" spans="1:7" x14ac:dyDescent="0.3">
      <c r="A340" s="302">
        <v>46200.395046296297</v>
      </c>
      <c r="B340" t="s">
        <v>2669</v>
      </c>
      <c r="C340" t="s">
        <v>2671</v>
      </c>
      <c r="D340" t="s">
        <v>2917</v>
      </c>
      <c r="E340" t="s">
        <v>2703</v>
      </c>
      <c r="F340" t="s">
        <v>2915</v>
      </c>
      <c r="G340" t="s">
        <v>2918</v>
      </c>
    </row>
    <row r="341" spans="1:7" x14ac:dyDescent="0.3">
      <c r="A341" s="302">
        <v>46200.395324074074</v>
      </c>
      <c r="B341" t="s">
        <v>2915</v>
      </c>
      <c r="C341" t="s">
        <v>2689</v>
      </c>
      <c r="D341" t="s">
        <v>2708</v>
      </c>
      <c r="E341" t="s">
        <v>2709</v>
      </c>
      <c r="F341" t="s">
        <v>2915</v>
      </c>
      <c r="G341" t="s">
        <v>2710</v>
      </c>
    </row>
    <row r="342" spans="1:7" x14ac:dyDescent="0.3">
      <c r="A342" s="302">
        <v>46200.398888888885</v>
      </c>
      <c r="B342" t="s">
        <v>2669</v>
      </c>
      <c r="C342" t="s">
        <v>2671</v>
      </c>
      <c r="D342" t="s">
        <v>2708</v>
      </c>
      <c r="E342" t="s">
        <v>2709</v>
      </c>
      <c r="F342" t="s">
        <v>2669</v>
      </c>
      <c r="G342" t="s">
        <v>2710</v>
      </c>
    </row>
    <row r="343" spans="1:7" x14ac:dyDescent="0.3">
      <c r="A343" s="302">
        <v>46200.407789351855</v>
      </c>
      <c r="B343" t="s">
        <v>2669</v>
      </c>
      <c r="C343" t="s">
        <v>2671</v>
      </c>
      <c r="D343" t="s">
        <v>2708</v>
      </c>
      <c r="E343" t="s">
        <v>2709</v>
      </c>
      <c r="F343" t="s">
        <v>2669</v>
      </c>
      <c r="G343" t="s">
        <v>2710</v>
      </c>
    </row>
    <row r="344" spans="1:7" x14ac:dyDescent="0.3">
      <c r="A344" s="302">
        <v>46200.414027777777</v>
      </c>
      <c r="B344" t="s">
        <v>2669</v>
      </c>
      <c r="C344" t="s">
        <v>2671</v>
      </c>
      <c r="D344" t="s">
        <v>2708</v>
      </c>
      <c r="E344" t="s">
        <v>2709</v>
      </c>
      <c r="F344" t="s">
        <v>2669</v>
      </c>
      <c r="G344" t="s">
        <v>2710</v>
      </c>
    </row>
    <row r="345" spans="1:7" x14ac:dyDescent="0.3">
      <c r="A345" s="302">
        <v>46200.414456018516</v>
      </c>
      <c r="B345" t="s">
        <v>2669</v>
      </c>
      <c r="C345" t="s">
        <v>2671</v>
      </c>
      <c r="D345" t="s">
        <v>2715</v>
      </c>
      <c r="E345" t="s">
        <v>2919</v>
      </c>
      <c r="F345" t="s">
        <v>2920</v>
      </c>
      <c r="G345" t="s">
        <v>2921</v>
      </c>
    </row>
    <row r="346" spans="1:7" x14ac:dyDescent="0.3">
      <c r="A346" s="302">
        <v>46200.414826388886</v>
      </c>
      <c r="B346" t="s">
        <v>2669</v>
      </c>
      <c r="C346" t="s">
        <v>2671</v>
      </c>
      <c r="D346" t="s">
        <v>2715</v>
      </c>
      <c r="E346" t="s">
        <v>2919</v>
      </c>
      <c r="F346" t="s">
        <v>2922</v>
      </c>
      <c r="G346" t="s">
        <v>2921</v>
      </c>
    </row>
    <row r="347" spans="1:7" x14ac:dyDescent="0.3">
      <c r="A347" s="302">
        <v>46200.414976851855</v>
      </c>
      <c r="B347" t="s">
        <v>2669</v>
      </c>
      <c r="C347" t="s">
        <v>2671</v>
      </c>
      <c r="D347" t="s">
        <v>2715</v>
      </c>
      <c r="E347" t="s">
        <v>2919</v>
      </c>
      <c r="F347" t="s">
        <v>2923</v>
      </c>
      <c r="G347" t="s">
        <v>2921</v>
      </c>
    </row>
    <row r="348" spans="1:7" x14ac:dyDescent="0.3">
      <c r="A348" s="302">
        <v>46200.436851851853</v>
      </c>
      <c r="B348" t="s">
        <v>2669</v>
      </c>
      <c r="C348" t="s">
        <v>2671</v>
      </c>
      <c r="D348" t="s">
        <v>2708</v>
      </c>
      <c r="E348" t="s">
        <v>2709</v>
      </c>
      <c r="F348" t="s">
        <v>2669</v>
      </c>
      <c r="G348" t="s">
        <v>2710</v>
      </c>
    </row>
    <row r="349" spans="1:7" x14ac:dyDescent="0.3">
      <c r="A349" s="302">
        <v>46200.459398148145</v>
      </c>
      <c r="B349" t="s">
        <v>2669</v>
      </c>
      <c r="C349" t="s">
        <v>2671</v>
      </c>
      <c r="D349" t="s">
        <v>2708</v>
      </c>
      <c r="E349" t="s">
        <v>2709</v>
      </c>
      <c r="F349" t="s">
        <v>2669</v>
      </c>
      <c r="G349" t="s">
        <v>2710</v>
      </c>
    </row>
    <row r="350" spans="1:7" x14ac:dyDescent="0.3">
      <c r="A350" s="302">
        <v>46200.461099537039</v>
      </c>
      <c r="B350" t="s">
        <v>2669</v>
      </c>
      <c r="C350" t="s">
        <v>2671</v>
      </c>
      <c r="D350" t="s">
        <v>2715</v>
      </c>
      <c r="E350" t="s">
        <v>2919</v>
      </c>
      <c r="F350" t="s">
        <v>2924</v>
      </c>
      <c r="G350" t="s">
        <v>2925</v>
      </c>
    </row>
    <row r="351" spans="1:7" x14ac:dyDescent="0.3">
      <c r="A351" s="302">
        <v>46200.461099537039</v>
      </c>
      <c r="B351" t="s">
        <v>2669</v>
      </c>
      <c r="C351" t="s">
        <v>2671</v>
      </c>
      <c r="D351" t="s">
        <v>2715</v>
      </c>
      <c r="E351" t="s">
        <v>2919</v>
      </c>
      <c r="F351" t="s">
        <v>2926</v>
      </c>
      <c r="G351" t="s">
        <v>2927</v>
      </c>
    </row>
    <row r="352" spans="1:7" x14ac:dyDescent="0.3">
      <c r="A352" s="302">
        <v>46200.461099537039</v>
      </c>
      <c r="B352" t="s">
        <v>2669</v>
      </c>
      <c r="C352" t="s">
        <v>2671</v>
      </c>
      <c r="D352" t="s">
        <v>2715</v>
      </c>
      <c r="E352" t="s">
        <v>2919</v>
      </c>
      <c r="F352" t="s">
        <v>2928</v>
      </c>
      <c r="G352" t="s">
        <v>2929</v>
      </c>
    </row>
    <row r="353" spans="1:7" x14ac:dyDescent="0.3">
      <c r="A353" s="302">
        <v>46200.461099537039</v>
      </c>
      <c r="B353" t="s">
        <v>2669</v>
      </c>
      <c r="C353" t="s">
        <v>2671</v>
      </c>
      <c r="D353" t="s">
        <v>2715</v>
      </c>
      <c r="E353" t="s">
        <v>2919</v>
      </c>
      <c r="F353" t="s">
        <v>2930</v>
      </c>
      <c r="G353" t="s">
        <v>2931</v>
      </c>
    </row>
    <row r="354" spans="1:7" x14ac:dyDescent="0.3">
      <c r="A354" s="302">
        <v>46200.461099537039</v>
      </c>
      <c r="B354" t="s">
        <v>2669</v>
      </c>
      <c r="C354" t="s">
        <v>2671</v>
      </c>
      <c r="D354" t="s">
        <v>2715</v>
      </c>
      <c r="E354" t="s">
        <v>2919</v>
      </c>
      <c r="F354" t="s">
        <v>2932</v>
      </c>
      <c r="G354" t="s">
        <v>2786</v>
      </c>
    </row>
    <row r="355" spans="1:7" x14ac:dyDescent="0.3">
      <c r="A355" s="302">
        <v>46200.461099537039</v>
      </c>
      <c r="B355" t="s">
        <v>2669</v>
      </c>
      <c r="C355" t="s">
        <v>2671</v>
      </c>
      <c r="D355" t="s">
        <v>2715</v>
      </c>
      <c r="E355" t="s">
        <v>2919</v>
      </c>
      <c r="F355" t="s">
        <v>2933</v>
      </c>
      <c r="G355" t="s">
        <v>2934</v>
      </c>
    </row>
    <row r="356" spans="1:7" x14ac:dyDescent="0.3">
      <c r="A356" s="302">
        <v>46200.461099537039</v>
      </c>
      <c r="B356" t="s">
        <v>2669</v>
      </c>
      <c r="C356" t="s">
        <v>2671</v>
      </c>
      <c r="D356" t="s">
        <v>2715</v>
      </c>
      <c r="E356" t="s">
        <v>2919</v>
      </c>
      <c r="F356" t="s">
        <v>2935</v>
      </c>
      <c r="G356" t="s">
        <v>2936</v>
      </c>
    </row>
    <row r="357" spans="1:7" x14ac:dyDescent="0.3">
      <c r="A357" s="302">
        <v>46200.461099537039</v>
      </c>
      <c r="B357" t="s">
        <v>2669</v>
      </c>
      <c r="C357" t="s">
        <v>2671</v>
      </c>
      <c r="D357" t="s">
        <v>2715</v>
      </c>
      <c r="E357" t="s">
        <v>2919</v>
      </c>
      <c r="F357" t="s">
        <v>2937</v>
      </c>
      <c r="G357" t="s">
        <v>2938</v>
      </c>
    </row>
    <row r="358" spans="1:7" x14ac:dyDescent="0.3">
      <c r="A358" s="302">
        <v>46200.461099537039</v>
      </c>
      <c r="B358" t="s">
        <v>2669</v>
      </c>
      <c r="C358" t="s">
        <v>2671</v>
      </c>
      <c r="D358" t="s">
        <v>2715</v>
      </c>
      <c r="E358" t="s">
        <v>2919</v>
      </c>
      <c r="F358" t="s">
        <v>2939</v>
      </c>
      <c r="G358" t="s">
        <v>2940</v>
      </c>
    </row>
    <row r="359" spans="1:7" x14ac:dyDescent="0.3">
      <c r="A359" s="302">
        <v>46200.461099537039</v>
      </c>
      <c r="B359" t="s">
        <v>2669</v>
      </c>
      <c r="C359" t="s">
        <v>2671</v>
      </c>
      <c r="D359" t="s">
        <v>2715</v>
      </c>
      <c r="E359" t="s">
        <v>2919</v>
      </c>
      <c r="F359" t="s">
        <v>2941</v>
      </c>
      <c r="G359" t="s">
        <v>2942</v>
      </c>
    </row>
    <row r="360" spans="1:7" x14ac:dyDescent="0.3">
      <c r="A360" s="302">
        <v>46200.461099537039</v>
      </c>
      <c r="B360" t="s">
        <v>2669</v>
      </c>
      <c r="C360" t="s">
        <v>2671</v>
      </c>
      <c r="D360" t="s">
        <v>2715</v>
      </c>
      <c r="E360" t="s">
        <v>2919</v>
      </c>
      <c r="F360" t="s">
        <v>2943</v>
      </c>
      <c r="G360" t="s">
        <v>2944</v>
      </c>
    </row>
    <row r="361" spans="1:7" x14ac:dyDescent="0.3">
      <c r="A361" s="302">
        <v>46200.461099537039</v>
      </c>
      <c r="B361" t="s">
        <v>2669</v>
      </c>
      <c r="C361" t="s">
        <v>2671</v>
      </c>
      <c r="D361" t="s">
        <v>2715</v>
      </c>
      <c r="E361" t="s">
        <v>2919</v>
      </c>
      <c r="F361" t="s">
        <v>2945</v>
      </c>
      <c r="G361" t="s">
        <v>2946</v>
      </c>
    </row>
    <row r="362" spans="1:7" x14ac:dyDescent="0.3">
      <c r="A362" s="302">
        <v>46200.461099537039</v>
      </c>
      <c r="B362" t="s">
        <v>2669</v>
      </c>
      <c r="C362" t="s">
        <v>2671</v>
      </c>
      <c r="D362" t="s">
        <v>2715</v>
      </c>
      <c r="E362" t="s">
        <v>2919</v>
      </c>
      <c r="F362" t="s">
        <v>2947</v>
      </c>
      <c r="G362" t="s">
        <v>2760</v>
      </c>
    </row>
    <row r="363" spans="1:7" x14ac:dyDescent="0.3">
      <c r="A363" s="302">
        <v>46200.461099537039</v>
      </c>
      <c r="B363" t="s">
        <v>2669</v>
      </c>
      <c r="C363" t="s">
        <v>2671</v>
      </c>
      <c r="D363" t="s">
        <v>2715</v>
      </c>
      <c r="E363" t="s">
        <v>2919</v>
      </c>
      <c r="F363" t="s">
        <v>2948</v>
      </c>
      <c r="G363" t="s">
        <v>2791</v>
      </c>
    </row>
    <row r="364" spans="1:7" x14ac:dyDescent="0.3">
      <c r="A364" s="302">
        <v>46200.461099537039</v>
      </c>
      <c r="B364" t="s">
        <v>2669</v>
      </c>
      <c r="C364" t="s">
        <v>2671</v>
      </c>
      <c r="D364" t="s">
        <v>2715</v>
      </c>
      <c r="E364" t="s">
        <v>2919</v>
      </c>
      <c r="F364" t="s">
        <v>2949</v>
      </c>
      <c r="G364" t="s">
        <v>2774</v>
      </c>
    </row>
    <row r="365" spans="1:7" x14ac:dyDescent="0.3">
      <c r="A365" s="302">
        <v>46200.461099537039</v>
      </c>
      <c r="B365" t="s">
        <v>2669</v>
      </c>
      <c r="C365" t="s">
        <v>2671</v>
      </c>
      <c r="D365" t="s">
        <v>2715</v>
      </c>
      <c r="E365" t="s">
        <v>2919</v>
      </c>
      <c r="F365" t="s">
        <v>2950</v>
      </c>
      <c r="G365" t="s">
        <v>2951</v>
      </c>
    </row>
    <row r="366" spans="1:7" x14ac:dyDescent="0.3">
      <c r="A366" s="302">
        <v>46200.461099537039</v>
      </c>
      <c r="B366" t="s">
        <v>2669</v>
      </c>
      <c r="C366" t="s">
        <v>2671</v>
      </c>
      <c r="D366" t="s">
        <v>2715</v>
      </c>
      <c r="E366" t="s">
        <v>2919</v>
      </c>
      <c r="F366" t="s">
        <v>2952</v>
      </c>
      <c r="G366" t="s">
        <v>2784</v>
      </c>
    </row>
    <row r="367" spans="1:7" x14ac:dyDescent="0.3">
      <c r="A367" s="302">
        <v>46200.461099537039</v>
      </c>
      <c r="B367" t="s">
        <v>2669</v>
      </c>
      <c r="C367" t="s">
        <v>2671</v>
      </c>
      <c r="D367" t="s">
        <v>2715</v>
      </c>
      <c r="E367" t="s">
        <v>2919</v>
      </c>
      <c r="F367" t="s">
        <v>2953</v>
      </c>
      <c r="G367" t="s">
        <v>2784</v>
      </c>
    </row>
    <row r="368" spans="1:7" x14ac:dyDescent="0.3">
      <c r="A368" s="302">
        <v>46200.461099537039</v>
      </c>
      <c r="B368" t="s">
        <v>2669</v>
      </c>
      <c r="C368" t="s">
        <v>2671</v>
      </c>
      <c r="D368" t="s">
        <v>2715</v>
      </c>
      <c r="E368" t="s">
        <v>2919</v>
      </c>
      <c r="F368" t="s">
        <v>2954</v>
      </c>
      <c r="G368" t="s">
        <v>2955</v>
      </c>
    </row>
    <row r="369" spans="1:7" x14ac:dyDescent="0.3">
      <c r="A369" s="302">
        <v>46200.461099537039</v>
      </c>
      <c r="B369" t="s">
        <v>2669</v>
      </c>
      <c r="C369" t="s">
        <v>2671</v>
      </c>
      <c r="D369" t="s">
        <v>2715</v>
      </c>
      <c r="E369" t="s">
        <v>2919</v>
      </c>
      <c r="F369" t="s">
        <v>2956</v>
      </c>
      <c r="G369" t="s">
        <v>2957</v>
      </c>
    </row>
    <row r="370" spans="1:7" x14ac:dyDescent="0.3">
      <c r="A370" s="302">
        <v>46200.461099537039</v>
      </c>
      <c r="B370" t="s">
        <v>2669</v>
      </c>
      <c r="C370" t="s">
        <v>2671</v>
      </c>
      <c r="D370" t="s">
        <v>2715</v>
      </c>
      <c r="E370" t="s">
        <v>2919</v>
      </c>
      <c r="F370" t="s">
        <v>2958</v>
      </c>
      <c r="G370" t="s">
        <v>2959</v>
      </c>
    </row>
    <row r="371" spans="1:7" x14ac:dyDescent="0.3">
      <c r="A371" s="302">
        <v>46200.461099537039</v>
      </c>
      <c r="B371" t="s">
        <v>2669</v>
      </c>
      <c r="C371" t="s">
        <v>2671</v>
      </c>
      <c r="D371" t="s">
        <v>2960</v>
      </c>
      <c r="E371" t="s">
        <v>2961</v>
      </c>
      <c r="F371">
        <v>17747878</v>
      </c>
    </row>
    <row r="372" spans="1:7" x14ac:dyDescent="0.3">
      <c r="A372" s="302">
        <v>46200.461516203701</v>
      </c>
      <c r="B372" t="s">
        <v>2669</v>
      </c>
      <c r="C372" t="s">
        <v>2671</v>
      </c>
      <c r="D372" t="s">
        <v>2962</v>
      </c>
      <c r="E372" t="s">
        <v>2961</v>
      </c>
      <c r="F372">
        <v>17747878</v>
      </c>
      <c r="G372" t="s">
        <v>2963</v>
      </c>
    </row>
    <row r="373" spans="1:7" x14ac:dyDescent="0.3">
      <c r="A373" s="302">
        <v>46200.461585648147</v>
      </c>
      <c r="B373" t="s">
        <v>2669</v>
      </c>
      <c r="C373" t="s">
        <v>2671</v>
      </c>
      <c r="D373" t="s">
        <v>2715</v>
      </c>
      <c r="E373" t="s">
        <v>2919</v>
      </c>
      <c r="F373" t="s">
        <v>2924</v>
      </c>
      <c r="G373" t="s">
        <v>2925</v>
      </c>
    </row>
    <row r="374" spans="1:7" x14ac:dyDescent="0.3">
      <c r="A374" s="302">
        <v>46200.461585648147</v>
      </c>
      <c r="B374" t="s">
        <v>2669</v>
      </c>
      <c r="C374" t="s">
        <v>2671</v>
      </c>
      <c r="D374" t="s">
        <v>2715</v>
      </c>
      <c r="E374" t="s">
        <v>2919</v>
      </c>
      <c r="F374" t="s">
        <v>2926</v>
      </c>
      <c r="G374" t="s">
        <v>2927</v>
      </c>
    </row>
    <row r="375" spans="1:7" x14ac:dyDescent="0.3">
      <c r="A375" s="302">
        <v>46200.461585648147</v>
      </c>
      <c r="B375" t="s">
        <v>2669</v>
      </c>
      <c r="C375" t="s">
        <v>2671</v>
      </c>
      <c r="D375" t="s">
        <v>2715</v>
      </c>
      <c r="E375" t="s">
        <v>2919</v>
      </c>
      <c r="F375" t="s">
        <v>2928</v>
      </c>
      <c r="G375" t="s">
        <v>2929</v>
      </c>
    </row>
    <row r="376" spans="1:7" x14ac:dyDescent="0.3">
      <c r="A376" s="302">
        <v>46200.461585648147</v>
      </c>
      <c r="B376" t="s">
        <v>2669</v>
      </c>
      <c r="C376" t="s">
        <v>2671</v>
      </c>
      <c r="D376" t="s">
        <v>2715</v>
      </c>
      <c r="E376" t="s">
        <v>2919</v>
      </c>
      <c r="F376" t="s">
        <v>2930</v>
      </c>
      <c r="G376" t="s">
        <v>2931</v>
      </c>
    </row>
    <row r="377" spans="1:7" x14ac:dyDescent="0.3">
      <c r="A377" s="302">
        <v>46200.461585648147</v>
      </c>
      <c r="B377" t="s">
        <v>2669</v>
      </c>
      <c r="C377" t="s">
        <v>2671</v>
      </c>
      <c r="D377" t="s">
        <v>2715</v>
      </c>
      <c r="E377" t="s">
        <v>2919</v>
      </c>
      <c r="F377" t="s">
        <v>2932</v>
      </c>
      <c r="G377" t="s">
        <v>2786</v>
      </c>
    </row>
    <row r="378" spans="1:7" x14ac:dyDescent="0.3">
      <c r="A378" s="302">
        <v>46200.461585648147</v>
      </c>
      <c r="B378" t="s">
        <v>2669</v>
      </c>
      <c r="C378" t="s">
        <v>2671</v>
      </c>
      <c r="D378" t="s">
        <v>2715</v>
      </c>
      <c r="E378" t="s">
        <v>2919</v>
      </c>
      <c r="F378" t="s">
        <v>2933</v>
      </c>
      <c r="G378" t="s">
        <v>2934</v>
      </c>
    </row>
    <row r="379" spans="1:7" x14ac:dyDescent="0.3">
      <c r="A379" s="302">
        <v>46200.461585648147</v>
      </c>
      <c r="B379" t="s">
        <v>2669</v>
      </c>
      <c r="C379" t="s">
        <v>2671</v>
      </c>
      <c r="D379" t="s">
        <v>2715</v>
      </c>
      <c r="E379" t="s">
        <v>2919</v>
      </c>
      <c r="F379" t="s">
        <v>2935</v>
      </c>
      <c r="G379" t="s">
        <v>2936</v>
      </c>
    </row>
    <row r="380" spans="1:7" x14ac:dyDescent="0.3">
      <c r="A380" s="302">
        <v>46200.461585648147</v>
      </c>
      <c r="B380" t="s">
        <v>2669</v>
      </c>
      <c r="C380" t="s">
        <v>2671</v>
      </c>
      <c r="D380" t="s">
        <v>2715</v>
      </c>
      <c r="E380" t="s">
        <v>2919</v>
      </c>
      <c r="F380" t="s">
        <v>2937</v>
      </c>
      <c r="G380" t="s">
        <v>2938</v>
      </c>
    </row>
    <row r="381" spans="1:7" x14ac:dyDescent="0.3">
      <c r="A381" s="302">
        <v>46200.461585648147</v>
      </c>
      <c r="B381" t="s">
        <v>2669</v>
      </c>
      <c r="C381" t="s">
        <v>2671</v>
      </c>
      <c r="D381" t="s">
        <v>2715</v>
      </c>
      <c r="E381" t="s">
        <v>2919</v>
      </c>
      <c r="F381" t="s">
        <v>2939</v>
      </c>
      <c r="G381" t="s">
        <v>2940</v>
      </c>
    </row>
    <row r="382" spans="1:7" x14ac:dyDescent="0.3">
      <c r="A382" s="302">
        <v>46200.461585648147</v>
      </c>
      <c r="B382" t="s">
        <v>2669</v>
      </c>
      <c r="C382" t="s">
        <v>2671</v>
      </c>
      <c r="D382" t="s">
        <v>2715</v>
      </c>
      <c r="E382" t="s">
        <v>2919</v>
      </c>
      <c r="F382" t="s">
        <v>2941</v>
      </c>
      <c r="G382" t="s">
        <v>2942</v>
      </c>
    </row>
    <row r="383" spans="1:7" x14ac:dyDescent="0.3">
      <c r="A383" s="302">
        <v>46200.461597222224</v>
      </c>
      <c r="B383" t="s">
        <v>2669</v>
      </c>
      <c r="C383" t="s">
        <v>2671</v>
      </c>
      <c r="D383" t="s">
        <v>2715</v>
      </c>
      <c r="E383" t="s">
        <v>2919</v>
      </c>
      <c r="F383" t="s">
        <v>2943</v>
      </c>
      <c r="G383" t="s">
        <v>2944</v>
      </c>
    </row>
    <row r="384" spans="1:7" x14ac:dyDescent="0.3">
      <c r="A384" s="302">
        <v>46200.461597222224</v>
      </c>
      <c r="B384" t="s">
        <v>2669</v>
      </c>
      <c r="C384" t="s">
        <v>2671</v>
      </c>
      <c r="D384" t="s">
        <v>2715</v>
      </c>
      <c r="E384" t="s">
        <v>2919</v>
      </c>
      <c r="F384" t="s">
        <v>2945</v>
      </c>
      <c r="G384" t="s">
        <v>2946</v>
      </c>
    </row>
    <row r="385" spans="1:7" x14ac:dyDescent="0.3">
      <c r="A385" s="302">
        <v>46200.461597222224</v>
      </c>
      <c r="B385" t="s">
        <v>2669</v>
      </c>
      <c r="C385" t="s">
        <v>2671</v>
      </c>
      <c r="D385" t="s">
        <v>2715</v>
      </c>
      <c r="E385" t="s">
        <v>2919</v>
      </c>
      <c r="F385" t="s">
        <v>2947</v>
      </c>
      <c r="G385" t="s">
        <v>2760</v>
      </c>
    </row>
    <row r="386" spans="1:7" x14ac:dyDescent="0.3">
      <c r="A386" s="302">
        <v>46200.461597222224</v>
      </c>
      <c r="B386" t="s">
        <v>2669</v>
      </c>
      <c r="C386" t="s">
        <v>2671</v>
      </c>
      <c r="D386" t="s">
        <v>2715</v>
      </c>
      <c r="E386" t="s">
        <v>2919</v>
      </c>
      <c r="F386" t="s">
        <v>2948</v>
      </c>
      <c r="G386" t="s">
        <v>2791</v>
      </c>
    </row>
    <row r="387" spans="1:7" x14ac:dyDescent="0.3">
      <c r="A387" s="302">
        <v>46200.461597222224</v>
      </c>
      <c r="B387" t="s">
        <v>2669</v>
      </c>
      <c r="C387" t="s">
        <v>2671</v>
      </c>
      <c r="D387" t="s">
        <v>2715</v>
      </c>
      <c r="E387" t="s">
        <v>2919</v>
      </c>
      <c r="F387" t="s">
        <v>2949</v>
      </c>
      <c r="G387" t="s">
        <v>2774</v>
      </c>
    </row>
    <row r="388" spans="1:7" x14ac:dyDescent="0.3">
      <c r="A388" s="302">
        <v>46200.461597222224</v>
      </c>
      <c r="B388" t="s">
        <v>2669</v>
      </c>
      <c r="C388" t="s">
        <v>2671</v>
      </c>
      <c r="D388" t="s">
        <v>2715</v>
      </c>
      <c r="E388" t="s">
        <v>2919</v>
      </c>
      <c r="F388" t="s">
        <v>2950</v>
      </c>
      <c r="G388" t="s">
        <v>2951</v>
      </c>
    </row>
    <row r="389" spans="1:7" x14ac:dyDescent="0.3">
      <c r="A389" s="302">
        <v>46200.461597222224</v>
      </c>
      <c r="B389" t="s">
        <v>2669</v>
      </c>
      <c r="C389" t="s">
        <v>2671</v>
      </c>
      <c r="D389" t="s">
        <v>2715</v>
      </c>
      <c r="E389" t="s">
        <v>2919</v>
      </c>
      <c r="F389" t="s">
        <v>2953</v>
      </c>
      <c r="G389" t="s">
        <v>2784</v>
      </c>
    </row>
    <row r="390" spans="1:7" x14ac:dyDescent="0.3">
      <c r="A390" s="302">
        <v>46200.461597222224</v>
      </c>
      <c r="B390" t="s">
        <v>2669</v>
      </c>
      <c r="C390" t="s">
        <v>2671</v>
      </c>
      <c r="D390" t="s">
        <v>2715</v>
      </c>
      <c r="E390" t="s">
        <v>2919</v>
      </c>
      <c r="F390" t="s">
        <v>2954</v>
      </c>
      <c r="G390" t="s">
        <v>2955</v>
      </c>
    </row>
    <row r="391" spans="1:7" x14ac:dyDescent="0.3">
      <c r="A391" s="302">
        <v>46200.461597222224</v>
      </c>
      <c r="B391" t="s">
        <v>2669</v>
      </c>
      <c r="C391" t="s">
        <v>2671</v>
      </c>
      <c r="D391" t="s">
        <v>2715</v>
      </c>
      <c r="E391" t="s">
        <v>2919</v>
      </c>
      <c r="F391" t="s">
        <v>2956</v>
      </c>
      <c r="G391" t="s">
        <v>2957</v>
      </c>
    </row>
    <row r="392" spans="1:7" x14ac:dyDescent="0.3">
      <c r="A392" s="302">
        <v>46200.461597222224</v>
      </c>
      <c r="B392" t="s">
        <v>2669</v>
      </c>
      <c r="C392" t="s">
        <v>2671</v>
      </c>
      <c r="D392" t="s">
        <v>2715</v>
      </c>
      <c r="E392" t="s">
        <v>2919</v>
      </c>
      <c r="F392" t="s">
        <v>2958</v>
      </c>
      <c r="G392" t="s">
        <v>2959</v>
      </c>
    </row>
    <row r="393" spans="1:7" x14ac:dyDescent="0.3">
      <c r="A393" s="302">
        <v>46200.461597222224</v>
      </c>
      <c r="B393" t="s">
        <v>2669</v>
      </c>
      <c r="C393" t="s">
        <v>2671</v>
      </c>
      <c r="D393" t="s">
        <v>2960</v>
      </c>
      <c r="E393" t="s">
        <v>2961</v>
      </c>
      <c r="F393">
        <v>17747878</v>
      </c>
    </row>
    <row r="394" spans="1:7" x14ac:dyDescent="0.3">
      <c r="A394" s="302">
        <v>46200.480416666665</v>
      </c>
      <c r="D394" t="s">
        <v>2911</v>
      </c>
      <c r="E394" t="s">
        <v>2709</v>
      </c>
      <c r="F394" t="s">
        <v>2669</v>
      </c>
      <c r="G394" t="s">
        <v>2912</v>
      </c>
    </row>
    <row r="395" spans="1:7" x14ac:dyDescent="0.3">
      <c r="A395" s="302">
        <v>46200.480624999997</v>
      </c>
      <c r="B395" t="s">
        <v>2669</v>
      </c>
      <c r="C395" t="s">
        <v>2671</v>
      </c>
      <c r="D395" t="s">
        <v>2708</v>
      </c>
      <c r="E395" t="s">
        <v>2709</v>
      </c>
      <c r="F395" t="s">
        <v>2669</v>
      </c>
      <c r="G395" t="s">
        <v>2710</v>
      </c>
    </row>
    <row r="396" spans="1:7" x14ac:dyDescent="0.3">
      <c r="A396" s="302">
        <v>46200.481446759259</v>
      </c>
      <c r="B396" t="s">
        <v>2669</v>
      </c>
      <c r="C396" t="s">
        <v>2671</v>
      </c>
      <c r="D396" t="s">
        <v>2715</v>
      </c>
      <c r="E396" t="s">
        <v>2919</v>
      </c>
      <c r="F396" t="s">
        <v>2924</v>
      </c>
      <c r="G396" t="s">
        <v>2925</v>
      </c>
    </row>
    <row r="397" spans="1:7" x14ac:dyDescent="0.3">
      <c r="A397" s="302">
        <v>46200.481446759259</v>
      </c>
      <c r="B397" t="s">
        <v>2669</v>
      </c>
      <c r="C397" t="s">
        <v>2671</v>
      </c>
      <c r="D397" t="s">
        <v>2715</v>
      </c>
      <c r="E397" t="s">
        <v>2919</v>
      </c>
      <c r="F397" t="s">
        <v>2926</v>
      </c>
      <c r="G397" t="s">
        <v>2927</v>
      </c>
    </row>
    <row r="398" spans="1:7" x14ac:dyDescent="0.3">
      <c r="A398" s="302">
        <v>46200.481446759259</v>
      </c>
      <c r="B398" t="s">
        <v>2669</v>
      </c>
      <c r="C398" t="s">
        <v>2671</v>
      </c>
      <c r="D398" t="s">
        <v>2715</v>
      </c>
      <c r="E398" t="s">
        <v>2919</v>
      </c>
      <c r="F398" t="s">
        <v>2928</v>
      </c>
      <c r="G398" t="s">
        <v>2929</v>
      </c>
    </row>
    <row r="399" spans="1:7" x14ac:dyDescent="0.3">
      <c r="A399" s="302">
        <v>46200.481458333335</v>
      </c>
      <c r="B399" t="s">
        <v>2669</v>
      </c>
      <c r="C399" t="s">
        <v>2671</v>
      </c>
      <c r="D399" t="s">
        <v>2715</v>
      </c>
      <c r="E399" t="s">
        <v>2919</v>
      </c>
      <c r="F399" t="s">
        <v>2930</v>
      </c>
      <c r="G399" t="s">
        <v>2931</v>
      </c>
    </row>
    <row r="400" spans="1:7" x14ac:dyDescent="0.3">
      <c r="A400" s="302">
        <v>46200.481458333335</v>
      </c>
      <c r="B400" t="s">
        <v>2669</v>
      </c>
      <c r="C400" t="s">
        <v>2671</v>
      </c>
      <c r="D400" t="s">
        <v>2715</v>
      </c>
      <c r="E400" t="s">
        <v>2919</v>
      </c>
      <c r="F400" t="s">
        <v>2932</v>
      </c>
      <c r="G400" t="s">
        <v>2786</v>
      </c>
    </row>
    <row r="401" spans="1:7" x14ac:dyDescent="0.3">
      <c r="A401" s="302">
        <v>46200.481458333335</v>
      </c>
      <c r="B401" t="s">
        <v>2669</v>
      </c>
      <c r="C401" t="s">
        <v>2671</v>
      </c>
      <c r="D401" t="s">
        <v>2715</v>
      </c>
      <c r="E401" t="s">
        <v>2919</v>
      </c>
      <c r="F401" t="s">
        <v>2933</v>
      </c>
      <c r="G401" t="s">
        <v>2934</v>
      </c>
    </row>
    <row r="402" spans="1:7" x14ac:dyDescent="0.3">
      <c r="A402" s="302">
        <v>46200.481458333335</v>
      </c>
      <c r="B402" t="s">
        <v>2669</v>
      </c>
      <c r="C402" t="s">
        <v>2671</v>
      </c>
      <c r="D402" t="s">
        <v>2715</v>
      </c>
      <c r="E402" t="s">
        <v>2919</v>
      </c>
      <c r="F402" t="s">
        <v>2935</v>
      </c>
      <c r="G402" t="s">
        <v>2936</v>
      </c>
    </row>
    <row r="403" spans="1:7" x14ac:dyDescent="0.3">
      <c r="A403" s="302">
        <v>46200.481458333335</v>
      </c>
      <c r="B403" t="s">
        <v>2669</v>
      </c>
      <c r="C403" t="s">
        <v>2671</v>
      </c>
      <c r="D403" t="s">
        <v>2715</v>
      </c>
      <c r="E403" t="s">
        <v>2919</v>
      </c>
      <c r="F403" t="s">
        <v>2937</v>
      </c>
      <c r="G403" t="s">
        <v>2938</v>
      </c>
    </row>
    <row r="404" spans="1:7" x14ac:dyDescent="0.3">
      <c r="A404" s="302">
        <v>46200.481458333335</v>
      </c>
      <c r="B404" t="s">
        <v>2669</v>
      </c>
      <c r="C404" t="s">
        <v>2671</v>
      </c>
      <c r="D404" t="s">
        <v>2715</v>
      </c>
      <c r="E404" t="s">
        <v>2919</v>
      </c>
      <c r="F404" t="s">
        <v>2939</v>
      </c>
      <c r="G404" t="s">
        <v>2940</v>
      </c>
    </row>
    <row r="405" spans="1:7" x14ac:dyDescent="0.3">
      <c r="A405" s="302">
        <v>46200.481458333335</v>
      </c>
      <c r="B405" t="s">
        <v>2669</v>
      </c>
      <c r="C405" t="s">
        <v>2671</v>
      </c>
      <c r="D405" t="s">
        <v>2715</v>
      </c>
      <c r="E405" t="s">
        <v>2919</v>
      </c>
      <c r="F405" t="s">
        <v>2941</v>
      </c>
      <c r="G405" t="s">
        <v>2942</v>
      </c>
    </row>
    <row r="406" spans="1:7" x14ac:dyDescent="0.3">
      <c r="A406" s="302">
        <v>46200.481458333335</v>
      </c>
      <c r="B406" t="s">
        <v>2669</v>
      </c>
      <c r="C406" t="s">
        <v>2671</v>
      </c>
      <c r="D406" t="s">
        <v>2715</v>
      </c>
      <c r="E406" t="s">
        <v>2919</v>
      </c>
      <c r="F406" t="s">
        <v>2943</v>
      </c>
      <c r="G406" t="s">
        <v>2944</v>
      </c>
    </row>
    <row r="407" spans="1:7" x14ac:dyDescent="0.3">
      <c r="A407" s="302">
        <v>46200.481458333335</v>
      </c>
      <c r="B407" t="s">
        <v>2669</v>
      </c>
      <c r="C407" t="s">
        <v>2671</v>
      </c>
      <c r="D407" t="s">
        <v>2715</v>
      </c>
      <c r="E407" t="s">
        <v>2919</v>
      </c>
      <c r="F407" t="s">
        <v>2945</v>
      </c>
      <c r="G407" t="s">
        <v>2946</v>
      </c>
    </row>
    <row r="408" spans="1:7" x14ac:dyDescent="0.3">
      <c r="A408" s="302">
        <v>46200.481458333335</v>
      </c>
      <c r="B408" t="s">
        <v>2669</v>
      </c>
      <c r="C408" t="s">
        <v>2671</v>
      </c>
      <c r="D408" t="s">
        <v>2715</v>
      </c>
      <c r="E408" t="s">
        <v>2919</v>
      </c>
      <c r="F408" t="s">
        <v>2947</v>
      </c>
      <c r="G408" t="s">
        <v>2760</v>
      </c>
    </row>
    <row r="409" spans="1:7" x14ac:dyDescent="0.3">
      <c r="A409" s="302">
        <v>46200.481458333335</v>
      </c>
      <c r="B409" t="s">
        <v>2669</v>
      </c>
      <c r="C409" t="s">
        <v>2671</v>
      </c>
      <c r="D409" t="s">
        <v>2715</v>
      </c>
      <c r="E409" t="s">
        <v>2919</v>
      </c>
      <c r="F409" t="s">
        <v>2948</v>
      </c>
      <c r="G409" t="s">
        <v>2791</v>
      </c>
    </row>
    <row r="410" spans="1:7" x14ac:dyDescent="0.3">
      <c r="A410" s="302">
        <v>46200.481458333335</v>
      </c>
      <c r="B410" t="s">
        <v>2669</v>
      </c>
      <c r="C410" t="s">
        <v>2671</v>
      </c>
      <c r="D410" t="s">
        <v>2715</v>
      </c>
      <c r="E410" t="s">
        <v>2919</v>
      </c>
      <c r="F410" t="s">
        <v>2949</v>
      </c>
      <c r="G410" t="s">
        <v>2774</v>
      </c>
    </row>
    <row r="411" spans="1:7" x14ac:dyDescent="0.3">
      <c r="A411" s="302">
        <v>46200.481458333335</v>
      </c>
      <c r="B411" t="s">
        <v>2669</v>
      </c>
      <c r="C411" t="s">
        <v>2671</v>
      </c>
      <c r="D411" t="s">
        <v>2715</v>
      </c>
      <c r="E411" t="s">
        <v>2919</v>
      </c>
      <c r="F411" t="s">
        <v>2950</v>
      </c>
      <c r="G411" t="s">
        <v>2951</v>
      </c>
    </row>
    <row r="412" spans="1:7" x14ac:dyDescent="0.3">
      <c r="A412" s="302">
        <v>46200.481458333335</v>
      </c>
      <c r="B412" t="s">
        <v>2669</v>
      </c>
      <c r="C412" t="s">
        <v>2671</v>
      </c>
      <c r="D412" t="s">
        <v>2715</v>
      </c>
      <c r="E412" t="s">
        <v>2919</v>
      </c>
      <c r="F412" t="s">
        <v>2953</v>
      </c>
      <c r="G412" t="s">
        <v>2784</v>
      </c>
    </row>
    <row r="413" spans="1:7" x14ac:dyDescent="0.3">
      <c r="A413" s="302">
        <v>46200.481458333335</v>
      </c>
      <c r="B413" t="s">
        <v>2669</v>
      </c>
      <c r="C413" t="s">
        <v>2671</v>
      </c>
      <c r="D413" t="s">
        <v>2715</v>
      </c>
      <c r="E413" t="s">
        <v>2919</v>
      </c>
      <c r="F413" t="s">
        <v>2964</v>
      </c>
      <c r="G413" t="s">
        <v>2965</v>
      </c>
    </row>
    <row r="414" spans="1:7" x14ac:dyDescent="0.3">
      <c r="A414" s="302">
        <v>46200.481458333335</v>
      </c>
      <c r="B414" t="s">
        <v>2669</v>
      </c>
      <c r="C414" t="s">
        <v>2671</v>
      </c>
      <c r="D414" t="s">
        <v>2715</v>
      </c>
      <c r="E414" t="s">
        <v>2919</v>
      </c>
      <c r="F414" t="s">
        <v>2954</v>
      </c>
      <c r="G414" t="s">
        <v>2955</v>
      </c>
    </row>
    <row r="415" spans="1:7" x14ac:dyDescent="0.3">
      <c r="A415" s="302">
        <v>46200.481458333335</v>
      </c>
      <c r="B415" t="s">
        <v>2669</v>
      </c>
      <c r="C415" t="s">
        <v>2671</v>
      </c>
      <c r="D415" t="s">
        <v>2715</v>
      </c>
      <c r="E415" t="s">
        <v>2919</v>
      </c>
      <c r="F415" t="s">
        <v>2956</v>
      </c>
      <c r="G415" t="s">
        <v>2957</v>
      </c>
    </row>
    <row r="416" spans="1:7" x14ac:dyDescent="0.3">
      <c r="A416" s="302">
        <v>46200.481458333335</v>
      </c>
      <c r="B416" t="s">
        <v>2669</v>
      </c>
      <c r="C416" t="s">
        <v>2671</v>
      </c>
      <c r="D416" t="s">
        <v>2715</v>
      </c>
      <c r="E416" t="s">
        <v>2919</v>
      </c>
      <c r="F416" t="s">
        <v>2958</v>
      </c>
      <c r="G416" t="s">
        <v>2959</v>
      </c>
    </row>
    <row r="417" spans="1:7" x14ac:dyDescent="0.3">
      <c r="A417" s="302">
        <v>46200.481458333335</v>
      </c>
      <c r="B417" t="s">
        <v>2669</v>
      </c>
      <c r="C417" t="s">
        <v>2671</v>
      </c>
      <c r="D417" t="s">
        <v>2960</v>
      </c>
      <c r="E417" t="s">
        <v>2961</v>
      </c>
      <c r="F417">
        <v>17747878</v>
      </c>
    </row>
    <row r="418" spans="1:7" x14ac:dyDescent="0.3">
      <c r="A418" s="302">
        <v>46200.482083333336</v>
      </c>
      <c r="B418" t="s">
        <v>2669</v>
      </c>
      <c r="C418" t="s">
        <v>2671</v>
      </c>
      <c r="D418" t="s">
        <v>2715</v>
      </c>
      <c r="E418" t="s">
        <v>2919</v>
      </c>
      <c r="F418" t="s">
        <v>2924</v>
      </c>
      <c r="G418" t="s">
        <v>2925</v>
      </c>
    </row>
    <row r="419" spans="1:7" x14ac:dyDescent="0.3">
      <c r="A419" s="302">
        <v>46200.482083333336</v>
      </c>
      <c r="B419" t="s">
        <v>2669</v>
      </c>
      <c r="C419" t="s">
        <v>2671</v>
      </c>
      <c r="D419" t="s">
        <v>2715</v>
      </c>
      <c r="E419" t="s">
        <v>2919</v>
      </c>
      <c r="F419" t="s">
        <v>2926</v>
      </c>
      <c r="G419" t="s">
        <v>2929</v>
      </c>
    </row>
    <row r="420" spans="1:7" x14ac:dyDescent="0.3">
      <c r="A420" s="302">
        <v>46200.482083333336</v>
      </c>
      <c r="B420" t="s">
        <v>2669</v>
      </c>
      <c r="C420" t="s">
        <v>2671</v>
      </c>
      <c r="D420" t="s">
        <v>2715</v>
      </c>
      <c r="E420" t="s">
        <v>2919</v>
      </c>
      <c r="F420" t="s">
        <v>2928</v>
      </c>
      <c r="G420" t="s">
        <v>2929</v>
      </c>
    </row>
    <row r="421" spans="1:7" x14ac:dyDescent="0.3">
      <c r="A421" s="302">
        <v>46200.482083333336</v>
      </c>
      <c r="B421" t="s">
        <v>2669</v>
      </c>
      <c r="C421" t="s">
        <v>2671</v>
      </c>
      <c r="D421" t="s">
        <v>2715</v>
      </c>
      <c r="E421" t="s">
        <v>2919</v>
      </c>
      <c r="F421" t="s">
        <v>2930</v>
      </c>
      <c r="G421" t="s">
        <v>2931</v>
      </c>
    </row>
    <row r="422" spans="1:7" x14ac:dyDescent="0.3">
      <c r="A422" s="302">
        <v>46200.482083333336</v>
      </c>
      <c r="B422" t="s">
        <v>2669</v>
      </c>
      <c r="C422" t="s">
        <v>2671</v>
      </c>
      <c r="D422" t="s">
        <v>2715</v>
      </c>
      <c r="E422" t="s">
        <v>2919</v>
      </c>
      <c r="F422" t="s">
        <v>2932</v>
      </c>
      <c r="G422" t="s">
        <v>2786</v>
      </c>
    </row>
    <row r="423" spans="1:7" x14ac:dyDescent="0.3">
      <c r="A423" s="302">
        <v>46200.482083333336</v>
      </c>
      <c r="B423" t="s">
        <v>2669</v>
      </c>
      <c r="C423" t="s">
        <v>2671</v>
      </c>
      <c r="D423" t="s">
        <v>2715</v>
      </c>
      <c r="E423" t="s">
        <v>2919</v>
      </c>
      <c r="F423" t="s">
        <v>2933</v>
      </c>
      <c r="G423" t="s">
        <v>2934</v>
      </c>
    </row>
    <row r="424" spans="1:7" x14ac:dyDescent="0.3">
      <c r="A424" s="302">
        <v>46200.482083333336</v>
      </c>
      <c r="B424" t="s">
        <v>2669</v>
      </c>
      <c r="C424" t="s">
        <v>2671</v>
      </c>
      <c r="D424" t="s">
        <v>2715</v>
      </c>
      <c r="E424" t="s">
        <v>2919</v>
      </c>
      <c r="F424" t="s">
        <v>2935</v>
      </c>
      <c r="G424" t="s">
        <v>2936</v>
      </c>
    </row>
    <row r="425" spans="1:7" x14ac:dyDescent="0.3">
      <c r="A425" s="302">
        <v>46200.482083333336</v>
      </c>
      <c r="B425" t="s">
        <v>2669</v>
      </c>
      <c r="C425" t="s">
        <v>2671</v>
      </c>
      <c r="D425" t="s">
        <v>2715</v>
      </c>
      <c r="E425" t="s">
        <v>2919</v>
      </c>
      <c r="F425" t="s">
        <v>2937</v>
      </c>
      <c r="G425" t="s">
        <v>2938</v>
      </c>
    </row>
    <row r="426" spans="1:7" x14ac:dyDescent="0.3">
      <c r="A426" s="302">
        <v>46200.482083333336</v>
      </c>
      <c r="B426" t="s">
        <v>2669</v>
      </c>
      <c r="C426" t="s">
        <v>2671</v>
      </c>
      <c r="D426" t="s">
        <v>2715</v>
      </c>
      <c r="E426" t="s">
        <v>2919</v>
      </c>
      <c r="F426" t="s">
        <v>2939</v>
      </c>
      <c r="G426" t="s">
        <v>2940</v>
      </c>
    </row>
    <row r="427" spans="1:7" x14ac:dyDescent="0.3">
      <c r="A427" s="302">
        <v>46200.482083333336</v>
      </c>
      <c r="B427" t="s">
        <v>2669</v>
      </c>
      <c r="C427" t="s">
        <v>2671</v>
      </c>
      <c r="D427" t="s">
        <v>2715</v>
      </c>
      <c r="E427" t="s">
        <v>2919</v>
      </c>
      <c r="F427" t="s">
        <v>2941</v>
      </c>
      <c r="G427" t="s">
        <v>2942</v>
      </c>
    </row>
    <row r="428" spans="1:7" x14ac:dyDescent="0.3">
      <c r="A428" s="302">
        <v>46200.482083333336</v>
      </c>
      <c r="B428" t="s">
        <v>2669</v>
      </c>
      <c r="C428" t="s">
        <v>2671</v>
      </c>
      <c r="D428" t="s">
        <v>2715</v>
      </c>
      <c r="E428" t="s">
        <v>2919</v>
      </c>
      <c r="F428" t="s">
        <v>2943</v>
      </c>
      <c r="G428" t="s">
        <v>2944</v>
      </c>
    </row>
    <row r="429" spans="1:7" x14ac:dyDescent="0.3">
      <c r="A429" s="302">
        <v>46200.482083333336</v>
      </c>
      <c r="B429" t="s">
        <v>2669</v>
      </c>
      <c r="C429" t="s">
        <v>2671</v>
      </c>
      <c r="D429" t="s">
        <v>2715</v>
      </c>
      <c r="E429" t="s">
        <v>2919</v>
      </c>
      <c r="F429" t="s">
        <v>2945</v>
      </c>
      <c r="G429" t="s">
        <v>2946</v>
      </c>
    </row>
    <row r="430" spans="1:7" x14ac:dyDescent="0.3">
      <c r="A430" s="302">
        <v>46200.482083333336</v>
      </c>
      <c r="B430" t="s">
        <v>2669</v>
      </c>
      <c r="C430" t="s">
        <v>2671</v>
      </c>
      <c r="D430" t="s">
        <v>2715</v>
      </c>
      <c r="E430" t="s">
        <v>2919</v>
      </c>
      <c r="F430" t="s">
        <v>2947</v>
      </c>
      <c r="G430" t="s">
        <v>2760</v>
      </c>
    </row>
    <row r="431" spans="1:7" x14ac:dyDescent="0.3">
      <c r="A431" s="302">
        <v>46200.482083333336</v>
      </c>
      <c r="B431" t="s">
        <v>2669</v>
      </c>
      <c r="C431" t="s">
        <v>2671</v>
      </c>
      <c r="D431" t="s">
        <v>2715</v>
      </c>
      <c r="E431" t="s">
        <v>2919</v>
      </c>
      <c r="F431" t="s">
        <v>2948</v>
      </c>
      <c r="G431" t="s">
        <v>2791</v>
      </c>
    </row>
    <row r="432" spans="1:7" x14ac:dyDescent="0.3">
      <c r="A432" s="302">
        <v>46200.482083333336</v>
      </c>
      <c r="B432" t="s">
        <v>2669</v>
      </c>
      <c r="C432" t="s">
        <v>2671</v>
      </c>
      <c r="D432" t="s">
        <v>2715</v>
      </c>
      <c r="E432" t="s">
        <v>2919</v>
      </c>
      <c r="F432" t="s">
        <v>2949</v>
      </c>
      <c r="G432" t="s">
        <v>2774</v>
      </c>
    </row>
    <row r="433" spans="1:7" x14ac:dyDescent="0.3">
      <c r="A433" s="302">
        <v>46200.482094907406</v>
      </c>
      <c r="B433" t="s">
        <v>2669</v>
      </c>
      <c r="C433" t="s">
        <v>2671</v>
      </c>
      <c r="D433" t="s">
        <v>2715</v>
      </c>
      <c r="E433" t="s">
        <v>2919</v>
      </c>
      <c r="F433" t="s">
        <v>2950</v>
      </c>
      <c r="G433" t="s">
        <v>2951</v>
      </c>
    </row>
    <row r="434" spans="1:7" x14ac:dyDescent="0.3">
      <c r="A434" s="302">
        <v>46200.482094907406</v>
      </c>
      <c r="B434" t="s">
        <v>2669</v>
      </c>
      <c r="C434" t="s">
        <v>2671</v>
      </c>
      <c r="D434" t="s">
        <v>2715</v>
      </c>
      <c r="E434" t="s">
        <v>2919</v>
      </c>
      <c r="F434" t="s">
        <v>2953</v>
      </c>
      <c r="G434" t="s">
        <v>2784</v>
      </c>
    </row>
    <row r="435" spans="1:7" x14ac:dyDescent="0.3">
      <c r="A435" s="302">
        <v>46200.482094907406</v>
      </c>
      <c r="B435" t="s">
        <v>2669</v>
      </c>
      <c r="C435" t="s">
        <v>2671</v>
      </c>
      <c r="D435" t="s">
        <v>2715</v>
      </c>
      <c r="E435" t="s">
        <v>2919</v>
      </c>
      <c r="F435" t="s">
        <v>2954</v>
      </c>
      <c r="G435" t="s">
        <v>2955</v>
      </c>
    </row>
    <row r="436" spans="1:7" x14ac:dyDescent="0.3">
      <c r="A436" s="302">
        <v>46200.482094907406</v>
      </c>
      <c r="B436" t="s">
        <v>2669</v>
      </c>
      <c r="C436" t="s">
        <v>2671</v>
      </c>
      <c r="D436" t="s">
        <v>2715</v>
      </c>
      <c r="E436" t="s">
        <v>2919</v>
      </c>
      <c r="F436" t="s">
        <v>2956</v>
      </c>
      <c r="G436" t="s">
        <v>2957</v>
      </c>
    </row>
    <row r="437" spans="1:7" x14ac:dyDescent="0.3">
      <c r="A437" s="302">
        <v>46200.482094907406</v>
      </c>
      <c r="B437" t="s">
        <v>2669</v>
      </c>
      <c r="C437" t="s">
        <v>2671</v>
      </c>
      <c r="D437" t="s">
        <v>2715</v>
      </c>
      <c r="E437" t="s">
        <v>2919</v>
      </c>
      <c r="F437" t="s">
        <v>2958</v>
      </c>
      <c r="G437" t="s">
        <v>2959</v>
      </c>
    </row>
    <row r="438" spans="1:7" x14ac:dyDescent="0.3">
      <c r="A438" s="302">
        <v>46200.482094907406</v>
      </c>
      <c r="B438" t="s">
        <v>2669</v>
      </c>
      <c r="C438" t="s">
        <v>2671</v>
      </c>
      <c r="D438" t="s">
        <v>2960</v>
      </c>
      <c r="E438" t="s">
        <v>2961</v>
      </c>
      <c r="F438">
        <v>17747878</v>
      </c>
    </row>
    <row r="439" spans="1:7" x14ac:dyDescent="0.3">
      <c r="A439" s="302">
        <v>46200.482615740744</v>
      </c>
      <c r="B439" t="s">
        <v>2669</v>
      </c>
      <c r="C439" t="s">
        <v>2671</v>
      </c>
      <c r="D439" t="s">
        <v>2711</v>
      </c>
      <c r="E439" t="s">
        <v>2714</v>
      </c>
      <c r="F439" t="s">
        <v>2713</v>
      </c>
    </row>
    <row r="440" spans="1:7" x14ac:dyDescent="0.3">
      <c r="A440" s="302">
        <v>46200.482615740744</v>
      </c>
      <c r="B440" t="s">
        <v>2669</v>
      </c>
      <c r="C440" t="s">
        <v>2671</v>
      </c>
      <c r="D440" t="s">
        <v>2715</v>
      </c>
      <c r="E440" t="s">
        <v>2716</v>
      </c>
      <c r="F440" t="s">
        <v>2717</v>
      </c>
      <c r="G440" t="s">
        <v>2718</v>
      </c>
    </row>
    <row r="441" spans="1:7" x14ac:dyDescent="0.3">
      <c r="A441" s="302">
        <v>46200.482615740744</v>
      </c>
      <c r="B441" t="s">
        <v>2669</v>
      </c>
      <c r="C441" t="s">
        <v>2671</v>
      </c>
      <c r="D441" t="s">
        <v>2715</v>
      </c>
      <c r="E441" t="s">
        <v>2716</v>
      </c>
      <c r="F441" t="s">
        <v>2719</v>
      </c>
      <c r="G441" t="s">
        <v>2966</v>
      </c>
    </row>
    <row r="442" spans="1:7" x14ac:dyDescent="0.3">
      <c r="A442" s="302">
        <v>46200.482615740744</v>
      </c>
      <c r="B442" t="s">
        <v>2669</v>
      </c>
      <c r="C442" t="s">
        <v>2671</v>
      </c>
      <c r="D442" t="s">
        <v>2715</v>
      </c>
      <c r="E442" t="s">
        <v>2716</v>
      </c>
      <c r="F442" t="s">
        <v>2721</v>
      </c>
      <c r="G442" t="s">
        <v>2720</v>
      </c>
    </row>
    <row r="443" spans="1:7" x14ac:dyDescent="0.3">
      <c r="A443" s="302">
        <v>46200.482615740744</v>
      </c>
      <c r="B443" t="s">
        <v>2669</v>
      </c>
      <c r="C443" t="s">
        <v>2671</v>
      </c>
      <c r="D443" t="s">
        <v>2715</v>
      </c>
      <c r="E443" t="s">
        <v>2716</v>
      </c>
      <c r="F443" t="s">
        <v>2723</v>
      </c>
      <c r="G443" t="s">
        <v>2722</v>
      </c>
    </row>
    <row r="444" spans="1:7" x14ac:dyDescent="0.3">
      <c r="A444" s="302">
        <v>46200.482615740744</v>
      </c>
      <c r="B444" t="s">
        <v>2669</v>
      </c>
      <c r="C444" t="s">
        <v>2671</v>
      </c>
      <c r="D444" t="s">
        <v>2715</v>
      </c>
      <c r="E444" t="s">
        <v>2716</v>
      </c>
      <c r="F444" t="s">
        <v>2725</v>
      </c>
      <c r="G444" t="s">
        <v>2724</v>
      </c>
    </row>
    <row r="445" spans="1:7" x14ac:dyDescent="0.3">
      <c r="A445" s="302">
        <v>46200.482615740744</v>
      </c>
      <c r="B445" t="s">
        <v>2669</v>
      </c>
      <c r="C445" t="s">
        <v>2671</v>
      </c>
      <c r="D445" t="s">
        <v>2715</v>
      </c>
      <c r="E445" t="s">
        <v>2716</v>
      </c>
      <c r="F445" t="s">
        <v>2727</v>
      </c>
      <c r="G445" t="s">
        <v>2726</v>
      </c>
    </row>
    <row r="446" spans="1:7" x14ac:dyDescent="0.3">
      <c r="A446" s="302">
        <v>46200.482615740744</v>
      </c>
      <c r="B446" t="s">
        <v>2669</v>
      </c>
      <c r="C446" t="s">
        <v>2671</v>
      </c>
      <c r="D446" t="s">
        <v>2715</v>
      </c>
      <c r="E446" t="s">
        <v>2716</v>
      </c>
      <c r="F446" t="s">
        <v>2729</v>
      </c>
      <c r="G446" t="s">
        <v>2728</v>
      </c>
    </row>
    <row r="447" spans="1:7" x14ac:dyDescent="0.3">
      <c r="A447" s="302">
        <v>46200.482615740744</v>
      </c>
      <c r="B447" t="s">
        <v>2669</v>
      </c>
      <c r="C447" t="s">
        <v>2671</v>
      </c>
      <c r="D447" t="s">
        <v>2715</v>
      </c>
      <c r="E447" t="s">
        <v>2716</v>
      </c>
      <c r="F447" t="s">
        <v>2731</v>
      </c>
      <c r="G447" t="s">
        <v>2730</v>
      </c>
    </row>
    <row r="448" spans="1:7" x14ac:dyDescent="0.3">
      <c r="A448" s="302">
        <v>46200.482615740744</v>
      </c>
      <c r="B448" t="s">
        <v>2669</v>
      </c>
      <c r="C448" t="s">
        <v>2671</v>
      </c>
      <c r="D448" t="s">
        <v>2715</v>
      </c>
      <c r="E448" t="s">
        <v>2716</v>
      </c>
      <c r="F448" t="s">
        <v>2733</v>
      </c>
      <c r="G448" t="s">
        <v>2732</v>
      </c>
    </row>
    <row r="449" spans="1:7" x14ac:dyDescent="0.3">
      <c r="A449" s="302">
        <v>46200.482615740744</v>
      </c>
      <c r="B449" t="s">
        <v>2669</v>
      </c>
      <c r="C449" t="s">
        <v>2671</v>
      </c>
      <c r="D449" t="s">
        <v>2715</v>
      </c>
      <c r="E449" t="s">
        <v>2716</v>
      </c>
      <c r="F449" t="s">
        <v>2735</v>
      </c>
      <c r="G449" t="s">
        <v>2734</v>
      </c>
    </row>
    <row r="450" spans="1:7" x14ac:dyDescent="0.3">
      <c r="A450" s="302">
        <v>46200.482615740744</v>
      </c>
      <c r="B450" t="s">
        <v>2669</v>
      </c>
      <c r="C450" t="s">
        <v>2671</v>
      </c>
      <c r="D450" t="s">
        <v>2715</v>
      </c>
      <c r="E450" t="s">
        <v>2716</v>
      </c>
      <c r="F450" t="s">
        <v>2737</v>
      </c>
      <c r="G450" t="s">
        <v>2736</v>
      </c>
    </row>
    <row r="451" spans="1:7" x14ac:dyDescent="0.3">
      <c r="A451" s="302">
        <v>46200.482615740744</v>
      </c>
      <c r="B451" t="s">
        <v>2669</v>
      </c>
      <c r="C451" t="s">
        <v>2671</v>
      </c>
      <c r="D451" t="s">
        <v>2715</v>
      </c>
      <c r="E451" t="s">
        <v>2716</v>
      </c>
      <c r="F451" t="s">
        <v>2739</v>
      </c>
      <c r="G451" t="s">
        <v>2738</v>
      </c>
    </row>
    <row r="452" spans="1:7" x14ac:dyDescent="0.3">
      <c r="A452" s="302">
        <v>46200.482615740744</v>
      </c>
      <c r="B452" t="s">
        <v>2669</v>
      </c>
      <c r="C452" t="s">
        <v>2671</v>
      </c>
      <c r="D452" t="s">
        <v>2715</v>
      </c>
      <c r="E452" t="s">
        <v>2716</v>
      </c>
      <c r="F452" t="s">
        <v>2741</v>
      </c>
      <c r="G452" t="s">
        <v>2740</v>
      </c>
    </row>
    <row r="453" spans="1:7" x14ac:dyDescent="0.3">
      <c r="A453" s="302">
        <v>46200.482615740744</v>
      </c>
      <c r="B453" t="s">
        <v>2669</v>
      </c>
      <c r="C453" t="s">
        <v>2671</v>
      </c>
      <c r="D453" t="s">
        <v>2715</v>
      </c>
      <c r="E453" t="s">
        <v>2716</v>
      </c>
      <c r="F453" t="s">
        <v>2743</v>
      </c>
      <c r="G453" t="s">
        <v>2742</v>
      </c>
    </row>
    <row r="454" spans="1:7" x14ac:dyDescent="0.3">
      <c r="A454" s="302">
        <v>46200.482615740744</v>
      </c>
      <c r="B454" t="s">
        <v>2669</v>
      </c>
      <c r="C454" t="s">
        <v>2671</v>
      </c>
      <c r="D454" t="s">
        <v>2715</v>
      </c>
      <c r="E454" t="s">
        <v>2716</v>
      </c>
      <c r="F454" t="s">
        <v>2745</v>
      </c>
      <c r="G454" t="s">
        <v>2744</v>
      </c>
    </row>
    <row r="455" spans="1:7" x14ac:dyDescent="0.3">
      <c r="A455" s="302">
        <v>46200.482615740744</v>
      </c>
      <c r="B455" t="s">
        <v>2669</v>
      </c>
      <c r="C455" t="s">
        <v>2671</v>
      </c>
      <c r="D455" t="s">
        <v>2715</v>
      </c>
      <c r="E455" t="s">
        <v>2716</v>
      </c>
      <c r="F455" t="s">
        <v>2747</v>
      </c>
      <c r="G455" t="s">
        <v>2746</v>
      </c>
    </row>
    <row r="456" spans="1:7" x14ac:dyDescent="0.3">
      <c r="A456" s="302">
        <v>46200.482615740744</v>
      </c>
      <c r="B456" t="s">
        <v>2669</v>
      </c>
      <c r="C456" t="s">
        <v>2671</v>
      </c>
      <c r="D456" t="s">
        <v>2715</v>
      </c>
      <c r="E456" t="s">
        <v>2716</v>
      </c>
      <c r="F456" t="s">
        <v>2749</v>
      </c>
      <c r="G456" t="s">
        <v>2748</v>
      </c>
    </row>
    <row r="457" spans="1:7" x14ac:dyDescent="0.3">
      <c r="A457" s="302">
        <v>46200.482615740744</v>
      </c>
      <c r="B457" t="s">
        <v>2669</v>
      </c>
      <c r="C457" t="s">
        <v>2671</v>
      </c>
      <c r="D457" t="s">
        <v>2715</v>
      </c>
      <c r="E457" t="s">
        <v>2716</v>
      </c>
      <c r="F457" t="s">
        <v>2751</v>
      </c>
      <c r="G457" t="s">
        <v>2750</v>
      </c>
    </row>
    <row r="458" spans="1:7" x14ac:dyDescent="0.3">
      <c r="A458" s="302">
        <v>46200.482627314814</v>
      </c>
      <c r="B458" t="s">
        <v>2669</v>
      </c>
      <c r="C458" t="s">
        <v>2671</v>
      </c>
      <c r="D458" t="s">
        <v>2715</v>
      </c>
      <c r="E458" t="s">
        <v>2716</v>
      </c>
      <c r="F458" t="s">
        <v>2753</v>
      </c>
      <c r="G458" t="s">
        <v>2752</v>
      </c>
    </row>
    <row r="459" spans="1:7" x14ac:dyDescent="0.3">
      <c r="A459" s="302">
        <v>46200.482627314814</v>
      </c>
      <c r="B459" t="s">
        <v>2669</v>
      </c>
      <c r="C459" t="s">
        <v>2671</v>
      </c>
      <c r="D459" t="s">
        <v>2715</v>
      </c>
      <c r="E459" t="s">
        <v>2716</v>
      </c>
      <c r="F459" t="s">
        <v>2755</v>
      </c>
      <c r="G459" t="s">
        <v>2754</v>
      </c>
    </row>
    <row r="460" spans="1:7" x14ac:dyDescent="0.3">
      <c r="A460" s="302">
        <v>46200.482627314814</v>
      </c>
      <c r="B460" t="s">
        <v>2669</v>
      </c>
      <c r="C460" t="s">
        <v>2671</v>
      </c>
      <c r="D460" t="s">
        <v>2715</v>
      </c>
      <c r="E460" t="s">
        <v>2716</v>
      </c>
      <c r="F460" t="s">
        <v>2967</v>
      </c>
      <c r="G460" t="s">
        <v>2756</v>
      </c>
    </row>
    <row r="461" spans="1:7" x14ac:dyDescent="0.3">
      <c r="A461" s="302">
        <v>46200.482627314814</v>
      </c>
      <c r="B461" t="s">
        <v>2669</v>
      </c>
      <c r="C461" t="s">
        <v>2671</v>
      </c>
      <c r="D461" t="s">
        <v>2715</v>
      </c>
      <c r="E461" t="s">
        <v>2716</v>
      </c>
      <c r="F461" t="s">
        <v>2757</v>
      </c>
      <c r="G461" t="s">
        <v>2758</v>
      </c>
    </row>
    <row r="462" spans="1:7" x14ac:dyDescent="0.3">
      <c r="A462" s="302">
        <v>46200.482627314814</v>
      </c>
      <c r="B462" t="s">
        <v>2669</v>
      </c>
      <c r="C462" t="s">
        <v>2671</v>
      </c>
      <c r="D462" t="s">
        <v>2715</v>
      </c>
      <c r="E462" t="s">
        <v>2716</v>
      </c>
      <c r="F462" t="s">
        <v>2759</v>
      </c>
      <c r="G462" t="s">
        <v>2968</v>
      </c>
    </row>
    <row r="463" spans="1:7" x14ac:dyDescent="0.3">
      <c r="A463" s="302">
        <v>46200.482627314814</v>
      </c>
      <c r="B463" t="s">
        <v>2669</v>
      </c>
      <c r="C463" t="s">
        <v>2671</v>
      </c>
      <c r="D463" t="s">
        <v>2715</v>
      </c>
      <c r="E463" t="s">
        <v>2716</v>
      </c>
      <c r="F463" t="s">
        <v>2761</v>
      </c>
      <c r="G463" t="s">
        <v>2760</v>
      </c>
    </row>
    <row r="464" spans="1:7" x14ac:dyDescent="0.3">
      <c r="A464" s="302">
        <v>46200.482627314814</v>
      </c>
      <c r="B464" t="s">
        <v>2669</v>
      </c>
      <c r="C464" t="s">
        <v>2671</v>
      </c>
      <c r="D464" t="s">
        <v>2715</v>
      </c>
      <c r="E464" t="s">
        <v>2716</v>
      </c>
      <c r="F464" t="s">
        <v>2763</v>
      </c>
      <c r="G464" t="s">
        <v>2762</v>
      </c>
    </row>
    <row r="465" spans="1:7" x14ac:dyDescent="0.3">
      <c r="A465" s="302">
        <v>46200.482627314814</v>
      </c>
      <c r="B465" t="s">
        <v>2669</v>
      </c>
      <c r="C465" t="s">
        <v>2671</v>
      </c>
      <c r="D465" t="s">
        <v>2715</v>
      </c>
      <c r="E465" t="s">
        <v>2716</v>
      </c>
      <c r="F465" t="s">
        <v>2765</v>
      </c>
      <c r="G465" t="s">
        <v>2764</v>
      </c>
    </row>
    <row r="466" spans="1:7" x14ac:dyDescent="0.3">
      <c r="A466" s="302">
        <v>46200.482627314814</v>
      </c>
      <c r="B466" t="s">
        <v>2669</v>
      </c>
      <c r="C466" t="s">
        <v>2671</v>
      </c>
      <c r="D466" t="s">
        <v>2715</v>
      </c>
      <c r="E466" t="s">
        <v>2716</v>
      </c>
      <c r="F466" t="s">
        <v>2767</v>
      </c>
      <c r="G466" t="s">
        <v>2766</v>
      </c>
    </row>
    <row r="467" spans="1:7" x14ac:dyDescent="0.3">
      <c r="A467" s="302">
        <v>46200.482627314814</v>
      </c>
      <c r="B467" t="s">
        <v>2669</v>
      </c>
      <c r="C467" t="s">
        <v>2671</v>
      </c>
      <c r="D467" t="s">
        <v>2715</v>
      </c>
      <c r="E467" t="s">
        <v>2716</v>
      </c>
      <c r="F467" t="s">
        <v>2769</v>
      </c>
      <c r="G467" t="s">
        <v>2768</v>
      </c>
    </row>
    <row r="468" spans="1:7" x14ac:dyDescent="0.3">
      <c r="A468" s="302">
        <v>46200.482627314814</v>
      </c>
      <c r="B468" t="s">
        <v>2669</v>
      </c>
      <c r="C468" t="s">
        <v>2671</v>
      </c>
      <c r="D468" t="s">
        <v>2715</v>
      </c>
      <c r="E468" t="s">
        <v>2716</v>
      </c>
      <c r="F468" t="s">
        <v>2771</v>
      </c>
      <c r="G468" t="s">
        <v>2770</v>
      </c>
    </row>
    <row r="469" spans="1:7" x14ac:dyDescent="0.3">
      <c r="A469" s="302">
        <v>46200.482627314814</v>
      </c>
      <c r="B469" t="s">
        <v>2669</v>
      </c>
      <c r="C469" t="s">
        <v>2671</v>
      </c>
      <c r="D469" t="s">
        <v>2715</v>
      </c>
      <c r="E469" t="s">
        <v>2716</v>
      </c>
      <c r="F469" t="s">
        <v>2773</v>
      </c>
      <c r="G469" t="s">
        <v>2772</v>
      </c>
    </row>
    <row r="470" spans="1:7" x14ac:dyDescent="0.3">
      <c r="A470" s="302">
        <v>46200.482627314814</v>
      </c>
      <c r="B470" t="s">
        <v>2669</v>
      </c>
      <c r="C470" t="s">
        <v>2671</v>
      </c>
      <c r="D470" t="s">
        <v>2715</v>
      </c>
      <c r="E470" t="s">
        <v>2716</v>
      </c>
      <c r="F470" t="s">
        <v>2775</v>
      </c>
      <c r="G470" t="s">
        <v>2774</v>
      </c>
    </row>
    <row r="471" spans="1:7" x14ac:dyDescent="0.3">
      <c r="A471" s="302">
        <v>46200.482627314814</v>
      </c>
      <c r="B471" t="s">
        <v>2669</v>
      </c>
      <c r="C471" t="s">
        <v>2671</v>
      </c>
      <c r="D471" t="s">
        <v>2715</v>
      </c>
      <c r="E471" t="s">
        <v>2716</v>
      </c>
      <c r="F471" t="s">
        <v>2792</v>
      </c>
      <c r="G471" t="s">
        <v>2776</v>
      </c>
    </row>
    <row r="472" spans="1:7" x14ac:dyDescent="0.3">
      <c r="A472" s="302">
        <v>46200.482627314814</v>
      </c>
      <c r="B472" t="s">
        <v>2669</v>
      </c>
      <c r="C472" t="s">
        <v>2671</v>
      </c>
      <c r="D472" t="s">
        <v>2715</v>
      </c>
      <c r="E472" t="s">
        <v>2716</v>
      </c>
      <c r="F472" t="s">
        <v>2779</v>
      </c>
      <c r="G472" t="s">
        <v>2778</v>
      </c>
    </row>
    <row r="473" spans="1:7" x14ac:dyDescent="0.3">
      <c r="A473" s="302">
        <v>46200.482627314814</v>
      </c>
      <c r="B473" t="s">
        <v>2669</v>
      </c>
      <c r="C473" t="s">
        <v>2671</v>
      </c>
      <c r="D473" t="s">
        <v>2715</v>
      </c>
      <c r="E473" t="s">
        <v>2716</v>
      </c>
      <c r="F473" t="s">
        <v>2781</v>
      </c>
      <c r="G473" t="s">
        <v>2780</v>
      </c>
    </row>
    <row r="474" spans="1:7" x14ac:dyDescent="0.3">
      <c r="A474" s="302">
        <v>46200.482627314814</v>
      </c>
      <c r="B474" t="s">
        <v>2669</v>
      </c>
      <c r="C474" t="s">
        <v>2671</v>
      </c>
      <c r="D474" t="s">
        <v>2715</v>
      </c>
      <c r="E474" t="s">
        <v>2716</v>
      </c>
      <c r="F474" t="s">
        <v>2796</v>
      </c>
      <c r="G474" t="s">
        <v>2782</v>
      </c>
    </row>
    <row r="475" spans="1:7" x14ac:dyDescent="0.3">
      <c r="A475" s="302">
        <v>46200.482627314814</v>
      </c>
      <c r="B475" t="s">
        <v>2669</v>
      </c>
      <c r="C475" t="s">
        <v>2671</v>
      </c>
      <c r="D475" t="s">
        <v>2715</v>
      </c>
      <c r="E475" t="s">
        <v>2716</v>
      </c>
      <c r="F475" t="s">
        <v>2969</v>
      </c>
      <c r="G475" t="s">
        <v>2784</v>
      </c>
    </row>
    <row r="476" spans="1:7" x14ac:dyDescent="0.3">
      <c r="A476" s="302">
        <v>46200.483576388891</v>
      </c>
      <c r="B476" t="s">
        <v>2669</v>
      </c>
      <c r="C476" t="s">
        <v>2671</v>
      </c>
      <c r="D476" t="s">
        <v>2715</v>
      </c>
      <c r="E476" t="s">
        <v>2919</v>
      </c>
      <c r="F476" t="s">
        <v>2970</v>
      </c>
      <c r="G476" t="s">
        <v>2971</v>
      </c>
    </row>
    <row r="477" spans="1:7" x14ac:dyDescent="0.3">
      <c r="A477" s="302">
        <v>46200.483576388891</v>
      </c>
      <c r="B477" t="s">
        <v>2669</v>
      </c>
      <c r="C477" t="s">
        <v>2671</v>
      </c>
      <c r="D477" t="s">
        <v>2715</v>
      </c>
      <c r="E477" t="s">
        <v>2919</v>
      </c>
      <c r="F477" t="s">
        <v>2972</v>
      </c>
      <c r="G477" t="s">
        <v>2929</v>
      </c>
    </row>
    <row r="478" spans="1:7" x14ac:dyDescent="0.3">
      <c r="A478" s="302">
        <v>46200.483576388891</v>
      </c>
      <c r="B478" t="s">
        <v>2669</v>
      </c>
      <c r="C478" t="s">
        <v>2671</v>
      </c>
      <c r="D478" t="s">
        <v>2715</v>
      </c>
      <c r="E478" t="s">
        <v>2919</v>
      </c>
      <c r="F478" t="s">
        <v>2973</v>
      </c>
      <c r="G478" t="s">
        <v>2929</v>
      </c>
    </row>
    <row r="479" spans="1:7" x14ac:dyDescent="0.3">
      <c r="A479" s="302">
        <v>46200.483576388891</v>
      </c>
      <c r="B479" t="s">
        <v>2669</v>
      </c>
      <c r="C479" t="s">
        <v>2671</v>
      </c>
      <c r="D479" t="s">
        <v>2715</v>
      </c>
      <c r="E479" t="s">
        <v>2919</v>
      </c>
      <c r="F479" t="s">
        <v>2974</v>
      </c>
      <c r="G479" t="s">
        <v>2931</v>
      </c>
    </row>
    <row r="480" spans="1:7" x14ac:dyDescent="0.3">
      <c r="A480" s="302">
        <v>46200.483576388891</v>
      </c>
      <c r="B480" t="s">
        <v>2669</v>
      </c>
      <c r="C480" t="s">
        <v>2671</v>
      </c>
      <c r="D480" t="s">
        <v>2715</v>
      </c>
      <c r="E480" t="s">
        <v>2919</v>
      </c>
      <c r="F480" t="s">
        <v>2975</v>
      </c>
      <c r="G480" t="s">
        <v>2758</v>
      </c>
    </row>
    <row r="481" spans="1:7" x14ac:dyDescent="0.3">
      <c r="A481" s="302">
        <v>46200.483576388891</v>
      </c>
      <c r="B481" t="s">
        <v>2669</v>
      </c>
      <c r="C481" t="s">
        <v>2671</v>
      </c>
      <c r="D481" t="s">
        <v>2715</v>
      </c>
      <c r="E481" t="s">
        <v>2919</v>
      </c>
      <c r="F481" t="s">
        <v>2976</v>
      </c>
      <c r="G481" t="s">
        <v>2968</v>
      </c>
    </row>
    <row r="482" spans="1:7" x14ac:dyDescent="0.3">
      <c r="A482" s="302">
        <v>46200.483576388891</v>
      </c>
      <c r="B482" t="s">
        <v>2669</v>
      </c>
      <c r="C482" t="s">
        <v>2671</v>
      </c>
      <c r="D482" t="s">
        <v>2715</v>
      </c>
      <c r="E482" t="s">
        <v>2919</v>
      </c>
      <c r="F482" t="s">
        <v>2977</v>
      </c>
      <c r="G482" t="s">
        <v>2978</v>
      </c>
    </row>
    <row r="483" spans="1:7" x14ac:dyDescent="0.3">
      <c r="A483" s="302">
        <v>46200.483576388891</v>
      </c>
      <c r="B483" t="s">
        <v>2669</v>
      </c>
      <c r="C483" t="s">
        <v>2671</v>
      </c>
      <c r="D483" t="s">
        <v>2715</v>
      </c>
      <c r="E483" t="s">
        <v>2919</v>
      </c>
      <c r="F483" t="s">
        <v>2979</v>
      </c>
      <c r="G483" t="s">
        <v>2762</v>
      </c>
    </row>
    <row r="484" spans="1:7" x14ac:dyDescent="0.3">
      <c r="A484" s="302">
        <v>46200.483576388891</v>
      </c>
      <c r="B484" t="s">
        <v>2669</v>
      </c>
      <c r="C484" t="s">
        <v>2671</v>
      </c>
      <c r="D484" t="s">
        <v>2715</v>
      </c>
      <c r="E484" t="s">
        <v>2919</v>
      </c>
      <c r="F484" t="s">
        <v>2980</v>
      </c>
      <c r="G484" t="s">
        <v>2764</v>
      </c>
    </row>
    <row r="485" spans="1:7" x14ac:dyDescent="0.3">
      <c r="A485" s="302">
        <v>46200.483576388891</v>
      </c>
      <c r="B485" t="s">
        <v>2669</v>
      </c>
      <c r="C485" t="s">
        <v>2671</v>
      </c>
      <c r="D485" t="s">
        <v>2715</v>
      </c>
      <c r="E485" t="s">
        <v>2919</v>
      </c>
      <c r="F485" t="s">
        <v>2981</v>
      </c>
      <c r="G485" t="s">
        <v>2942</v>
      </c>
    </row>
    <row r="486" spans="1:7" x14ac:dyDescent="0.3">
      <c r="A486" s="302">
        <v>46200.483576388891</v>
      </c>
      <c r="B486" t="s">
        <v>2669</v>
      </c>
      <c r="C486" t="s">
        <v>2671</v>
      </c>
      <c r="D486" t="s">
        <v>2715</v>
      </c>
      <c r="E486" t="s">
        <v>2919</v>
      </c>
      <c r="F486" t="s">
        <v>2982</v>
      </c>
      <c r="G486" t="s">
        <v>2768</v>
      </c>
    </row>
    <row r="487" spans="1:7" x14ac:dyDescent="0.3">
      <c r="A487" s="302">
        <v>46200.483576388891</v>
      </c>
      <c r="B487" t="s">
        <v>2669</v>
      </c>
      <c r="C487" t="s">
        <v>2671</v>
      </c>
      <c r="D487" t="s">
        <v>2715</v>
      </c>
      <c r="E487" t="s">
        <v>2919</v>
      </c>
      <c r="F487" t="s">
        <v>2983</v>
      </c>
      <c r="G487" t="s">
        <v>2770</v>
      </c>
    </row>
    <row r="488" spans="1:7" x14ac:dyDescent="0.3">
      <c r="A488" s="302">
        <v>46200.483576388891</v>
      </c>
      <c r="B488" t="s">
        <v>2669</v>
      </c>
      <c r="C488" t="s">
        <v>2671</v>
      </c>
      <c r="D488" t="s">
        <v>2715</v>
      </c>
      <c r="E488" t="s">
        <v>2919</v>
      </c>
      <c r="F488" t="s">
        <v>2984</v>
      </c>
      <c r="G488" t="s">
        <v>2760</v>
      </c>
    </row>
    <row r="489" spans="1:7" x14ac:dyDescent="0.3">
      <c r="A489" s="302">
        <v>46200.483576388891</v>
      </c>
      <c r="B489" t="s">
        <v>2669</v>
      </c>
      <c r="C489" t="s">
        <v>2671</v>
      </c>
      <c r="D489" t="s">
        <v>2715</v>
      </c>
      <c r="E489" t="s">
        <v>2919</v>
      </c>
      <c r="F489" t="s">
        <v>2985</v>
      </c>
      <c r="G489" t="s">
        <v>2776</v>
      </c>
    </row>
    <row r="490" spans="1:7" x14ac:dyDescent="0.3">
      <c r="A490" s="302">
        <v>46200.483576388891</v>
      </c>
      <c r="B490" t="s">
        <v>2669</v>
      </c>
      <c r="C490" t="s">
        <v>2671</v>
      </c>
      <c r="D490" t="s">
        <v>2715</v>
      </c>
      <c r="E490" t="s">
        <v>2919</v>
      </c>
      <c r="F490" t="s">
        <v>2986</v>
      </c>
      <c r="G490" t="s">
        <v>2774</v>
      </c>
    </row>
    <row r="491" spans="1:7" x14ac:dyDescent="0.3">
      <c r="A491" s="302">
        <v>46200.483576388891</v>
      </c>
      <c r="B491" t="s">
        <v>2669</v>
      </c>
      <c r="C491" t="s">
        <v>2671</v>
      </c>
      <c r="D491" t="s">
        <v>2715</v>
      </c>
      <c r="E491" t="s">
        <v>2919</v>
      </c>
      <c r="F491" t="s">
        <v>2987</v>
      </c>
      <c r="G491" t="s">
        <v>2766</v>
      </c>
    </row>
    <row r="492" spans="1:7" x14ac:dyDescent="0.3">
      <c r="A492" s="302">
        <v>46200.483576388891</v>
      </c>
      <c r="B492" t="s">
        <v>2669</v>
      </c>
      <c r="C492" t="s">
        <v>2671</v>
      </c>
      <c r="D492" t="s">
        <v>2715</v>
      </c>
      <c r="E492" t="s">
        <v>2919</v>
      </c>
      <c r="F492" t="s">
        <v>2988</v>
      </c>
      <c r="G492" t="s">
        <v>2780</v>
      </c>
    </row>
    <row r="493" spans="1:7" x14ac:dyDescent="0.3">
      <c r="A493" s="302">
        <v>46200.483576388891</v>
      </c>
      <c r="B493" t="s">
        <v>2669</v>
      </c>
      <c r="C493" t="s">
        <v>2671</v>
      </c>
      <c r="D493" t="s">
        <v>2715</v>
      </c>
      <c r="E493" t="s">
        <v>2919</v>
      </c>
      <c r="F493" t="s">
        <v>2989</v>
      </c>
      <c r="G493" t="s">
        <v>2784</v>
      </c>
    </row>
    <row r="494" spans="1:7" x14ac:dyDescent="0.3">
      <c r="A494" s="302">
        <v>46200.483576388891</v>
      </c>
      <c r="B494" t="s">
        <v>2669</v>
      </c>
      <c r="C494" t="s">
        <v>2671</v>
      </c>
      <c r="D494" t="s">
        <v>2715</v>
      </c>
      <c r="E494" t="s">
        <v>2919</v>
      </c>
      <c r="F494" t="s">
        <v>2990</v>
      </c>
      <c r="G494" t="s">
        <v>2784</v>
      </c>
    </row>
    <row r="495" spans="1:7" x14ac:dyDescent="0.3">
      <c r="A495" s="302">
        <v>46200.483576388891</v>
      </c>
      <c r="B495" t="s">
        <v>2669</v>
      </c>
      <c r="C495" t="s">
        <v>2671</v>
      </c>
      <c r="D495" t="s">
        <v>2715</v>
      </c>
      <c r="E495" t="s">
        <v>2919</v>
      </c>
      <c r="F495" t="s">
        <v>2991</v>
      </c>
      <c r="G495" t="s">
        <v>2957</v>
      </c>
    </row>
    <row r="496" spans="1:7" x14ac:dyDescent="0.3">
      <c r="A496" s="302">
        <v>46200.483576388891</v>
      </c>
      <c r="B496" t="s">
        <v>2669</v>
      </c>
      <c r="C496" t="s">
        <v>2671</v>
      </c>
      <c r="D496" t="s">
        <v>2715</v>
      </c>
      <c r="E496" t="s">
        <v>2919</v>
      </c>
      <c r="F496" t="s">
        <v>2992</v>
      </c>
      <c r="G496" t="s">
        <v>2993</v>
      </c>
    </row>
    <row r="497" spans="1:7" x14ac:dyDescent="0.3">
      <c r="A497" s="302">
        <v>46200.483576388891</v>
      </c>
      <c r="B497" t="s">
        <v>2669</v>
      </c>
      <c r="C497" t="s">
        <v>2671</v>
      </c>
      <c r="D497" t="s">
        <v>2960</v>
      </c>
      <c r="E497" t="s">
        <v>2961</v>
      </c>
      <c r="F497">
        <v>17524233</v>
      </c>
    </row>
    <row r="498" spans="1:7" x14ac:dyDescent="0.3">
      <c r="A498" s="302">
        <v>46200.547766203701</v>
      </c>
      <c r="B498" t="s">
        <v>2669</v>
      </c>
      <c r="C498" t="s">
        <v>2671</v>
      </c>
      <c r="D498" t="s">
        <v>2708</v>
      </c>
      <c r="E498" t="s">
        <v>2709</v>
      </c>
      <c r="F498" t="s">
        <v>2669</v>
      </c>
      <c r="G498" t="s">
        <v>2710</v>
      </c>
    </row>
    <row r="499" spans="1:7" x14ac:dyDescent="0.3">
      <c r="A499" s="302">
        <v>46200.548333333332</v>
      </c>
      <c r="B499" t="s">
        <v>2669</v>
      </c>
      <c r="C499" t="s">
        <v>2671</v>
      </c>
      <c r="D499" t="s">
        <v>2715</v>
      </c>
      <c r="E499" t="s">
        <v>2919</v>
      </c>
      <c r="F499" t="s">
        <v>2924</v>
      </c>
      <c r="G499" t="s">
        <v>2925</v>
      </c>
    </row>
    <row r="500" spans="1:7" x14ac:dyDescent="0.3">
      <c r="A500" s="302">
        <v>46200.548333333332</v>
      </c>
      <c r="B500" t="s">
        <v>2669</v>
      </c>
      <c r="C500" t="s">
        <v>2671</v>
      </c>
      <c r="D500" t="s">
        <v>2715</v>
      </c>
      <c r="E500" t="s">
        <v>2919</v>
      </c>
      <c r="F500" t="s">
        <v>2926</v>
      </c>
      <c r="G500" t="s">
        <v>2929</v>
      </c>
    </row>
    <row r="501" spans="1:7" x14ac:dyDescent="0.3">
      <c r="A501" s="302">
        <v>46200.548333333332</v>
      </c>
      <c r="B501" t="s">
        <v>2669</v>
      </c>
      <c r="C501" t="s">
        <v>2671</v>
      </c>
      <c r="D501" t="s">
        <v>2715</v>
      </c>
      <c r="E501" t="s">
        <v>2919</v>
      </c>
      <c r="F501" t="s">
        <v>2928</v>
      </c>
      <c r="G501" t="s">
        <v>2929</v>
      </c>
    </row>
    <row r="502" spans="1:7" x14ac:dyDescent="0.3">
      <c r="A502" s="302">
        <v>46200.548333333332</v>
      </c>
      <c r="B502" t="s">
        <v>2669</v>
      </c>
      <c r="C502" t="s">
        <v>2671</v>
      </c>
      <c r="D502" t="s">
        <v>2715</v>
      </c>
      <c r="E502" t="s">
        <v>2919</v>
      </c>
      <c r="F502" t="s">
        <v>2930</v>
      </c>
      <c r="G502" t="s">
        <v>2931</v>
      </c>
    </row>
    <row r="503" spans="1:7" x14ac:dyDescent="0.3">
      <c r="A503" s="302">
        <v>46200.548333333332</v>
      </c>
      <c r="B503" t="s">
        <v>2669</v>
      </c>
      <c r="C503" t="s">
        <v>2671</v>
      </c>
      <c r="D503" t="s">
        <v>2715</v>
      </c>
      <c r="E503" t="s">
        <v>2919</v>
      </c>
      <c r="F503" t="s">
        <v>2932</v>
      </c>
      <c r="G503" t="s">
        <v>2786</v>
      </c>
    </row>
    <row r="504" spans="1:7" x14ac:dyDescent="0.3">
      <c r="A504" s="302">
        <v>46200.548333333332</v>
      </c>
      <c r="B504" t="s">
        <v>2669</v>
      </c>
      <c r="C504" t="s">
        <v>2671</v>
      </c>
      <c r="D504" t="s">
        <v>2715</v>
      </c>
      <c r="E504" t="s">
        <v>2919</v>
      </c>
      <c r="F504" t="s">
        <v>2935</v>
      </c>
      <c r="G504" t="s">
        <v>2936</v>
      </c>
    </row>
    <row r="505" spans="1:7" x14ac:dyDescent="0.3">
      <c r="A505" s="302">
        <v>46200.548333333332</v>
      </c>
      <c r="B505" t="s">
        <v>2669</v>
      </c>
      <c r="C505" t="s">
        <v>2671</v>
      </c>
      <c r="D505" t="s">
        <v>2715</v>
      </c>
      <c r="E505" t="s">
        <v>2919</v>
      </c>
      <c r="F505" t="s">
        <v>2937</v>
      </c>
      <c r="G505" t="s">
        <v>2938</v>
      </c>
    </row>
    <row r="506" spans="1:7" x14ac:dyDescent="0.3">
      <c r="A506" s="302">
        <v>46200.548333333332</v>
      </c>
      <c r="B506" t="s">
        <v>2669</v>
      </c>
      <c r="C506" t="s">
        <v>2671</v>
      </c>
      <c r="D506" t="s">
        <v>2715</v>
      </c>
      <c r="E506" t="s">
        <v>2919</v>
      </c>
      <c r="F506" t="s">
        <v>2939</v>
      </c>
      <c r="G506" t="s">
        <v>2940</v>
      </c>
    </row>
    <row r="507" spans="1:7" x14ac:dyDescent="0.3">
      <c r="A507" s="302">
        <v>46200.548344907409</v>
      </c>
      <c r="B507" t="s">
        <v>2669</v>
      </c>
      <c r="C507" t="s">
        <v>2671</v>
      </c>
      <c r="D507" t="s">
        <v>2715</v>
      </c>
      <c r="E507" t="s">
        <v>2919</v>
      </c>
      <c r="F507" t="s">
        <v>2941</v>
      </c>
      <c r="G507" t="s">
        <v>2942</v>
      </c>
    </row>
    <row r="508" spans="1:7" x14ac:dyDescent="0.3">
      <c r="A508" s="302">
        <v>46200.548344907409</v>
      </c>
      <c r="B508" t="s">
        <v>2669</v>
      </c>
      <c r="C508" t="s">
        <v>2671</v>
      </c>
      <c r="D508" t="s">
        <v>2715</v>
      </c>
      <c r="E508" t="s">
        <v>2919</v>
      </c>
      <c r="F508" t="s">
        <v>2943</v>
      </c>
      <c r="G508" t="s">
        <v>2944</v>
      </c>
    </row>
    <row r="509" spans="1:7" x14ac:dyDescent="0.3">
      <c r="A509" s="302">
        <v>46200.548344907409</v>
      </c>
      <c r="B509" t="s">
        <v>2669</v>
      </c>
      <c r="C509" t="s">
        <v>2671</v>
      </c>
      <c r="D509" t="s">
        <v>2715</v>
      </c>
      <c r="E509" t="s">
        <v>2919</v>
      </c>
      <c r="F509" t="s">
        <v>2945</v>
      </c>
      <c r="G509" t="s">
        <v>2946</v>
      </c>
    </row>
    <row r="510" spans="1:7" x14ac:dyDescent="0.3">
      <c r="A510" s="302">
        <v>46200.548344907409</v>
      </c>
      <c r="B510" t="s">
        <v>2669</v>
      </c>
      <c r="C510" t="s">
        <v>2671</v>
      </c>
      <c r="D510" t="s">
        <v>2715</v>
      </c>
      <c r="E510" t="s">
        <v>2919</v>
      </c>
      <c r="F510" t="s">
        <v>2947</v>
      </c>
      <c r="G510" t="s">
        <v>2760</v>
      </c>
    </row>
    <row r="511" spans="1:7" x14ac:dyDescent="0.3">
      <c r="A511" s="302">
        <v>46200.548344907409</v>
      </c>
      <c r="B511" t="s">
        <v>2669</v>
      </c>
      <c r="C511" t="s">
        <v>2671</v>
      </c>
      <c r="D511" t="s">
        <v>2715</v>
      </c>
      <c r="E511" t="s">
        <v>2919</v>
      </c>
      <c r="F511" t="s">
        <v>2948</v>
      </c>
      <c r="G511" t="s">
        <v>2791</v>
      </c>
    </row>
    <row r="512" spans="1:7" x14ac:dyDescent="0.3">
      <c r="A512" s="302">
        <v>46200.548344907409</v>
      </c>
      <c r="B512" t="s">
        <v>2669</v>
      </c>
      <c r="C512" t="s">
        <v>2671</v>
      </c>
      <c r="D512" t="s">
        <v>2715</v>
      </c>
      <c r="E512" t="s">
        <v>2919</v>
      </c>
      <c r="F512" t="s">
        <v>2949</v>
      </c>
      <c r="G512" t="s">
        <v>2774</v>
      </c>
    </row>
    <row r="513" spans="1:7" x14ac:dyDescent="0.3">
      <c r="A513" s="302">
        <v>46200.548344907409</v>
      </c>
      <c r="B513" t="s">
        <v>2669</v>
      </c>
      <c r="C513" t="s">
        <v>2671</v>
      </c>
      <c r="D513" t="s">
        <v>2715</v>
      </c>
      <c r="E513" t="s">
        <v>2919</v>
      </c>
      <c r="F513" t="s">
        <v>2950</v>
      </c>
      <c r="G513" t="s">
        <v>2951</v>
      </c>
    </row>
    <row r="514" spans="1:7" x14ac:dyDescent="0.3">
      <c r="A514" s="302">
        <v>46200.548344907409</v>
      </c>
      <c r="B514" t="s">
        <v>2669</v>
      </c>
      <c r="C514" t="s">
        <v>2671</v>
      </c>
      <c r="D514" t="s">
        <v>2715</v>
      </c>
      <c r="E514" t="s">
        <v>2919</v>
      </c>
      <c r="F514" t="s">
        <v>2953</v>
      </c>
      <c r="G514" t="s">
        <v>2784</v>
      </c>
    </row>
    <row r="515" spans="1:7" x14ac:dyDescent="0.3">
      <c r="A515" s="302">
        <v>46200.548344907409</v>
      </c>
      <c r="B515" t="s">
        <v>2669</v>
      </c>
      <c r="C515" t="s">
        <v>2671</v>
      </c>
      <c r="D515" t="s">
        <v>2715</v>
      </c>
      <c r="E515" t="s">
        <v>2919</v>
      </c>
      <c r="F515" t="s">
        <v>2954</v>
      </c>
      <c r="G515" t="s">
        <v>2955</v>
      </c>
    </row>
    <row r="516" spans="1:7" x14ac:dyDescent="0.3">
      <c r="A516" s="302">
        <v>46200.548344907409</v>
      </c>
      <c r="B516" t="s">
        <v>2669</v>
      </c>
      <c r="C516" t="s">
        <v>2671</v>
      </c>
      <c r="D516" t="s">
        <v>2715</v>
      </c>
      <c r="E516" t="s">
        <v>2919</v>
      </c>
      <c r="F516" t="s">
        <v>2956</v>
      </c>
      <c r="G516" t="s">
        <v>2957</v>
      </c>
    </row>
    <row r="517" spans="1:7" x14ac:dyDescent="0.3">
      <c r="A517" s="302">
        <v>46200.548344907409</v>
      </c>
      <c r="B517" t="s">
        <v>2669</v>
      </c>
      <c r="C517" t="s">
        <v>2671</v>
      </c>
      <c r="D517" t="s">
        <v>2715</v>
      </c>
      <c r="E517" t="s">
        <v>2919</v>
      </c>
      <c r="F517" t="s">
        <v>2958</v>
      </c>
      <c r="G517" t="s">
        <v>2959</v>
      </c>
    </row>
    <row r="518" spans="1:7" x14ac:dyDescent="0.3">
      <c r="A518" s="302">
        <v>46200.548344907409</v>
      </c>
      <c r="B518" t="s">
        <v>2669</v>
      </c>
      <c r="C518" t="s">
        <v>2671</v>
      </c>
      <c r="D518" t="s">
        <v>2960</v>
      </c>
      <c r="E518" t="s">
        <v>2961</v>
      </c>
      <c r="F518">
        <v>17747878</v>
      </c>
    </row>
    <row r="519" spans="1:7" x14ac:dyDescent="0.3">
      <c r="A519" s="302">
        <v>46200.562222222223</v>
      </c>
      <c r="B519" t="s">
        <v>2669</v>
      </c>
      <c r="C519" t="s">
        <v>2671</v>
      </c>
      <c r="D519" t="s">
        <v>2708</v>
      </c>
      <c r="E519" t="s">
        <v>2709</v>
      </c>
      <c r="F519" t="s">
        <v>2669</v>
      </c>
      <c r="G519" t="s">
        <v>2710</v>
      </c>
    </row>
    <row r="520" spans="1:7" x14ac:dyDescent="0.3">
      <c r="A520" s="302">
        <v>46200.570092592592</v>
      </c>
      <c r="B520" t="s">
        <v>2669</v>
      </c>
      <c r="C520" t="s">
        <v>2671</v>
      </c>
      <c r="D520" t="s">
        <v>2708</v>
      </c>
      <c r="E520" t="s">
        <v>2709</v>
      </c>
      <c r="F520" t="s">
        <v>2669</v>
      </c>
      <c r="G520" t="s">
        <v>2710</v>
      </c>
    </row>
    <row r="521" spans="1:7" x14ac:dyDescent="0.3">
      <c r="A521" s="302">
        <v>46200.575856481482</v>
      </c>
      <c r="B521" t="s">
        <v>2669</v>
      </c>
      <c r="C521" t="s">
        <v>2671</v>
      </c>
      <c r="D521" t="s">
        <v>2708</v>
      </c>
      <c r="E521" t="s">
        <v>2709</v>
      </c>
      <c r="F521" t="s">
        <v>2669</v>
      </c>
      <c r="G521" t="s">
        <v>2710</v>
      </c>
    </row>
    <row r="522" spans="1:7" x14ac:dyDescent="0.3">
      <c r="A522" s="302">
        <v>46200.58016203704</v>
      </c>
      <c r="B522" t="s">
        <v>2669</v>
      </c>
      <c r="C522" t="s">
        <v>2671</v>
      </c>
      <c r="D522" t="s">
        <v>2708</v>
      </c>
      <c r="E522" t="s">
        <v>2709</v>
      </c>
      <c r="F522" t="s">
        <v>2669</v>
      </c>
      <c r="G522" t="s">
        <v>2710</v>
      </c>
    </row>
    <row r="523" spans="1:7" x14ac:dyDescent="0.3">
      <c r="A523" s="302">
        <v>46200.612800925926</v>
      </c>
      <c r="B523" t="s">
        <v>2915</v>
      </c>
      <c r="C523" t="s">
        <v>2689</v>
      </c>
      <c r="D523" t="s">
        <v>2708</v>
      </c>
      <c r="E523" t="s">
        <v>2709</v>
      </c>
      <c r="F523" t="s">
        <v>2915</v>
      </c>
      <c r="G523" t="s">
        <v>2710</v>
      </c>
    </row>
    <row r="524" spans="1:7" x14ac:dyDescent="0.3">
      <c r="A524" s="302">
        <v>46200.614386574074</v>
      </c>
      <c r="B524" t="s">
        <v>2915</v>
      </c>
      <c r="C524" t="s">
        <v>2689</v>
      </c>
      <c r="D524" t="s">
        <v>2715</v>
      </c>
      <c r="E524" t="s">
        <v>2919</v>
      </c>
      <c r="F524" t="s">
        <v>2924</v>
      </c>
      <c r="G524" t="s">
        <v>2925</v>
      </c>
    </row>
    <row r="525" spans="1:7" x14ac:dyDescent="0.3">
      <c r="A525" s="302">
        <v>46200.614398148151</v>
      </c>
      <c r="B525" t="s">
        <v>2915</v>
      </c>
      <c r="C525" t="s">
        <v>2689</v>
      </c>
      <c r="D525" t="s">
        <v>2715</v>
      </c>
      <c r="E525" t="s">
        <v>2919</v>
      </c>
      <c r="F525" t="s">
        <v>2926</v>
      </c>
      <c r="G525" t="s">
        <v>2929</v>
      </c>
    </row>
    <row r="526" spans="1:7" x14ac:dyDescent="0.3">
      <c r="A526" s="302">
        <v>46200.614398148151</v>
      </c>
      <c r="B526" t="s">
        <v>2915</v>
      </c>
      <c r="C526" t="s">
        <v>2689</v>
      </c>
      <c r="D526" t="s">
        <v>2715</v>
      </c>
      <c r="E526" t="s">
        <v>2919</v>
      </c>
      <c r="F526" t="s">
        <v>2928</v>
      </c>
      <c r="G526" t="s">
        <v>2929</v>
      </c>
    </row>
    <row r="527" spans="1:7" x14ac:dyDescent="0.3">
      <c r="A527" s="302">
        <v>46200.614398148151</v>
      </c>
      <c r="B527" t="s">
        <v>2915</v>
      </c>
      <c r="C527" t="s">
        <v>2689</v>
      </c>
      <c r="D527" t="s">
        <v>2715</v>
      </c>
      <c r="E527" t="s">
        <v>2919</v>
      </c>
      <c r="F527" t="s">
        <v>2930</v>
      </c>
      <c r="G527" t="s">
        <v>2931</v>
      </c>
    </row>
    <row r="528" spans="1:7" x14ac:dyDescent="0.3">
      <c r="A528" s="302">
        <v>46200.614398148151</v>
      </c>
      <c r="B528" t="s">
        <v>2915</v>
      </c>
      <c r="C528" t="s">
        <v>2689</v>
      </c>
      <c r="D528" t="s">
        <v>2715</v>
      </c>
      <c r="E528" t="s">
        <v>2919</v>
      </c>
      <c r="F528" t="s">
        <v>2932</v>
      </c>
      <c r="G528" t="s">
        <v>2786</v>
      </c>
    </row>
    <row r="529" spans="1:7" x14ac:dyDescent="0.3">
      <c r="A529" s="302">
        <v>46200.614398148151</v>
      </c>
      <c r="B529" t="s">
        <v>2915</v>
      </c>
      <c r="C529" t="s">
        <v>2689</v>
      </c>
      <c r="D529" t="s">
        <v>2715</v>
      </c>
      <c r="E529" t="s">
        <v>2919</v>
      </c>
      <c r="F529" t="s">
        <v>2933</v>
      </c>
      <c r="G529" t="s">
        <v>2934</v>
      </c>
    </row>
    <row r="530" spans="1:7" x14ac:dyDescent="0.3">
      <c r="A530" s="302">
        <v>46200.614398148151</v>
      </c>
      <c r="B530" t="s">
        <v>2915</v>
      </c>
      <c r="C530" t="s">
        <v>2689</v>
      </c>
      <c r="D530" t="s">
        <v>2715</v>
      </c>
      <c r="E530" t="s">
        <v>2919</v>
      </c>
      <c r="F530" t="s">
        <v>2935</v>
      </c>
      <c r="G530" t="s">
        <v>2936</v>
      </c>
    </row>
    <row r="531" spans="1:7" x14ac:dyDescent="0.3">
      <c r="A531" s="302">
        <v>46200.614398148151</v>
      </c>
      <c r="B531" t="s">
        <v>2915</v>
      </c>
      <c r="C531" t="s">
        <v>2689</v>
      </c>
      <c r="D531" t="s">
        <v>2715</v>
      </c>
      <c r="E531" t="s">
        <v>2919</v>
      </c>
      <c r="F531" t="s">
        <v>2937</v>
      </c>
      <c r="G531" t="s">
        <v>2938</v>
      </c>
    </row>
    <row r="532" spans="1:7" x14ac:dyDescent="0.3">
      <c r="A532" s="302">
        <v>46200.614398148151</v>
      </c>
      <c r="B532" t="s">
        <v>2915</v>
      </c>
      <c r="C532" t="s">
        <v>2689</v>
      </c>
      <c r="D532" t="s">
        <v>2715</v>
      </c>
      <c r="E532" t="s">
        <v>2919</v>
      </c>
      <c r="F532" t="s">
        <v>2939</v>
      </c>
      <c r="G532" t="s">
        <v>2940</v>
      </c>
    </row>
    <row r="533" spans="1:7" x14ac:dyDescent="0.3">
      <c r="A533" s="302">
        <v>46200.614398148151</v>
      </c>
      <c r="B533" t="s">
        <v>2915</v>
      </c>
      <c r="C533" t="s">
        <v>2689</v>
      </c>
      <c r="D533" t="s">
        <v>2715</v>
      </c>
      <c r="E533" t="s">
        <v>2919</v>
      </c>
      <c r="F533" t="s">
        <v>2941</v>
      </c>
      <c r="G533" t="s">
        <v>2942</v>
      </c>
    </row>
    <row r="534" spans="1:7" x14ac:dyDescent="0.3">
      <c r="A534" s="302">
        <v>46200.614398148151</v>
      </c>
      <c r="B534" t="s">
        <v>2915</v>
      </c>
      <c r="C534" t="s">
        <v>2689</v>
      </c>
      <c r="D534" t="s">
        <v>2715</v>
      </c>
      <c r="E534" t="s">
        <v>2919</v>
      </c>
      <c r="F534" t="s">
        <v>2943</v>
      </c>
      <c r="G534" t="s">
        <v>2944</v>
      </c>
    </row>
    <row r="535" spans="1:7" x14ac:dyDescent="0.3">
      <c r="A535" s="302">
        <v>46200.614398148151</v>
      </c>
      <c r="B535" t="s">
        <v>2915</v>
      </c>
      <c r="C535" t="s">
        <v>2689</v>
      </c>
      <c r="D535" t="s">
        <v>2715</v>
      </c>
      <c r="E535" t="s">
        <v>2919</v>
      </c>
      <c r="F535" t="s">
        <v>2945</v>
      </c>
      <c r="G535" t="s">
        <v>2946</v>
      </c>
    </row>
    <row r="536" spans="1:7" x14ac:dyDescent="0.3">
      <c r="A536" s="302">
        <v>46200.614398148151</v>
      </c>
      <c r="B536" t="s">
        <v>2915</v>
      </c>
      <c r="C536" t="s">
        <v>2689</v>
      </c>
      <c r="D536" t="s">
        <v>2715</v>
      </c>
      <c r="E536" t="s">
        <v>2919</v>
      </c>
      <c r="F536" t="s">
        <v>2947</v>
      </c>
      <c r="G536" t="s">
        <v>2760</v>
      </c>
    </row>
    <row r="537" spans="1:7" x14ac:dyDescent="0.3">
      <c r="A537" s="302">
        <v>46200.614398148151</v>
      </c>
      <c r="B537" t="s">
        <v>2915</v>
      </c>
      <c r="C537" t="s">
        <v>2689</v>
      </c>
      <c r="D537" t="s">
        <v>2715</v>
      </c>
      <c r="E537" t="s">
        <v>2919</v>
      </c>
      <c r="F537" t="s">
        <v>2948</v>
      </c>
      <c r="G537" t="s">
        <v>2791</v>
      </c>
    </row>
    <row r="538" spans="1:7" x14ac:dyDescent="0.3">
      <c r="A538" s="302">
        <v>46200.614398148151</v>
      </c>
      <c r="B538" t="s">
        <v>2915</v>
      </c>
      <c r="C538" t="s">
        <v>2689</v>
      </c>
      <c r="D538" t="s">
        <v>2715</v>
      </c>
      <c r="E538" t="s">
        <v>2919</v>
      </c>
      <c r="F538" t="s">
        <v>2949</v>
      </c>
      <c r="G538" t="s">
        <v>2774</v>
      </c>
    </row>
    <row r="539" spans="1:7" x14ac:dyDescent="0.3">
      <c r="A539" s="302">
        <v>46200.614398148151</v>
      </c>
      <c r="B539" t="s">
        <v>2915</v>
      </c>
      <c r="C539" t="s">
        <v>2689</v>
      </c>
      <c r="D539" t="s">
        <v>2715</v>
      </c>
      <c r="E539" t="s">
        <v>2919</v>
      </c>
      <c r="F539" t="s">
        <v>2950</v>
      </c>
      <c r="G539" t="s">
        <v>2994</v>
      </c>
    </row>
    <row r="540" spans="1:7" x14ac:dyDescent="0.3">
      <c r="A540" s="302">
        <v>46200.614398148151</v>
      </c>
      <c r="B540" t="s">
        <v>2915</v>
      </c>
      <c r="C540" t="s">
        <v>2689</v>
      </c>
      <c r="D540" t="s">
        <v>2715</v>
      </c>
      <c r="E540" t="s">
        <v>2919</v>
      </c>
      <c r="F540" t="s">
        <v>2953</v>
      </c>
      <c r="G540" t="s">
        <v>2784</v>
      </c>
    </row>
    <row r="541" spans="1:7" x14ac:dyDescent="0.3">
      <c r="A541" s="302">
        <v>46200.614398148151</v>
      </c>
      <c r="B541" t="s">
        <v>2915</v>
      </c>
      <c r="C541" t="s">
        <v>2689</v>
      </c>
      <c r="D541" t="s">
        <v>2715</v>
      </c>
      <c r="E541" t="s">
        <v>2919</v>
      </c>
      <c r="F541" t="s">
        <v>2954</v>
      </c>
      <c r="G541" t="s">
        <v>2955</v>
      </c>
    </row>
    <row r="542" spans="1:7" x14ac:dyDescent="0.3">
      <c r="A542" s="302">
        <v>46200.614398148151</v>
      </c>
      <c r="B542" t="s">
        <v>2915</v>
      </c>
      <c r="C542" t="s">
        <v>2689</v>
      </c>
      <c r="D542" t="s">
        <v>2715</v>
      </c>
      <c r="E542" t="s">
        <v>2919</v>
      </c>
      <c r="F542" t="s">
        <v>2956</v>
      </c>
      <c r="G542" t="s">
        <v>2957</v>
      </c>
    </row>
    <row r="543" spans="1:7" x14ac:dyDescent="0.3">
      <c r="A543" s="302">
        <v>46200.614398148151</v>
      </c>
      <c r="B543" t="s">
        <v>2915</v>
      </c>
      <c r="C543" t="s">
        <v>2689</v>
      </c>
      <c r="D543" t="s">
        <v>2715</v>
      </c>
      <c r="E543" t="s">
        <v>2919</v>
      </c>
      <c r="F543" t="s">
        <v>2958</v>
      </c>
      <c r="G543" t="s">
        <v>2959</v>
      </c>
    </row>
    <row r="544" spans="1:7" x14ac:dyDescent="0.3">
      <c r="A544" s="302">
        <v>46200.614398148151</v>
      </c>
      <c r="B544" t="s">
        <v>2915</v>
      </c>
      <c r="C544" t="s">
        <v>2689</v>
      </c>
      <c r="D544" t="s">
        <v>2960</v>
      </c>
      <c r="E544" t="s">
        <v>2961</v>
      </c>
      <c r="F544">
        <v>17747878</v>
      </c>
    </row>
    <row r="545" spans="1:7" x14ac:dyDescent="0.3">
      <c r="A545" s="302">
        <v>46200.619305555556</v>
      </c>
      <c r="B545" t="s">
        <v>2915</v>
      </c>
      <c r="C545" t="s">
        <v>2689</v>
      </c>
      <c r="D545" t="s">
        <v>2715</v>
      </c>
      <c r="E545" t="s">
        <v>2919</v>
      </c>
      <c r="F545" t="s">
        <v>2995</v>
      </c>
      <c r="G545" t="s">
        <v>2784</v>
      </c>
    </row>
    <row r="546" spans="1:7" x14ac:dyDescent="0.3">
      <c r="A546" s="302">
        <v>46200.619305555556</v>
      </c>
      <c r="B546" t="s">
        <v>2915</v>
      </c>
      <c r="C546" t="s">
        <v>2689</v>
      </c>
      <c r="D546" t="s">
        <v>2715</v>
      </c>
      <c r="E546" t="s">
        <v>2919</v>
      </c>
      <c r="F546" t="s">
        <v>2996</v>
      </c>
      <c r="G546" t="s">
        <v>2784</v>
      </c>
    </row>
    <row r="547" spans="1:7" x14ac:dyDescent="0.3">
      <c r="A547" s="302">
        <v>46200.619305555556</v>
      </c>
      <c r="B547" t="s">
        <v>2915</v>
      </c>
      <c r="C547" t="s">
        <v>2689</v>
      </c>
      <c r="D547" t="s">
        <v>2715</v>
      </c>
      <c r="E547" t="s">
        <v>2919</v>
      </c>
      <c r="F547" t="s">
        <v>2997</v>
      </c>
      <c r="G547" t="s">
        <v>2784</v>
      </c>
    </row>
    <row r="548" spans="1:7" x14ac:dyDescent="0.3">
      <c r="A548" s="302">
        <v>46200.619305555556</v>
      </c>
      <c r="B548" t="s">
        <v>2915</v>
      </c>
      <c r="C548" t="s">
        <v>2689</v>
      </c>
      <c r="D548" t="s">
        <v>2715</v>
      </c>
      <c r="E548" t="s">
        <v>2919</v>
      </c>
      <c r="F548" t="s">
        <v>2998</v>
      </c>
      <c r="G548" t="s">
        <v>2999</v>
      </c>
    </row>
    <row r="549" spans="1:7" x14ac:dyDescent="0.3">
      <c r="A549" s="302">
        <v>46200.619305555556</v>
      </c>
      <c r="B549" t="s">
        <v>2915</v>
      </c>
      <c r="C549" t="s">
        <v>2689</v>
      </c>
      <c r="D549" t="s">
        <v>2715</v>
      </c>
      <c r="E549" t="s">
        <v>2919</v>
      </c>
      <c r="F549" t="s">
        <v>3000</v>
      </c>
      <c r="G549" t="s">
        <v>2929</v>
      </c>
    </row>
    <row r="550" spans="1:7" x14ac:dyDescent="0.3">
      <c r="A550" s="302">
        <v>46200.619305555556</v>
      </c>
      <c r="B550" t="s">
        <v>2915</v>
      </c>
      <c r="C550" t="s">
        <v>2689</v>
      </c>
      <c r="D550" t="s">
        <v>2715</v>
      </c>
      <c r="E550" t="s">
        <v>2919</v>
      </c>
      <c r="F550" t="s">
        <v>3001</v>
      </c>
      <c r="G550" t="s">
        <v>2929</v>
      </c>
    </row>
    <row r="551" spans="1:7" x14ac:dyDescent="0.3">
      <c r="A551" s="302">
        <v>46200.619305555556</v>
      </c>
      <c r="B551" t="s">
        <v>2915</v>
      </c>
      <c r="C551" t="s">
        <v>2689</v>
      </c>
      <c r="D551" t="s">
        <v>2715</v>
      </c>
      <c r="E551" t="s">
        <v>2919</v>
      </c>
      <c r="F551" t="s">
        <v>3002</v>
      </c>
      <c r="G551" t="s">
        <v>2931</v>
      </c>
    </row>
    <row r="552" spans="1:7" x14ac:dyDescent="0.3">
      <c r="A552" s="302">
        <v>46200.619305555556</v>
      </c>
      <c r="B552" t="s">
        <v>2915</v>
      </c>
      <c r="C552" t="s">
        <v>2689</v>
      </c>
      <c r="D552" t="s">
        <v>2715</v>
      </c>
      <c r="E552" t="s">
        <v>2919</v>
      </c>
      <c r="F552" t="s">
        <v>3003</v>
      </c>
      <c r="G552" t="s">
        <v>2822</v>
      </c>
    </row>
    <row r="553" spans="1:7" x14ac:dyDescent="0.3">
      <c r="A553" s="302">
        <v>46200.619305555556</v>
      </c>
      <c r="B553" t="s">
        <v>2915</v>
      </c>
      <c r="C553" t="s">
        <v>2689</v>
      </c>
      <c r="D553" t="s">
        <v>2715</v>
      </c>
      <c r="E553" t="s">
        <v>2919</v>
      </c>
      <c r="F553" t="s">
        <v>3004</v>
      </c>
      <c r="G553" t="s">
        <v>3005</v>
      </c>
    </row>
    <row r="554" spans="1:7" x14ac:dyDescent="0.3">
      <c r="A554" s="302">
        <v>46200.619305555556</v>
      </c>
      <c r="B554" t="s">
        <v>2915</v>
      </c>
      <c r="C554" t="s">
        <v>2689</v>
      </c>
      <c r="D554" t="s">
        <v>2715</v>
      </c>
      <c r="E554" t="s">
        <v>2919</v>
      </c>
      <c r="F554" t="s">
        <v>3006</v>
      </c>
      <c r="G554" t="s">
        <v>2825</v>
      </c>
    </row>
    <row r="555" spans="1:7" x14ac:dyDescent="0.3">
      <c r="A555" s="302">
        <v>46200.619305555556</v>
      </c>
      <c r="B555" t="s">
        <v>2915</v>
      </c>
      <c r="C555" t="s">
        <v>2689</v>
      </c>
      <c r="D555" t="s">
        <v>2715</v>
      </c>
      <c r="E555" t="s">
        <v>2919</v>
      </c>
      <c r="F555" t="s">
        <v>3007</v>
      </c>
      <c r="G555" t="s">
        <v>3008</v>
      </c>
    </row>
    <row r="556" spans="1:7" x14ac:dyDescent="0.3">
      <c r="A556" s="302">
        <v>46200.619305555556</v>
      </c>
      <c r="B556" t="s">
        <v>2915</v>
      </c>
      <c r="C556" t="s">
        <v>2689</v>
      </c>
      <c r="D556" t="s">
        <v>2715</v>
      </c>
      <c r="E556" t="s">
        <v>2919</v>
      </c>
      <c r="F556" t="s">
        <v>3009</v>
      </c>
      <c r="G556" t="s">
        <v>2942</v>
      </c>
    </row>
    <row r="557" spans="1:7" x14ac:dyDescent="0.3">
      <c r="A557" s="302">
        <v>46200.619305555556</v>
      </c>
      <c r="B557" t="s">
        <v>2915</v>
      </c>
      <c r="C557" t="s">
        <v>2689</v>
      </c>
      <c r="D557" t="s">
        <v>2715</v>
      </c>
      <c r="E557" t="s">
        <v>2919</v>
      </c>
      <c r="F557" t="s">
        <v>3010</v>
      </c>
      <c r="G557" t="s">
        <v>3011</v>
      </c>
    </row>
    <row r="558" spans="1:7" x14ac:dyDescent="0.3">
      <c r="A558" s="302">
        <v>46200.619305555556</v>
      </c>
      <c r="B558" t="s">
        <v>2915</v>
      </c>
      <c r="C558" t="s">
        <v>2689</v>
      </c>
      <c r="D558" t="s">
        <v>2715</v>
      </c>
      <c r="E558" t="s">
        <v>2919</v>
      </c>
      <c r="F558" t="s">
        <v>3012</v>
      </c>
      <c r="G558" t="s">
        <v>3013</v>
      </c>
    </row>
    <row r="559" spans="1:7" x14ac:dyDescent="0.3">
      <c r="A559" s="302">
        <v>46200.619305555556</v>
      </c>
      <c r="B559" t="s">
        <v>2915</v>
      </c>
      <c r="C559" t="s">
        <v>2689</v>
      </c>
      <c r="D559" t="s">
        <v>2715</v>
      </c>
      <c r="E559" t="s">
        <v>2919</v>
      </c>
      <c r="F559" t="s">
        <v>3014</v>
      </c>
      <c r="G559" t="s">
        <v>2760</v>
      </c>
    </row>
    <row r="560" spans="1:7" x14ac:dyDescent="0.3">
      <c r="A560" s="302">
        <v>46200.619305555556</v>
      </c>
      <c r="B560" t="s">
        <v>2915</v>
      </c>
      <c r="C560" t="s">
        <v>2689</v>
      </c>
      <c r="D560" t="s">
        <v>2715</v>
      </c>
      <c r="E560" t="s">
        <v>2919</v>
      </c>
      <c r="F560" t="s">
        <v>3015</v>
      </c>
      <c r="G560" t="s">
        <v>2791</v>
      </c>
    </row>
    <row r="561" spans="1:7" x14ac:dyDescent="0.3">
      <c r="A561" s="302">
        <v>46200.619305555556</v>
      </c>
      <c r="B561" t="s">
        <v>2915</v>
      </c>
      <c r="C561" t="s">
        <v>2689</v>
      </c>
      <c r="D561" t="s">
        <v>2715</v>
      </c>
      <c r="E561" t="s">
        <v>2919</v>
      </c>
      <c r="F561" t="s">
        <v>3016</v>
      </c>
      <c r="G561" t="s">
        <v>2760</v>
      </c>
    </row>
    <row r="562" spans="1:7" x14ac:dyDescent="0.3">
      <c r="A562" s="302">
        <v>46200.619305555556</v>
      </c>
      <c r="B562" t="s">
        <v>2915</v>
      </c>
      <c r="C562" t="s">
        <v>2689</v>
      </c>
      <c r="D562" t="s">
        <v>2715</v>
      </c>
      <c r="E562" t="s">
        <v>2919</v>
      </c>
      <c r="F562" t="s">
        <v>3017</v>
      </c>
      <c r="G562" t="s">
        <v>2774</v>
      </c>
    </row>
    <row r="563" spans="1:7" x14ac:dyDescent="0.3">
      <c r="A563" s="302">
        <v>46200.619305555556</v>
      </c>
      <c r="B563" t="s">
        <v>2915</v>
      </c>
      <c r="C563" t="s">
        <v>2689</v>
      </c>
      <c r="D563" t="s">
        <v>2715</v>
      </c>
      <c r="E563" t="s">
        <v>2919</v>
      </c>
      <c r="F563" t="s">
        <v>3019</v>
      </c>
      <c r="G563" t="s">
        <v>3020</v>
      </c>
    </row>
    <row r="564" spans="1:7" x14ac:dyDescent="0.3">
      <c r="A564" s="302">
        <v>46200.619305555556</v>
      </c>
      <c r="B564" t="s">
        <v>2915</v>
      </c>
      <c r="C564" t="s">
        <v>2689</v>
      </c>
      <c r="D564" t="s">
        <v>2715</v>
      </c>
      <c r="E564" t="s">
        <v>2919</v>
      </c>
      <c r="F564" t="s">
        <v>3021</v>
      </c>
      <c r="G564" t="s">
        <v>2776</v>
      </c>
    </row>
    <row r="565" spans="1:7" x14ac:dyDescent="0.3">
      <c r="A565" s="302">
        <v>46200.619305555556</v>
      </c>
      <c r="B565" t="s">
        <v>2915</v>
      </c>
      <c r="C565" t="s">
        <v>2689</v>
      </c>
      <c r="D565" t="s">
        <v>2715</v>
      </c>
      <c r="E565" t="s">
        <v>2919</v>
      </c>
      <c r="F565" t="s">
        <v>3022</v>
      </c>
      <c r="G565" t="s">
        <v>2784</v>
      </c>
    </row>
    <row r="566" spans="1:7" x14ac:dyDescent="0.3">
      <c r="A566" s="302">
        <v>46200.619305555556</v>
      </c>
      <c r="B566" t="s">
        <v>2915</v>
      </c>
      <c r="C566" t="s">
        <v>2689</v>
      </c>
      <c r="D566" t="s">
        <v>2715</v>
      </c>
      <c r="E566" t="s">
        <v>2919</v>
      </c>
      <c r="F566" t="s">
        <v>3023</v>
      </c>
      <c r="G566" t="s">
        <v>2784</v>
      </c>
    </row>
    <row r="567" spans="1:7" x14ac:dyDescent="0.3">
      <c r="A567" s="302">
        <v>46200.619305555556</v>
      </c>
      <c r="B567" t="s">
        <v>2915</v>
      </c>
      <c r="C567" t="s">
        <v>2689</v>
      </c>
      <c r="D567" t="s">
        <v>2715</v>
      </c>
      <c r="E567" t="s">
        <v>2919</v>
      </c>
      <c r="F567" t="s">
        <v>3024</v>
      </c>
      <c r="G567" t="s">
        <v>3025</v>
      </c>
    </row>
    <row r="568" spans="1:7" x14ac:dyDescent="0.3">
      <c r="A568" s="302">
        <v>46200.619317129633</v>
      </c>
      <c r="B568" t="s">
        <v>2915</v>
      </c>
      <c r="C568" t="s">
        <v>2689</v>
      </c>
      <c r="D568" t="s">
        <v>2715</v>
      </c>
      <c r="E568" t="s">
        <v>2919</v>
      </c>
      <c r="F568" t="s">
        <v>3026</v>
      </c>
      <c r="G568" t="s">
        <v>3027</v>
      </c>
    </row>
    <row r="569" spans="1:7" x14ac:dyDescent="0.3">
      <c r="A569" s="302">
        <v>46200.619317129633</v>
      </c>
      <c r="B569" t="s">
        <v>2915</v>
      </c>
      <c r="C569" t="s">
        <v>2689</v>
      </c>
      <c r="D569" t="s">
        <v>2715</v>
      </c>
      <c r="E569" t="s">
        <v>2919</v>
      </c>
      <c r="F569" t="s">
        <v>3028</v>
      </c>
      <c r="G569" t="s">
        <v>2957</v>
      </c>
    </row>
    <row r="570" spans="1:7" x14ac:dyDescent="0.3">
      <c r="A570" s="302">
        <v>46200.619317129633</v>
      </c>
      <c r="B570" t="s">
        <v>2915</v>
      </c>
      <c r="C570" t="s">
        <v>2689</v>
      </c>
      <c r="D570" t="s">
        <v>2715</v>
      </c>
      <c r="E570" t="s">
        <v>2919</v>
      </c>
      <c r="F570" t="s">
        <v>3029</v>
      </c>
      <c r="G570" t="s">
        <v>3030</v>
      </c>
    </row>
    <row r="571" spans="1:7" x14ac:dyDescent="0.3">
      <c r="A571" s="302">
        <v>46200.619317129633</v>
      </c>
      <c r="B571" t="s">
        <v>2915</v>
      </c>
      <c r="C571" t="s">
        <v>2689</v>
      </c>
      <c r="D571" t="s">
        <v>2715</v>
      </c>
      <c r="E571" t="s">
        <v>2919</v>
      </c>
      <c r="F571" t="s">
        <v>2995</v>
      </c>
      <c r="G571" t="s">
        <v>2795</v>
      </c>
    </row>
    <row r="572" spans="1:7" x14ac:dyDescent="0.3">
      <c r="A572" s="302">
        <v>46200.619317129633</v>
      </c>
      <c r="B572" t="s">
        <v>2915</v>
      </c>
      <c r="C572" t="s">
        <v>2689</v>
      </c>
      <c r="D572" t="s">
        <v>2715</v>
      </c>
      <c r="E572" t="s">
        <v>2919</v>
      </c>
      <c r="F572" t="s">
        <v>2996</v>
      </c>
      <c r="G572" t="s">
        <v>2784</v>
      </c>
    </row>
    <row r="573" spans="1:7" x14ac:dyDescent="0.3">
      <c r="A573" s="302">
        <v>46200.619317129633</v>
      </c>
      <c r="B573" t="s">
        <v>2915</v>
      </c>
      <c r="C573" t="s">
        <v>2689</v>
      </c>
      <c r="D573" t="s">
        <v>2715</v>
      </c>
      <c r="E573" t="s">
        <v>2919</v>
      </c>
      <c r="F573" t="s">
        <v>2997</v>
      </c>
      <c r="G573" t="s">
        <v>3031</v>
      </c>
    </row>
    <row r="574" spans="1:7" x14ac:dyDescent="0.3">
      <c r="A574" s="302">
        <v>46200.619317129633</v>
      </c>
      <c r="B574" t="s">
        <v>2915</v>
      </c>
      <c r="C574" t="s">
        <v>2689</v>
      </c>
      <c r="D574" t="s">
        <v>3032</v>
      </c>
      <c r="E574" t="s">
        <v>2961</v>
      </c>
      <c r="F574">
        <v>17753919</v>
      </c>
      <c r="G574" t="s">
        <v>3033</v>
      </c>
    </row>
    <row r="575" spans="1:7" x14ac:dyDescent="0.3">
      <c r="A575" s="302">
        <v>46200.619988425926</v>
      </c>
      <c r="B575" t="s">
        <v>2915</v>
      </c>
      <c r="C575" t="s">
        <v>2689</v>
      </c>
      <c r="D575" t="s">
        <v>2962</v>
      </c>
      <c r="E575" t="s">
        <v>2961</v>
      </c>
      <c r="F575">
        <v>17753919</v>
      </c>
      <c r="G575" t="s">
        <v>3034</v>
      </c>
    </row>
    <row r="576" spans="1:7" x14ac:dyDescent="0.3">
      <c r="A576" s="302">
        <v>46200.620023148149</v>
      </c>
      <c r="B576" t="s">
        <v>2915</v>
      </c>
      <c r="C576" t="s">
        <v>2689</v>
      </c>
      <c r="D576" t="s">
        <v>2715</v>
      </c>
      <c r="E576" t="s">
        <v>2919</v>
      </c>
      <c r="F576" t="s">
        <v>2998</v>
      </c>
      <c r="G576" t="s">
        <v>2999</v>
      </c>
    </row>
    <row r="577" spans="1:7" x14ac:dyDescent="0.3">
      <c r="A577" s="302">
        <v>46200.620023148149</v>
      </c>
      <c r="B577" t="s">
        <v>2915</v>
      </c>
      <c r="C577" t="s">
        <v>2689</v>
      </c>
      <c r="D577" t="s">
        <v>2715</v>
      </c>
      <c r="E577" t="s">
        <v>2919</v>
      </c>
      <c r="F577" t="s">
        <v>3000</v>
      </c>
      <c r="G577" t="s">
        <v>2929</v>
      </c>
    </row>
    <row r="578" spans="1:7" x14ac:dyDescent="0.3">
      <c r="A578" s="302">
        <v>46200.620023148149</v>
      </c>
      <c r="B578" t="s">
        <v>2915</v>
      </c>
      <c r="C578" t="s">
        <v>2689</v>
      </c>
      <c r="D578" t="s">
        <v>2715</v>
      </c>
      <c r="E578" t="s">
        <v>2919</v>
      </c>
      <c r="F578" t="s">
        <v>3001</v>
      </c>
      <c r="G578" t="s">
        <v>2929</v>
      </c>
    </row>
    <row r="579" spans="1:7" x14ac:dyDescent="0.3">
      <c r="A579" s="302">
        <v>46200.620023148149</v>
      </c>
      <c r="B579" t="s">
        <v>2915</v>
      </c>
      <c r="C579" t="s">
        <v>2689</v>
      </c>
      <c r="D579" t="s">
        <v>2715</v>
      </c>
      <c r="E579" t="s">
        <v>2919</v>
      </c>
      <c r="F579" t="s">
        <v>3002</v>
      </c>
      <c r="G579" t="s">
        <v>2931</v>
      </c>
    </row>
    <row r="580" spans="1:7" x14ac:dyDescent="0.3">
      <c r="A580" s="302">
        <v>46200.620023148149</v>
      </c>
      <c r="B580" t="s">
        <v>2915</v>
      </c>
      <c r="C580" t="s">
        <v>2689</v>
      </c>
      <c r="D580" t="s">
        <v>2715</v>
      </c>
      <c r="E580" t="s">
        <v>2919</v>
      </c>
      <c r="F580" t="s">
        <v>3003</v>
      </c>
      <c r="G580" t="s">
        <v>2822</v>
      </c>
    </row>
    <row r="581" spans="1:7" x14ac:dyDescent="0.3">
      <c r="A581" s="302">
        <v>46200.620023148149</v>
      </c>
      <c r="B581" t="s">
        <v>2915</v>
      </c>
      <c r="C581" t="s">
        <v>2689</v>
      </c>
      <c r="D581" t="s">
        <v>2715</v>
      </c>
      <c r="E581" t="s">
        <v>2919</v>
      </c>
      <c r="F581" t="s">
        <v>3004</v>
      </c>
      <c r="G581" t="s">
        <v>3005</v>
      </c>
    </row>
    <row r="582" spans="1:7" x14ac:dyDescent="0.3">
      <c r="A582" s="302">
        <v>46200.620034722226</v>
      </c>
      <c r="B582" t="s">
        <v>2915</v>
      </c>
      <c r="C582" t="s">
        <v>2689</v>
      </c>
      <c r="D582" t="s">
        <v>2715</v>
      </c>
      <c r="E582" t="s">
        <v>2919</v>
      </c>
      <c r="F582" t="s">
        <v>3006</v>
      </c>
      <c r="G582" t="s">
        <v>2825</v>
      </c>
    </row>
    <row r="583" spans="1:7" x14ac:dyDescent="0.3">
      <c r="A583" s="302">
        <v>46200.620034722226</v>
      </c>
      <c r="B583" t="s">
        <v>2915</v>
      </c>
      <c r="C583" t="s">
        <v>2689</v>
      </c>
      <c r="D583" t="s">
        <v>2715</v>
      </c>
      <c r="E583" t="s">
        <v>2919</v>
      </c>
      <c r="F583" t="s">
        <v>3007</v>
      </c>
      <c r="G583" t="s">
        <v>3008</v>
      </c>
    </row>
    <row r="584" spans="1:7" x14ac:dyDescent="0.3">
      <c r="A584" s="302">
        <v>46200.620034722226</v>
      </c>
      <c r="B584" t="s">
        <v>2915</v>
      </c>
      <c r="C584" t="s">
        <v>2689</v>
      </c>
      <c r="D584" t="s">
        <v>2715</v>
      </c>
      <c r="E584" t="s">
        <v>2919</v>
      </c>
      <c r="F584" t="s">
        <v>3009</v>
      </c>
      <c r="G584" t="s">
        <v>2942</v>
      </c>
    </row>
    <row r="585" spans="1:7" x14ac:dyDescent="0.3">
      <c r="A585" s="302">
        <v>46200.620034722226</v>
      </c>
      <c r="B585" t="s">
        <v>2915</v>
      </c>
      <c r="C585" t="s">
        <v>2689</v>
      </c>
      <c r="D585" t="s">
        <v>2715</v>
      </c>
      <c r="E585" t="s">
        <v>2919</v>
      </c>
      <c r="F585" t="s">
        <v>3010</v>
      </c>
      <c r="G585" t="s">
        <v>3011</v>
      </c>
    </row>
    <row r="586" spans="1:7" x14ac:dyDescent="0.3">
      <c r="A586" s="302">
        <v>46200.620034722226</v>
      </c>
      <c r="B586" t="s">
        <v>2915</v>
      </c>
      <c r="C586" t="s">
        <v>2689</v>
      </c>
      <c r="D586" t="s">
        <v>2715</v>
      </c>
      <c r="E586" t="s">
        <v>2919</v>
      </c>
      <c r="F586" t="s">
        <v>3012</v>
      </c>
      <c r="G586" t="s">
        <v>3013</v>
      </c>
    </row>
    <row r="587" spans="1:7" x14ac:dyDescent="0.3">
      <c r="A587" s="302">
        <v>46200.620034722226</v>
      </c>
      <c r="B587" t="s">
        <v>2915</v>
      </c>
      <c r="C587" t="s">
        <v>2689</v>
      </c>
      <c r="D587" t="s">
        <v>2715</v>
      </c>
      <c r="E587" t="s">
        <v>2919</v>
      </c>
      <c r="F587" t="s">
        <v>3014</v>
      </c>
      <c r="G587" t="s">
        <v>2760</v>
      </c>
    </row>
    <row r="588" spans="1:7" x14ac:dyDescent="0.3">
      <c r="A588" s="302">
        <v>46200.620034722226</v>
      </c>
      <c r="B588" t="s">
        <v>2915</v>
      </c>
      <c r="C588" t="s">
        <v>2689</v>
      </c>
      <c r="D588" t="s">
        <v>2715</v>
      </c>
      <c r="E588" t="s">
        <v>2919</v>
      </c>
      <c r="F588" t="s">
        <v>3015</v>
      </c>
      <c r="G588" t="s">
        <v>2791</v>
      </c>
    </row>
    <row r="589" spans="1:7" x14ac:dyDescent="0.3">
      <c r="A589" s="302">
        <v>46200.620034722226</v>
      </c>
      <c r="B589" t="s">
        <v>2915</v>
      </c>
      <c r="C589" t="s">
        <v>2689</v>
      </c>
      <c r="D589" t="s">
        <v>2715</v>
      </c>
      <c r="E589" t="s">
        <v>2919</v>
      </c>
      <c r="F589" t="s">
        <v>3016</v>
      </c>
      <c r="G589" t="s">
        <v>2760</v>
      </c>
    </row>
    <row r="590" spans="1:7" x14ac:dyDescent="0.3">
      <c r="A590" s="302">
        <v>46200.620034722226</v>
      </c>
      <c r="B590" t="s">
        <v>2915</v>
      </c>
      <c r="C590" t="s">
        <v>2689</v>
      </c>
      <c r="D590" t="s">
        <v>2715</v>
      </c>
      <c r="E590" t="s">
        <v>2919</v>
      </c>
      <c r="F590" t="s">
        <v>3017</v>
      </c>
      <c r="G590" t="s">
        <v>2774</v>
      </c>
    </row>
    <row r="591" spans="1:7" x14ac:dyDescent="0.3">
      <c r="A591" s="302">
        <v>46200.620034722226</v>
      </c>
      <c r="B591" t="s">
        <v>2915</v>
      </c>
      <c r="C591" t="s">
        <v>2689</v>
      </c>
      <c r="D591" t="s">
        <v>2715</v>
      </c>
      <c r="E591" t="s">
        <v>2919</v>
      </c>
      <c r="F591" t="s">
        <v>3019</v>
      </c>
      <c r="G591" t="s">
        <v>3020</v>
      </c>
    </row>
    <row r="592" spans="1:7" x14ac:dyDescent="0.3">
      <c r="A592" s="302">
        <v>46200.620034722226</v>
      </c>
      <c r="B592" t="s">
        <v>2915</v>
      </c>
      <c r="C592" t="s">
        <v>2689</v>
      </c>
      <c r="D592" t="s">
        <v>2715</v>
      </c>
      <c r="E592" t="s">
        <v>2919</v>
      </c>
      <c r="F592" t="s">
        <v>3021</v>
      </c>
      <c r="G592" t="s">
        <v>2776</v>
      </c>
    </row>
    <row r="593" spans="1:7" x14ac:dyDescent="0.3">
      <c r="A593" s="302">
        <v>46200.620034722226</v>
      </c>
      <c r="B593" t="s">
        <v>2915</v>
      </c>
      <c r="C593" t="s">
        <v>2689</v>
      </c>
      <c r="D593" t="s">
        <v>2715</v>
      </c>
      <c r="E593" t="s">
        <v>2919</v>
      </c>
      <c r="F593" t="s">
        <v>3023</v>
      </c>
      <c r="G593" t="s">
        <v>2784</v>
      </c>
    </row>
    <row r="594" spans="1:7" x14ac:dyDescent="0.3">
      <c r="A594" s="302">
        <v>46200.620034722226</v>
      </c>
      <c r="B594" t="s">
        <v>2915</v>
      </c>
      <c r="C594" t="s">
        <v>2689</v>
      </c>
      <c r="D594" t="s">
        <v>2715</v>
      </c>
      <c r="E594" t="s">
        <v>2919</v>
      </c>
      <c r="F594" t="s">
        <v>3026</v>
      </c>
      <c r="G594" t="s">
        <v>3027</v>
      </c>
    </row>
    <row r="595" spans="1:7" x14ac:dyDescent="0.3">
      <c r="A595" s="302">
        <v>46200.620034722226</v>
      </c>
      <c r="B595" t="s">
        <v>2915</v>
      </c>
      <c r="C595" t="s">
        <v>2689</v>
      </c>
      <c r="D595" t="s">
        <v>2715</v>
      </c>
      <c r="E595" t="s">
        <v>2919</v>
      </c>
      <c r="F595" t="s">
        <v>3028</v>
      </c>
      <c r="G595" t="s">
        <v>2957</v>
      </c>
    </row>
    <row r="596" spans="1:7" x14ac:dyDescent="0.3">
      <c r="A596" s="302">
        <v>46200.620034722226</v>
      </c>
      <c r="B596" t="s">
        <v>2915</v>
      </c>
      <c r="C596" t="s">
        <v>2689</v>
      </c>
      <c r="D596" t="s">
        <v>2715</v>
      </c>
      <c r="E596" t="s">
        <v>2919</v>
      </c>
      <c r="F596" t="s">
        <v>3029</v>
      </c>
      <c r="G596" t="s">
        <v>3030</v>
      </c>
    </row>
    <row r="597" spans="1:7" x14ac:dyDescent="0.3">
      <c r="A597" s="302">
        <v>46200.620034722226</v>
      </c>
      <c r="B597" t="s">
        <v>2915</v>
      </c>
      <c r="C597" t="s">
        <v>2689</v>
      </c>
      <c r="D597" t="s">
        <v>2960</v>
      </c>
      <c r="E597" t="s">
        <v>2961</v>
      </c>
      <c r="F597">
        <v>17753919</v>
      </c>
    </row>
    <row r="598" spans="1:7" x14ac:dyDescent="0.3">
      <c r="A598" s="302">
        <v>46200.622418981482</v>
      </c>
      <c r="B598" t="s">
        <v>2915</v>
      </c>
      <c r="C598" t="s">
        <v>2689</v>
      </c>
      <c r="D598" t="s">
        <v>2715</v>
      </c>
      <c r="E598" t="s">
        <v>2919</v>
      </c>
      <c r="F598" t="s">
        <v>3035</v>
      </c>
      <c r="G598" t="s">
        <v>2784</v>
      </c>
    </row>
    <row r="599" spans="1:7" x14ac:dyDescent="0.3">
      <c r="A599" s="302">
        <v>46200.622418981482</v>
      </c>
      <c r="B599" t="s">
        <v>2915</v>
      </c>
      <c r="C599" t="s">
        <v>2689</v>
      </c>
      <c r="D599" t="s">
        <v>2715</v>
      </c>
      <c r="E599" t="s">
        <v>2919</v>
      </c>
      <c r="F599" t="s">
        <v>3036</v>
      </c>
      <c r="G599" t="s">
        <v>2784</v>
      </c>
    </row>
    <row r="600" spans="1:7" x14ac:dyDescent="0.3">
      <c r="A600" s="302">
        <v>46200.622418981482</v>
      </c>
      <c r="B600" t="s">
        <v>2915</v>
      </c>
      <c r="C600" t="s">
        <v>2689</v>
      </c>
      <c r="D600" t="s">
        <v>2715</v>
      </c>
      <c r="E600" t="s">
        <v>2919</v>
      </c>
      <c r="F600" t="s">
        <v>3037</v>
      </c>
      <c r="G600" t="s">
        <v>2784</v>
      </c>
    </row>
    <row r="601" spans="1:7" x14ac:dyDescent="0.3">
      <c r="A601" s="302">
        <v>46200.622418981482</v>
      </c>
      <c r="B601" t="s">
        <v>2915</v>
      </c>
      <c r="C601" t="s">
        <v>2689</v>
      </c>
      <c r="D601" t="s">
        <v>2715</v>
      </c>
      <c r="E601" t="s">
        <v>2919</v>
      </c>
      <c r="F601" t="s">
        <v>3038</v>
      </c>
      <c r="G601" t="s">
        <v>3039</v>
      </c>
    </row>
    <row r="602" spans="1:7" x14ac:dyDescent="0.3">
      <c r="A602" s="302">
        <v>46200.622418981482</v>
      </c>
      <c r="B602" t="s">
        <v>2915</v>
      </c>
      <c r="C602" t="s">
        <v>2689</v>
      </c>
      <c r="D602" t="s">
        <v>2715</v>
      </c>
      <c r="E602" t="s">
        <v>2919</v>
      </c>
      <c r="F602" t="s">
        <v>3040</v>
      </c>
      <c r="G602" t="s">
        <v>2929</v>
      </c>
    </row>
    <row r="603" spans="1:7" x14ac:dyDescent="0.3">
      <c r="A603" s="302">
        <v>46200.622418981482</v>
      </c>
      <c r="B603" t="s">
        <v>2915</v>
      </c>
      <c r="C603" t="s">
        <v>2689</v>
      </c>
      <c r="D603" t="s">
        <v>2715</v>
      </c>
      <c r="E603" t="s">
        <v>2919</v>
      </c>
      <c r="F603" t="s">
        <v>3041</v>
      </c>
      <c r="G603" t="s">
        <v>2929</v>
      </c>
    </row>
    <row r="604" spans="1:7" x14ac:dyDescent="0.3">
      <c r="A604" s="302">
        <v>46200.622418981482</v>
      </c>
      <c r="B604" t="s">
        <v>2915</v>
      </c>
      <c r="C604" t="s">
        <v>2689</v>
      </c>
      <c r="D604" t="s">
        <v>2715</v>
      </c>
      <c r="E604" t="s">
        <v>2919</v>
      </c>
      <c r="F604" t="s">
        <v>3042</v>
      </c>
      <c r="G604" t="s">
        <v>2931</v>
      </c>
    </row>
    <row r="605" spans="1:7" x14ac:dyDescent="0.3">
      <c r="A605" s="302">
        <v>46200.622418981482</v>
      </c>
      <c r="B605" t="s">
        <v>2915</v>
      </c>
      <c r="C605" t="s">
        <v>2689</v>
      </c>
      <c r="D605" t="s">
        <v>2715</v>
      </c>
      <c r="E605" t="s">
        <v>2919</v>
      </c>
      <c r="F605" t="s">
        <v>3043</v>
      </c>
      <c r="G605" t="s">
        <v>2822</v>
      </c>
    </row>
    <row r="606" spans="1:7" x14ac:dyDescent="0.3">
      <c r="A606" s="302">
        <v>46200.622418981482</v>
      </c>
      <c r="B606" t="s">
        <v>2915</v>
      </c>
      <c r="C606" t="s">
        <v>2689</v>
      </c>
      <c r="D606" t="s">
        <v>2715</v>
      </c>
      <c r="E606" t="s">
        <v>2919</v>
      </c>
      <c r="F606" t="s">
        <v>3044</v>
      </c>
      <c r="G606" t="s">
        <v>3045</v>
      </c>
    </row>
    <row r="607" spans="1:7" x14ac:dyDescent="0.3">
      <c r="A607" s="302">
        <v>46200.622430555559</v>
      </c>
      <c r="B607" t="s">
        <v>2915</v>
      </c>
      <c r="C607" t="s">
        <v>2689</v>
      </c>
      <c r="D607" t="s">
        <v>2715</v>
      </c>
      <c r="E607" t="s">
        <v>2919</v>
      </c>
      <c r="F607" t="s">
        <v>3046</v>
      </c>
      <c r="G607" t="s">
        <v>2978</v>
      </c>
    </row>
    <row r="608" spans="1:7" x14ac:dyDescent="0.3">
      <c r="A608" s="302">
        <v>46200.622430555559</v>
      </c>
      <c r="B608" t="s">
        <v>2915</v>
      </c>
      <c r="C608" t="s">
        <v>2689</v>
      </c>
      <c r="D608" t="s">
        <v>2715</v>
      </c>
      <c r="E608" t="s">
        <v>2919</v>
      </c>
      <c r="F608" t="s">
        <v>3047</v>
      </c>
      <c r="G608" t="s">
        <v>3048</v>
      </c>
    </row>
    <row r="609" spans="1:7" x14ac:dyDescent="0.3">
      <c r="A609" s="302">
        <v>46200.622430555559</v>
      </c>
      <c r="B609" t="s">
        <v>2915</v>
      </c>
      <c r="C609" t="s">
        <v>2689</v>
      </c>
      <c r="D609" t="s">
        <v>2715</v>
      </c>
      <c r="E609" t="s">
        <v>2919</v>
      </c>
      <c r="F609" t="s">
        <v>3049</v>
      </c>
      <c r="G609" t="s">
        <v>3050</v>
      </c>
    </row>
    <row r="610" spans="1:7" x14ac:dyDescent="0.3">
      <c r="A610" s="302">
        <v>46200.622430555559</v>
      </c>
      <c r="B610" t="s">
        <v>2915</v>
      </c>
      <c r="C610" t="s">
        <v>2689</v>
      </c>
      <c r="D610" t="s">
        <v>2715</v>
      </c>
      <c r="E610" t="s">
        <v>2919</v>
      </c>
      <c r="F610" t="s">
        <v>3051</v>
      </c>
      <c r="G610" t="s">
        <v>3052</v>
      </c>
    </row>
    <row r="611" spans="1:7" x14ac:dyDescent="0.3">
      <c r="A611" s="302">
        <v>46200.622430555559</v>
      </c>
      <c r="B611" t="s">
        <v>2915</v>
      </c>
      <c r="C611" t="s">
        <v>2689</v>
      </c>
      <c r="D611" t="s">
        <v>2715</v>
      </c>
      <c r="E611" t="s">
        <v>2919</v>
      </c>
      <c r="F611" t="s">
        <v>3053</v>
      </c>
      <c r="G611" t="s">
        <v>3054</v>
      </c>
    </row>
    <row r="612" spans="1:7" x14ac:dyDescent="0.3">
      <c r="A612" s="302">
        <v>46200.622430555559</v>
      </c>
      <c r="B612" t="s">
        <v>2915</v>
      </c>
      <c r="C612" t="s">
        <v>2689</v>
      </c>
      <c r="D612" t="s">
        <v>2715</v>
      </c>
      <c r="E612" t="s">
        <v>2919</v>
      </c>
      <c r="F612" t="s">
        <v>3055</v>
      </c>
      <c r="G612" t="s">
        <v>3056</v>
      </c>
    </row>
    <row r="613" spans="1:7" x14ac:dyDescent="0.3">
      <c r="A613" s="302">
        <v>46200.622430555559</v>
      </c>
      <c r="B613" t="s">
        <v>2915</v>
      </c>
      <c r="C613" t="s">
        <v>2689</v>
      </c>
      <c r="D613" t="s">
        <v>2715</v>
      </c>
      <c r="E613" t="s">
        <v>2919</v>
      </c>
      <c r="F613" t="s">
        <v>3057</v>
      </c>
      <c r="G613" t="s">
        <v>2760</v>
      </c>
    </row>
    <row r="614" spans="1:7" x14ac:dyDescent="0.3">
      <c r="A614" s="302">
        <v>46200.622430555559</v>
      </c>
      <c r="B614" t="s">
        <v>2915</v>
      </c>
      <c r="C614" t="s">
        <v>2689</v>
      </c>
      <c r="D614" t="s">
        <v>2715</v>
      </c>
      <c r="E614" t="s">
        <v>2919</v>
      </c>
      <c r="F614" t="s">
        <v>3058</v>
      </c>
      <c r="G614" t="s">
        <v>2776</v>
      </c>
    </row>
    <row r="615" spans="1:7" x14ac:dyDescent="0.3">
      <c r="A615" s="302">
        <v>46200.622430555559</v>
      </c>
      <c r="B615" t="s">
        <v>2915</v>
      </c>
      <c r="C615" t="s">
        <v>2689</v>
      </c>
      <c r="D615" t="s">
        <v>2715</v>
      </c>
      <c r="E615" t="s">
        <v>2919</v>
      </c>
      <c r="F615" t="s">
        <v>3059</v>
      </c>
      <c r="G615" t="s">
        <v>2774</v>
      </c>
    </row>
    <row r="616" spans="1:7" x14ac:dyDescent="0.3">
      <c r="A616" s="302">
        <v>46200.622430555559</v>
      </c>
      <c r="B616" t="s">
        <v>2915</v>
      </c>
      <c r="C616" t="s">
        <v>2689</v>
      </c>
      <c r="D616" t="s">
        <v>2715</v>
      </c>
      <c r="E616" t="s">
        <v>2919</v>
      </c>
      <c r="F616" t="s">
        <v>3061</v>
      </c>
      <c r="G616" t="s">
        <v>3062</v>
      </c>
    </row>
    <row r="617" spans="1:7" x14ac:dyDescent="0.3">
      <c r="A617" s="302">
        <v>46200.622430555559</v>
      </c>
      <c r="B617" t="s">
        <v>2915</v>
      </c>
      <c r="C617" t="s">
        <v>2689</v>
      </c>
      <c r="D617" t="s">
        <v>2715</v>
      </c>
      <c r="E617" t="s">
        <v>2919</v>
      </c>
      <c r="F617" t="s">
        <v>3063</v>
      </c>
      <c r="G617" t="s">
        <v>2784</v>
      </c>
    </row>
    <row r="618" spans="1:7" x14ac:dyDescent="0.3">
      <c r="A618" s="302">
        <v>46200.622430555559</v>
      </c>
      <c r="B618" t="s">
        <v>2915</v>
      </c>
      <c r="C618" t="s">
        <v>2689</v>
      </c>
      <c r="D618" t="s">
        <v>2715</v>
      </c>
      <c r="E618" t="s">
        <v>2919</v>
      </c>
      <c r="F618" t="s">
        <v>3064</v>
      </c>
      <c r="G618" t="s">
        <v>2784</v>
      </c>
    </row>
    <row r="619" spans="1:7" x14ac:dyDescent="0.3">
      <c r="A619" s="302">
        <v>46200.622430555559</v>
      </c>
      <c r="B619" t="s">
        <v>2915</v>
      </c>
      <c r="C619" t="s">
        <v>2689</v>
      </c>
      <c r="D619" t="s">
        <v>2715</v>
      </c>
      <c r="E619" t="s">
        <v>2919</v>
      </c>
      <c r="F619" t="s">
        <v>3065</v>
      </c>
      <c r="G619" t="s">
        <v>3066</v>
      </c>
    </row>
    <row r="620" spans="1:7" x14ac:dyDescent="0.3">
      <c r="A620" s="302">
        <v>46200.622442129628</v>
      </c>
      <c r="B620" t="s">
        <v>2915</v>
      </c>
      <c r="C620" t="s">
        <v>2689</v>
      </c>
      <c r="D620" t="s">
        <v>2715</v>
      </c>
      <c r="E620" t="s">
        <v>2919</v>
      </c>
      <c r="F620" t="s">
        <v>3067</v>
      </c>
      <c r="G620" t="s">
        <v>3068</v>
      </c>
    </row>
    <row r="621" spans="1:7" x14ac:dyDescent="0.3">
      <c r="A621" s="302">
        <v>46200.622442129628</v>
      </c>
      <c r="B621" t="s">
        <v>2915</v>
      </c>
      <c r="C621" t="s">
        <v>2689</v>
      </c>
      <c r="D621" t="s">
        <v>2715</v>
      </c>
      <c r="E621" t="s">
        <v>2919</v>
      </c>
      <c r="F621" t="s">
        <v>3069</v>
      </c>
      <c r="G621" t="s">
        <v>2957</v>
      </c>
    </row>
    <row r="622" spans="1:7" x14ac:dyDescent="0.3">
      <c r="A622" s="302">
        <v>46200.622442129628</v>
      </c>
      <c r="B622" t="s">
        <v>2915</v>
      </c>
      <c r="C622" t="s">
        <v>2689</v>
      </c>
      <c r="D622" t="s">
        <v>2715</v>
      </c>
      <c r="E622" t="s">
        <v>2919</v>
      </c>
      <c r="F622" t="s">
        <v>3070</v>
      </c>
      <c r="G622" t="s">
        <v>3071</v>
      </c>
    </row>
    <row r="623" spans="1:7" x14ac:dyDescent="0.3">
      <c r="A623" s="302">
        <v>46200.622442129628</v>
      </c>
      <c r="B623" t="s">
        <v>2915</v>
      </c>
      <c r="C623" t="s">
        <v>2689</v>
      </c>
      <c r="D623" t="s">
        <v>2715</v>
      </c>
      <c r="E623" t="s">
        <v>2919</v>
      </c>
      <c r="F623" t="s">
        <v>3035</v>
      </c>
      <c r="G623" t="s">
        <v>2838</v>
      </c>
    </row>
    <row r="624" spans="1:7" x14ac:dyDescent="0.3">
      <c r="A624" s="302">
        <v>46200.622442129628</v>
      </c>
      <c r="B624" t="s">
        <v>2915</v>
      </c>
      <c r="C624" t="s">
        <v>2689</v>
      </c>
      <c r="D624" t="s">
        <v>2715</v>
      </c>
      <c r="E624" t="s">
        <v>2919</v>
      </c>
      <c r="F624" t="s">
        <v>3036</v>
      </c>
      <c r="G624" t="s">
        <v>2784</v>
      </c>
    </row>
    <row r="625" spans="1:7" x14ac:dyDescent="0.3">
      <c r="A625" s="302">
        <v>46200.622442129628</v>
      </c>
      <c r="B625" t="s">
        <v>2915</v>
      </c>
      <c r="C625" t="s">
        <v>2689</v>
      </c>
      <c r="D625" t="s">
        <v>2715</v>
      </c>
      <c r="E625" t="s">
        <v>2919</v>
      </c>
      <c r="F625" t="s">
        <v>3037</v>
      </c>
      <c r="G625" t="s">
        <v>3072</v>
      </c>
    </row>
    <row r="626" spans="1:7" x14ac:dyDescent="0.3">
      <c r="A626" s="302">
        <v>46200.622442129628</v>
      </c>
      <c r="B626" t="s">
        <v>2915</v>
      </c>
      <c r="C626" t="s">
        <v>2689</v>
      </c>
      <c r="D626" t="s">
        <v>3032</v>
      </c>
      <c r="E626" t="s">
        <v>2961</v>
      </c>
      <c r="F626">
        <v>17756401</v>
      </c>
      <c r="G626" t="s">
        <v>3073</v>
      </c>
    </row>
    <row r="627" spans="1:7" x14ac:dyDescent="0.3">
      <c r="A627" s="302">
        <v>46200.622604166667</v>
      </c>
      <c r="B627" t="s">
        <v>2915</v>
      </c>
      <c r="C627" t="s">
        <v>2689</v>
      </c>
      <c r="D627" t="s">
        <v>2962</v>
      </c>
      <c r="E627" t="s">
        <v>2961</v>
      </c>
      <c r="F627">
        <v>17756401</v>
      </c>
      <c r="G627" t="s">
        <v>3034</v>
      </c>
    </row>
    <row r="628" spans="1:7" x14ac:dyDescent="0.3">
      <c r="A628" s="302">
        <v>46200.622627314813</v>
      </c>
      <c r="B628" t="s">
        <v>2915</v>
      </c>
      <c r="C628" t="s">
        <v>2689</v>
      </c>
      <c r="D628" t="s">
        <v>2715</v>
      </c>
      <c r="E628" t="s">
        <v>2919</v>
      </c>
      <c r="F628" t="s">
        <v>3038</v>
      </c>
      <c r="G628" t="s">
        <v>3039</v>
      </c>
    </row>
    <row r="629" spans="1:7" x14ac:dyDescent="0.3">
      <c r="A629" s="302">
        <v>46200.622627314813</v>
      </c>
      <c r="B629" t="s">
        <v>2915</v>
      </c>
      <c r="C629" t="s">
        <v>2689</v>
      </c>
      <c r="D629" t="s">
        <v>2715</v>
      </c>
      <c r="E629" t="s">
        <v>2919</v>
      </c>
      <c r="F629" t="s">
        <v>3040</v>
      </c>
      <c r="G629" t="s">
        <v>2929</v>
      </c>
    </row>
    <row r="630" spans="1:7" x14ac:dyDescent="0.3">
      <c r="A630" s="302">
        <v>46200.622627314813</v>
      </c>
      <c r="B630" t="s">
        <v>2915</v>
      </c>
      <c r="C630" t="s">
        <v>2689</v>
      </c>
      <c r="D630" t="s">
        <v>2715</v>
      </c>
      <c r="E630" t="s">
        <v>2919</v>
      </c>
      <c r="F630" t="s">
        <v>3041</v>
      </c>
      <c r="G630" t="s">
        <v>2929</v>
      </c>
    </row>
    <row r="631" spans="1:7" x14ac:dyDescent="0.3">
      <c r="A631" s="302">
        <v>46200.622627314813</v>
      </c>
      <c r="B631" t="s">
        <v>2915</v>
      </c>
      <c r="C631" t="s">
        <v>2689</v>
      </c>
      <c r="D631" t="s">
        <v>2715</v>
      </c>
      <c r="E631" t="s">
        <v>2919</v>
      </c>
      <c r="F631" t="s">
        <v>3042</v>
      </c>
      <c r="G631" t="s">
        <v>2931</v>
      </c>
    </row>
    <row r="632" spans="1:7" x14ac:dyDescent="0.3">
      <c r="A632" s="302">
        <v>46200.62263888889</v>
      </c>
      <c r="B632" t="s">
        <v>2915</v>
      </c>
      <c r="C632" t="s">
        <v>2689</v>
      </c>
      <c r="D632" t="s">
        <v>2715</v>
      </c>
      <c r="E632" t="s">
        <v>2919</v>
      </c>
      <c r="F632" t="s">
        <v>3043</v>
      </c>
      <c r="G632" t="s">
        <v>2822</v>
      </c>
    </row>
    <row r="633" spans="1:7" x14ac:dyDescent="0.3">
      <c r="A633" s="302">
        <v>46200.62263888889</v>
      </c>
      <c r="B633" t="s">
        <v>2915</v>
      </c>
      <c r="C633" t="s">
        <v>2689</v>
      </c>
      <c r="D633" t="s">
        <v>2715</v>
      </c>
      <c r="E633" t="s">
        <v>2919</v>
      </c>
      <c r="F633" t="s">
        <v>3044</v>
      </c>
      <c r="G633" t="s">
        <v>3045</v>
      </c>
    </row>
    <row r="634" spans="1:7" x14ac:dyDescent="0.3">
      <c r="A634" s="302">
        <v>46200.62263888889</v>
      </c>
      <c r="B634" t="s">
        <v>2915</v>
      </c>
      <c r="C634" t="s">
        <v>2689</v>
      </c>
      <c r="D634" t="s">
        <v>2715</v>
      </c>
      <c r="E634" t="s">
        <v>2919</v>
      </c>
      <c r="F634" t="s">
        <v>3046</v>
      </c>
      <c r="G634" t="s">
        <v>2978</v>
      </c>
    </row>
    <row r="635" spans="1:7" x14ac:dyDescent="0.3">
      <c r="A635" s="302">
        <v>46200.62263888889</v>
      </c>
      <c r="B635" t="s">
        <v>2915</v>
      </c>
      <c r="C635" t="s">
        <v>2689</v>
      </c>
      <c r="D635" t="s">
        <v>2715</v>
      </c>
      <c r="E635" t="s">
        <v>2919</v>
      </c>
      <c r="F635" t="s">
        <v>3047</v>
      </c>
      <c r="G635" t="s">
        <v>3048</v>
      </c>
    </row>
    <row r="636" spans="1:7" x14ac:dyDescent="0.3">
      <c r="A636" s="302">
        <v>46200.62263888889</v>
      </c>
      <c r="B636" t="s">
        <v>2915</v>
      </c>
      <c r="C636" t="s">
        <v>2689</v>
      </c>
      <c r="D636" t="s">
        <v>2715</v>
      </c>
      <c r="E636" t="s">
        <v>2919</v>
      </c>
      <c r="F636" t="s">
        <v>3049</v>
      </c>
      <c r="G636" t="s">
        <v>3050</v>
      </c>
    </row>
    <row r="637" spans="1:7" x14ac:dyDescent="0.3">
      <c r="A637" s="302">
        <v>46200.62263888889</v>
      </c>
      <c r="B637" t="s">
        <v>2915</v>
      </c>
      <c r="C637" t="s">
        <v>2689</v>
      </c>
      <c r="D637" t="s">
        <v>2715</v>
      </c>
      <c r="E637" t="s">
        <v>2919</v>
      </c>
      <c r="F637" t="s">
        <v>3051</v>
      </c>
      <c r="G637" t="s">
        <v>3052</v>
      </c>
    </row>
    <row r="638" spans="1:7" x14ac:dyDescent="0.3">
      <c r="A638" s="302">
        <v>46200.62263888889</v>
      </c>
      <c r="B638" t="s">
        <v>2915</v>
      </c>
      <c r="C638" t="s">
        <v>2689</v>
      </c>
      <c r="D638" t="s">
        <v>2715</v>
      </c>
      <c r="E638" t="s">
        <v>2919</v>
      </c>
      <c r="F638" t="s">
        <v>3053</v>
      </c>
      <c r="G638" t="s">
        <v>3054</v>
      </c>
    </row>
    <row r="639" spans="1:7" x14ac:dyDescent="0.3">
      <c r="A639" s="302">
        <v>46200.62263888889</v>
      </c>
      <c r="B639" t="s">
        <v>2915</v>
      </c>
      <c r="C639" t="s">
        <v>2689</v>
      </c>
      <c r="D639" t="s">
        <v>2715</v>
      </c>
      <c r="E639" t="s">
        <v>2919</v>
      </c>
      <c r="F639" t="s">
        <v>3055</v>
      </c>
      <c r="G639" t="s">
        <v>3056</v>
      </c>
    </row>
    <row r="640" spans="1:7" x14ac:dyDescent="0.3">
      <c r="A640" s="302">
        <v>46200.62263888889</v>
      </c>
      <c r="B640" t="s">
        <v>2915</v>
      </c>
      <c r="C640" t="s">
        <v>2689</v>
      </c>
      <c r="D640" t="s">
        <v>2715</v>
      </c>
      <c r="E640" t="s">
        <v>2919</v>
      </c>
      <c r="F640" t="s">
        <v>3057</v>
      </c>
      <c r="G640" t="s">
        <v>2760</v>
      </c>
    </row>
    <row r="641" spans="1:7" x14ac:dyDescent="0.3">
      <c r="A641" s="302">
        <v>46200.62263888889</v>
      </c>
      <c r="B641" t="s">
        <v>2915</v>
      </c>
      <c r="C641" t="s">
        <v>2689</v>
      </c>
      <c r="D641" t="s">
        <v>2715</v>
      </c>
      <c r="E641" t="s">
        <v>2919</v>
      </c>
      <c r="F641" t="s">
        <v>3058</v>
      </c>
      <c r="G641" t="s">
        <v>2776</v>
      </c>
    </row>
    <row r="642" spans="1:7" x14ac:dyDescent="0.3">
      <c r="A642" s="302">
        <v>46200.622650462959</v>
      </c>
      <c r="B642" t="s">
        <v>2915</v>
      </c>
      <c r="C642" t="s">
        <v>2689</v>
      </c>
      <c r="D642" t="s">
        <v>2715</v>
      </c>
      <c r="E642" t="s">
        <v>2919</v>
      </c>
      <c r="F642" t="s">
        <v>3059</v>
      </c>
      <c r="G642" t="s">
        <v>2774</v>
      </c>
    </row>
    <row r="643" spans="1:7" x14ac:dyDescent="0.3">
      <c r="A643" s="302">
        <v>46200.622650462959</v>
      </c>
      <c r="B643" t="s">
        <v>2915</v>
      </c>
      <c r="C643" t="s">
        <v>2689</v>
      </c>
      <c r="D643" t="s">
        <v>2715</v>
      </c>
      <c r="E643" t="s">
        <v>2919</v>
      </c>
      <c r="F643" t="s">
        <v>3061</v>
      </c>
      <c r="G643" t="s">
        <v>3062</v>
      </c>
    </row>
    <row r="644" spans="1:7" x14ac:dyDescent="0.3">
      <c r="A644" s="302">
        <v>46200.622650462959</v>
      </c>
      <c r="B644" t="s">
        <v>2915</v>
      </c>
      <c r="C644" t="s">
        <v>2689</v>
      </c>
      <c r="D644" t="s">
        <v>2715</v>
      </c>
      <c r="E644" t="s">
        <v>2919</v>
      </c>
      <c r="F644" t="s">
        <v>3064</v>
      </c>
      <c r="G644" t="s">
        <v>2784</v>
      </c>
    </row>
    <row r="645" spans="1:7" x14ac:dyDescent="0.3">
      <c r="A645" s="302">
        <v>46200.622650462959</v>
      </c>
      <c r="B645" t="s">
        <v>2915</v>
      </c>
      <c r="C645" t="s">
        <v>2689</v>
      </c>
      <c r="D645" t="s">
        <v>2715</v>
      </c>
      <c r="E645" t="s">
        <v>2919</v>
      </c>
      <c r="F645" t="s">
        <v>3067</v>
      </c>
      <c r="G645" t="s">
        <v>3068</v>
      </c>
    </row>
    <row r="646" spans="1:7" x14ac:dyDescent="0.3">
      <c r="A646" s="302">
        <v>46200.622650462959</v>
      </c>
      <c r="B646" t="s">
        <v>2915</v>
      </c>
      <c r="C646" t="s">
        <v>2689</v>
      </c>
      <c r="D646" t="s">
        <v>2715</v>
      </c>
      <c r="E646" t="s">
        <v>2919</v>
      </c>
      <c r="F646" t="s">
        <v>3069</v>
      </c>
      <c r="G646" t="s">
        <v>2957</v>
      </c>
    </row>
    <row r="647" spans="1:7" x14ac:dyDescent="0.3">
      <c r="A647" s="302">
        <v>46200.622650462959</v>
      </c>
      <c r="B647" t="s">
        <v>2915</v>
      </c>
      <c r="C647" t="s">
        <v>2689</v>
      </c>
      <c r="D647" t="s">
        <v>2715</v>
      </c>
      <c r="E647" t="s">
        <v>2919</v>
      </c>
      <c r="F647" t="s">
        <v>3070</v>
      </c>
      <c r="G647" t="s">
        <v>3071</v>
      </c>
    </row>
    <row r="648" spans="1:7" x14ac:dyDescent="0.3">
      <c r="A648" s="302">
        <v>46200.622650462959</v>
      </c>
      <c r="B648" t="s">
        <v>2915</v>
      </c>
      <c r="C648" t="s">
        <v>2689</v>
      </c>
      <c r="D648" t="s">
        <v>2960</v>
      </c>
      <c r="E648" t="s">
        <v>2961</v>
      </c>
      <c r="F648">
        <v>17756401</v>
      </c>
    </row>
    <row r="649" spans="1:7" x14ac:dyDescent="0.3">
      <c r="A649" s="302">
        <v>46200.624247685184</v>
      </c>
      <c r="B649" t="s">
        <v>2915</v>
      </c>
      <c r="C649" t="s">
        <v>2689</v>
      </c>
      <c r="D649" t="s">
        <v>2715</v>
      </c>
      <c r="E649" t="s">
        <v>2919</v>
      </c>
      <c r="F649" t="s">
        <v>3074</v>
      </c>
      <c r="G649" t="s">
        <v>2784</v>
      </c>
    </row>
    <row r="650" spans="1:7" x14ac:dyDescent="0.3">
      <c r="A650" s="302">
        <v>46200.624247685184</v>
      </c>
      <c r="B650" t="s">
        <v>2915</v>
      </c>
      <c r="C650" t="s">
        <v>2689</v>
      </c>
      <c r="D650" t="s">
        <v>2715</v>
      </c>
      <c r="E650" t="s">
        <v>2919</v>
      </c>
      <c r="F650" t="s">
        <v>3075</v>
      </c>
      <c r="G650" t="s">
        <v>2784</v>
      </c>
    </row>
    <row r="651" spans="1:7" x14ac:dyDescent="0.3">
      <c r="A651" s="302">
        <v>46200.624247685184</v>
      </c>
      <c r="B651" t="s">
        <v>2915</v>
      </c>
      <c r="C651" t="s">
        <v>2689</v>
      </c>
      <c r="D651" t="s">
        <v>2715</v>
      </c>
      <c r="E651" t="s">
        <v>2919</v>
      </c>
      <c r="F651" t="s">
        <v>3076</v>
      </c>
      <c r="G651" t="s">
        <v>2784</v>
      </c>
    </row>
    <row r="652" spans="1:7" x14ac:dyDescent="0.3">
      <c r="A652" s="302">
        <v>46200.624247685184</v>
      </c>
      <c r="B652" t="s">
        <v>2915</v>
      </c>
      <c r="C652" t="s">
        <v>2689</v>
      </c>
      <c r="D652" t="s">
        <v>2715</v>
      </c>
      <c r="E652" t="s">
        <v>2919</v>
      </c>
      <c r="F652" t="s">
        <v>3077</v>
      </c>
      <c r="G652" t="s">
        <v>3039</v>
      </c>
    </row>
    <row r="653" spans="1:7" x14ac:dyDescent="0.3">
      <c r="A653" s="302">
        <v>46200.624247685184</v>
      </c>
      <c r="B653" t="s">
        <v>2915</v>
      </c>
      <c r="C653" t="s">
        <v>2689</v>
      </c>
      <c r="D653" t="s">
        <v>2715</v>
      </c>
      <c r="E653" t="s">
        <v>2919</v>
      </c>
      <c r="F653" t="s">
        <v>3078</v>
      </c>
      <c r="G653" t="s">
        <v>2929</v>
      </c>
    </row>
    <row r="654" spans="1:7" x14ac:dyDescent="0.3">
      <c r="A654" s="302">
        <v>46200.624247685184</v>
      </c>
      <c r="B654" t="s">
        <v>2915</v>
      </c>
      <c r="C654" t="s">
        <v>2689</v>
      </c>
      <c r="D654" t="s">
        <v>2715</v>
      </c>
      <c r="E654" t="s">
        <v>2919</v>
      </c>
      <c r="F654" t="s">
        <v>3079</v>
      </c>
      <c r="G654" t="s">
        <v>2929</v>
      </c>
    </row>
    <row r="655" spans="1:7" x14ac:dyDescent="0.3">
      <c r="A655" s="302">
        <v>46200.624247685184</v>
      </c>
      <c r="B655" t="s">
        <v>2915</v>
      </c>
      <c r="C655" t="s">
        <v>2689</v>
      </c>
      <c r="D655" t="s">
        <v>2715</v>
      </c>
      <c r="E655" t="s">
        <v>2919</v>
      </c>
      <c r="F655" t="s">
        <v>3080</v>
      </c>
      <c r="G655" t="s">
        <v>2931</v>
      </c>
    </row>
    <row r="656" spans="1:7" x14ac:dyDescent="0.3">
      <c r="A656" s="302">
        <v>46200.624247685184</v>
      </c>
      <c r="B656" t="s">
        <v>2915</v>
      </c>
      <c r="C656" t="s">
        <v>2689</v>
      </c>
      <c r="D656" t="s">
        <v>2715</v>
      </c>
      <c r="E656" t="s">
        <v>2919</v>
      </c>
      <c r="F656" t="s">
        <v>3081</v>
      </c>
      <c r="G656" t="s">
        <v>2822</v>
      </c>
    </row>
    <row r="657" spans="1:7" x14ac:dyDescent="0.3">
      <c r="A657" s="302">
        <v>46200.624247685184</v>
      </c>
      <c r="B657" t="s">
        <v>2915</v>
      </c>
      <c r="C657" t="s">
        <v>2689</v>
      </c>
      <c r="D657" t="s">
        <v>2715</v>
      </c>
      <c r="E657" t="s">
        <v>2919</v>
      </c>
      <c r="F657" t="s">
        <v>3082</v>
      </c>
      <c r="G657" t="s">
        <v>3083</v>
      </c>
    </row>
    <row r="658" spans="1:7" x14ac:dyDescent="0.3">
      <c r="A658" s="302">
        <v>46200.624259259261</v>
      </c>
      <c r="B658" t="s">
        <v>2915</v>
      </c>
      <c r="C658" t="s">
        <v>2689</v>
      </c>
      <c r="D658" t="s">
        <v>2715</v>
      </c>
      <c r="E658" t="s">
        <v>2919</v>
      </c>
      <c r="F658" t="s">
        <v>3084</v>
      </c>
      <c r="G658" t="s">
        <v>2978</v>
      </c>
    </row>
    <row r="659" spans="1:7" x14ac:dyDescent="0.3">
      <c r="A659" s="302">
        <v>46200.624259259261</v>
      </c>
      <c r="B659" t="s">
        <v>2915</v>
      </c>
      <c r="C659" t="s">
        <v>2689</v>
      </c>
      <c r="D659" t="s">
        <v>2715</v>
      </c>
      <c r="E659" t="s">
        <v>2919</v>
      </c>
      <c r="F659" t="s">
        <v>3085</v>
      </c>
      <c r="G659" t="s">
        <v>2825</v>
      </c>
    </row>
    <row r="660" spans="1:7" x14ac:dyDescent="0.3">
      <c r="A660" s="302">
        <v>46200.624259259261</v>
      </c>
      <c r="B660" t="s">
        <v>2915</v>
      </c>
      <c r="C660" t="s">
        <v>2689</v>
      </c>
      <c r="D660" t="s">
        <v>2715</v>
      </c>
      <c r="E660" t="s">
        <v>2919</v>
      </c>
      <c r="F660" t="s">
        <v>3086</v>
      </c>
      <c r="G660" t="s">
        <v>3008</v>
      </c>
    </row>
    <row r="661" spans="1:7" x14ac:dyDescent="0.3">
      <c r="A661" s="302">
        <v>46200.624259259261</v>
      </c>
      <c r="B661" t="s">
        <v>2915</v>
      </c>
      <c r="C661" t="s">
        <v>2689</v>
      </c>
      <c r="D661" t="s">
        <v>2715</v>
      </c>
      <c r="E661" t="s">
        <v>2919</v>
      </c>
      <c r="F661" t="s">
        <v>3087</v>
      </c>
      <c r="G661" t="s">
        <v>3088</v>
      </c>
    </row>
    <row r="662" spans="1:7" x14ac:dyDescent="0.3">
      <c r="A662" s="302">
        <v>46200.624259259261</v>
      </c>
      <c r="B662" t="s">
        <v>2915</v>
      </c>
      <c r="C662" t="s">
        <v>2689</v>
      </c>
      <c r="D662" t="s">
        <v>2715</v>
      </c>
      <c r="E662" t="s">
        <v>2919</v>
      </c>
      <c r="F662" t="s">
        <v>3089</v>
      </c>
      <c r="G662" t="s">
        <v>3090</v>
      </c>
    </row>
    <row r="663" spans="1:7" x14ac:dyDescent="0.3">
      <c r="A663" s="302">
        <v>46200.624259259261</v>
      </c>
      <c r="B663" t="s">
        <v>2915</v>
      </c>
      <c r="C663" t="s">
        <v>2689</v>
      </c>
      <c r="D663" t="s">
        <v>2715</v>
      </c>
      <c r="E663" t="s">
        <v>2919</v>
      </c>
      <c r="F663" t="s">
        <v>3091</v>
      </c>
      <c r="G663" t="s">
        <v>3092</v>
      </c>
    </row>
    <row r="664" spans="1:7" x14ac:dyDescent="0.3">
      <c r="A664" s="302">
        <v>46200.624259259261</v>
      </c>
      <c r="B664" t="s">
        <v>2915</v>
      </c>
      <c r="C664" t="s">
        <v>2689</v>
      </c>
      <c r="D664" t="s">
        <v>2715</v>
      </c>
      <c r="E664" t="s">
        <v>2919</v>
      </c>
      <c r="F664" t="s">
        <v>3093</v>
      </c>
      <c r="G664" t="s">
        <v>2760</v>
      </c>
    </row>
    <row r="665" spans="1:7" x14ac:dyDescent="0.3">
      <c r="A665" s="302">
        <v>46200.624259259261</v>
      </c>
      <c r="B665" t="s">
        <v>2915</v>
      </c>
      <c r="C665" t="s">
        <v>2689</v>
      </c>
      <c r="D665" t="s">
        <v>2715</v>
      </c>
      <c r="E665" t="s">
        <v>2919</v>
      </c>
      <c r="F665" t="s">
        <v>3094</v>
      </c>
      <c r="G665" t="s">
        <v>2760</v>
      </c>
    </row>
    <row r="666" spans="1:7" x14ac:dyDescent="0.3">
      <c r="A666" s="302">
        <v>46200.624259259261</v>
      </c>
      <c r="B666" t="s">
        <v>2915</v>
      </c>
      <c r="C666" t="s">
        <v>2689</v>
      </c>
      <c r="D666" t="s">
        <v>2715</v>
      </c>
      <c r="E666" t="s">
        <v>2919</v>
      </c>
      <c r="F666" t="s">
        <v>3095</v>
      </c>
      <c r="G666" t="s">
        <v>2774</v>
      </c>
    </row>
    <row r="667" spans="1:7" x14ac:dyDescent="0.3">
      <c r="A667" s="302">
        <v>46200.624259259261</v>
      </c>
      <c r="B667" t="s">
        <v>2915</v>
      </c>
      <c r="C667" t="s">
        <v>2689</v>
      </c>
      <c r="D667" t="s">
        <v>2715</v>
      </c>
      <c r="E667" t="s">
        <v>2919</v>
      </c>
      <c r="F667" t="s">
        <v>3097</v>
      </c>
      <c r="G667" t="s">
        <v>3098</v>
      </c>
    </row>
    <row r="668" spans="1:7" x14ac:dyDescent="0.3">
      <c r="A668" s="302">
        <v>46200.624259259261</v>
      </c>
      <c r="B668" t="s">
        <v>2915</v>
      </c>
      <c r="C668" t="s">
        <v>2689</v>
      </c>
      <c r="D668" t="s">
        <v>2715</v>
      </c>
      <c r="E668" t="s">
        <v>2919</v>
      </c>
      <c r="F668" t="s">
        <v>3099</v>
      </c>
      <c r="G668" t="s">
        <v>2784</v>
      </c>
    </row>
    <row r="669" spans="1:7" x14ac:dyDescent="0.3">
      <c r="A669" s="302">
        <v>46200.624259259261</v>
      </c>
      <c r="B669" t="s">
        <v>2915</v>
      </c>
      <c r="C669" t="s">
        <v>2689</v>
      </c>
      <c r="D669" t="s">
        <v>2715</v>
      </c>
      <c r="E669" t="s">
        <v>2919</v>
      </c>
      <c r="F669" t="s">
        <v>3100</v>
      </c>
      <c r="G669" t="s">
        <v>2784</v>
      </c>
    </row>
    <row r="670" spans="1:7" x14ac:dyDescent="0.3">
      <c r="A670" s="302">
        <v>46200.624259259261</v>
      </c>
      <c r="B670" t="s">
        <v>2915</v>
      </c>
      <c r="C670" t="s">
        <v>2689</v>
      </c>
      <c r="D670" t="s">
        <v>2715</v>
      </c>
      <c r="E670" t="s">
        <v>2919</v>
      </c>
      <c r="F670" t="s">
        <v>3101</v>
      </c>
      <c r="G670" t="s">
        <v>3102</v>
      </c>
    </row>
    <row r="671" spans="1:7" x14ac:dyDescent="0.3">
      <c r="A671" s="302">
        <v>46200.62427083333</v>
      </c>
      <c r="B671" t="s">
        <v>2915</v>
      </c>
      <c r="C671" t="s">
        <v>2689</v>
      </c>
      <c r="D671" t="s">
        <v>2715</v>
      </c>
      <c r="E671" t="s">
        <v>2919</v>
      </c>
      <c r="F671" t="s">
        <v>3103</v>
      </c>
      <c r="G671" t="s">
        <v>3104</v>
      </c>
    </row>
    <row r="672" spans="1:7" x14ac:dyDescent="0.3">
      <c r="A672" s="302">
        <v>46200.62427083333</v>
      </c>
      <c r="B672" t="s">
        <v>2915</v>
      </c>
      <c r="C672" t="s">
        <v>2689</v>
      </c>
      <c r="D672" t="s">
        <v>2715</v>
      </c>
      <c r="E672" t="s">
        <v>2919</v>
      </c>
      <c r="F672" t="s">
        <v>3105</v>
      </c>
      <c r="G672" t="s">
        <v>2957</v>
      </c>
    </row>
    <row r="673" spans="1:7" x14ac:dyDescent="0.3">
      <c r="A673" s="302">
        <v>46200.62427083333</v>
      </c>
      <c r="B673" t="s">
        <v>2915</v>
      </c>
      <c r="C673" t="s">
        <v>2689</v>
      </c>
      <c r="D673" t="s">
        <v>2715</v>
      </c>
      <c r="E673" t="s">
        <v>2919</v>
      </c>
      <c r="F673" t="s">
        <v>3106</v>
      </c>
      <c r="G673" t="s">
        <v>3107</v>
      </c>
    </row>
    <row r="674" spans="1:7" x14ac:dyDescent="0.3">
      <c r="A674" s="302">
        <v>46200.62427083333</v>
      </c>
      <c r="B674" t="s">
        <v>2915</v>
      </c>
      <c r="C674" t="s">
        <v>2689</v>
      </c>
      <c r="D674" t="s">
        <v>2715</v>
      </c>
      <c r="E674" t="s">
        <v>2919</v>
      </c>
      <c r="F674" t="s">
        <v>3074</v>
      </c>
      <c r="G674" t="s">
        <v>2816</v>
      </c>
    </row>
    <row r="675" spans="1:7" x14ac:dyDescent="0.3">
      <c r="A675" s="302">
        <v>46200.62427083333</v>
      </c>
      <c r="B675" t="s">
        <v>2915</v>
      </c>
      <c r="C675" t="s">
        <v>2689</v>
      </c>
      <c r="D675" t="s">
        <v>2715</v>
      </c>
      <c r="E675" t="s">
        <v>2919</v>
      </c>
      <c r="F675" t="s">
        <v>3075</v>
      </c>
      <c r="G675" t="s">
        <v>2784</v>
      </c>
    </row>
    <row r="676" spans="1:7" x14ac:dyDescent="0.3">
      <c r="A676" s="302">
        <v>46200.62427083333</v>
      </c>
      <c r="B676" t="s">
        <v>2915</v>
      </c>
      <c r="C676" t="s">
        <v>2689</v>
      </c>
      <c r="D676" t="s">
        <v>2715</v>
      </c>
      <c r="E676" t="s">
        <v>2919</v>
      </c>
      <c r="F676" t="s">
        <v>3076</v>
      </c>
      <c r="G676" t="s">
        <v>3108</v>
      </c>
    </row>
    <row r="677" spans="1:7" x14ac:dyDescent="0.3">
      <c r="A677" s="302">
        <v>46200.62427083333</v>
      </c>
      <c r="B677" t="s">
        <v>2915</v>
      </c>
      <c r="C677" t="s">
        <v>2689</v>
      </c>
      <c r="D677" t="s">
        <v>3032</v>
      </c>
      <c r="E677" t="s">
        <v>2961</v>
      </c>
      <c r="F677">
        <v>17757691</v>
      </c>
      <c r="G677" t="s">
        <v>3033</v>
      </c>
    </row>
    <row r="678" spans="1:7" x14ac:dyDescent="0.3">
      <c r="A678" s="302">
        <v>46200.624756944446</v>
      </c>
      <c r="B678" t="s">
        <v>2915</v>
      </c>
      <c r="C678" t="s">
        <v>2689</v>
      </c>
      <c r="D678" t="s">
        <v>2962</v>
      </c>
      <c r="E678" t="s">
        <v>2961</v>
      </c>
      <c r="F678">
        <v>17757691</v>
      </c>
      <c r="G678" t="s">
        <v>3034</v>
      </c>
    </row>
    <row r="679" spans="1:7" x14ac:dyDescent="0.3">
      <c r="A679" s="302">
        <v>46200.624803240738</v>
      </c>
      <c r="B679" t="s">
        <v>2915</v>
      </c>
      <c r="C679" t="s">
        <v>2689</v>
      </c>
      <c r="D679" t="s">
        <v>2715</v>
      </c>
      <c r="E679" t="s">
        <v>2919</v>
      </c>
      <c r="F679" t="s">
        <v>3077</v>
      </c>
      <c r="G679" t="s">
        <v>3039</v>
      </c>
    </row>
    <row r="680" spans="1:7" x14ac:dyDescent="0.3">
      <c r="A680" s="302">
        <v>46200.624803240738</v>
      </c>
      <c r="B680" t="s">
        <v>2915</v>
      </c>
      <c r="C680" t="s">
        <v>2689</v>
      </c>
      <c r="D680" t="s">
        <v>2715</v>
      </c>
      <c r="E680" t="s">
        <v>2919</v>
      </c>
      <c r="F680" t="s">
        <v>3078</v>
      </c>
      <c r="G680" t="s">
        <v>2929</v>
      </c>
    </row>
    <row r="681" spans="1:7" x14ac:dyDescent="0.3">
      <c r="A681" s="302">
        <v>46200.624803240738</v>
      </c>
      <c r="B681" t="s">
        <v>2915</v>
      </c>
      <c r="C681" t="s">
        <v>2689</v>
      </c>
      <c r="D681" t="s">
        <v>2715</v>
      </c>
      <c r="E681" t="s">
        <v>2919</v>
      </c>
      <c r="F681" t="s">
        <v>3079</v>
      </c>
      <c r="G681" t="s">
        <v>2929</v>
      </c>
    </row>
    <row r="682" spans="1:7" x14ac:dyDescent="0.3">
      <c r="A682" s="302">
        <v>46200.624803240738</v>
      </c>
      <c r="B682" t="s">
        <v>2915</v>
      </c>
      <c r="C682" t="s">
        <v>2689</v>
      </c>
      <c r="D682" t="s">
        <v>2715</v>
      </c>
      <c r="E682" t="s">
        <v>2919</v>
      </c>
      <c r="F682" t="s">
        <v>3080</v>
      </c>
      <c r="G682" t="s">
        <v>2931</v>
      </c>
    </row>
    <row r="683" spans="1:7" x14ac:dyDescent="0.3">
      <c r="A683" s="302">
        <v>46200.624803240738</v>
      </c>
      <c r="B683" t="s">
        <v>2915</v>
      </c>
      <c r="C683" t="s">
        <v>2689</v>
      </c>
      <c r="D683" t="s">
        <v>2715</v>
      </c>
      <c r="E683" t="s">
        <v>2919</v>
      </c>
      <c r="F683" t="s">
        <v>3081</v>
      </c>
      <c r="G683" t="s">
        <v>2822</v>
      </c>
    </row>
    <row r="684" spans="1:7" x14ac:dyDescent="0.3">
      <c r="A684" s="302">
        <v>46200.624803240738</v>
      </c>
      <c r="B684" t="s">
        <v>2915</v>
      </c>
      <c r="C684" t="s">
        <v>2689</v>
      </c>
      <c r="D684" t="s">
        <v>2715</v>
      </c>
      <c r="E684" t="s">
        <v>2919</v>
      </c>
      <c r="F684" t="s">
        <v>3082</v>
      </c>
      <c r="G684" t="s">
        <v>3083</v>
      </c>
    </row>
    <row r="685" spans="1:7" x14ac:dyDescent="0.3">
      <c r="A685" s="302">
        <v>46200.624803240738</v>
      </c>
      <c r="B685" t="s">
        <v>2915</v>
      </c>
      <c r="C685" t="s">
        <v>2689</v>
      </c>
      <c r="D685" t="s">
        <v>2715</v>
      </c>
      <c r="E685" t="s">
        <v>2919</v>
      </c>
      <c r="F685" t="s">
        <v>3084</v>
      </c>
      <c r="G685" t="s">
        <v>2978</v>
      </c>
    </row>
    <row r="686" spans="1:7" x14ac:dyDescent="0.3">
      <c r="A686" s="302">
        <v>46200.624814814815</v>
      </c>
      <c r="B686" t="s">
        <v>2915</v>
      </c>
      <c r="C686" t="s">
        <v>2689</v>
      </c>
      <c r="D686" t="s">
        <v>2715</v>
      </c>
      <c r="E686" t="s">
        <v>2919</v>
      </c>
      <c r="F686" t="s">
        <v>3085</v>
      </c>
      <c r="G686" t="s">
        <v>2825</v>
      </c>
    </row>
    <row r="687" spans="1:7" x14ac:dyDescent="0.3">
      <c r="A687" s="302">
        <v>46200.624814814815</v>
      </c>
      <c r="B687" t="s">
        <v>2915</v>
      </c>
      <c r="C687" t="s">
        <v>2689</v>
      </c>
      <c r="D687" t="s">
        <v>2715</v>
      </c>
      <c r="E687" t="s">
        <v>2919</v>
      </c>
      <c r="F687" t="s">
        <v>3086</v>
      </c>
      <c r="G687" t="s">
        <v>3008</v>
      </c>
    </row>
    <row r="688" spans="1:7" x14ac:dyDescent="0.3">
      <c r="A688" s="302">
        <v>46200.624814814815</v>
      </c>
      <c r="B688" t="s">
        <v>2915</v>
      </c>
      <c r="C688" t="s">
        <v>2689</v>
      </c>
      <c r="D688" t="s">
        <v>2715</v>
      </c>
      <c r="E688" t="s">
        <v>2919</v>
      </c>
      <c r="F688" t="s">
        <v>3087</v>
      </c>
      <c r="G688" t="s">
        <v>3088</v>
      </c>
    </row>
    <row r="689" spans="1:7" x14ac:dyDescent="0.3">
      <c r="A689" s="302">
        <v>46200.624814814815</v>
      </c>
      <c r="B689" t="s">
        <v>2915</v>
      </c>
      <c r="C689" t="s">
        <v>2689</v>
      </c>
      <c r="D689" t="s">
        <v>2715</v>
      </c>
      <c r="E689" t="s">
        <v>2919</v>
      </c>
      <c r="F689" t="s">
        <v>3089</v>
      </c>
      <c r="G689" t="s">
        <v>3090</v>
      </c>
    </row>
    <row r="690" spans="1:7" x14ac:dyDescent="0.3">
      <c r="A690" s="302">
        <v>46200.624814814815</v>
      </c>
      <c r="B690" t="s">
        <v>2915</v>
      </c>
      <c r="C690" t="s">
        <v>2689</v>
      </c>
      <c r="D690" t="s">
        <v>2715</v>
      </c>
      <c r="E690" t="s">
        <v>2919</v>
      </c>
      <c r="F690" t="s">
        <v>3091</v>
      </c>
      <c r="G690" t="s">
        <v>3092</v>
      </c>
    </row>
    <row r="691" spans="1:7" x14ac:dyDescent="0.3">
      <c r="A691" s="302">
        <v>46200.624814814815</v>
      </c>
      <c r="B691" t="s">
        <v>2915</v>
      </c>
      <c r="C691" t="s">
        <v>2689</v>
      </c>
      <c r="D691" t="s">
        <v>2715</v>
      </c>
      <c r="E691" t="s">
        <v>2919</v>
      </c>
      <c r="F691" t="s">
        <v>3093</v>
      </c>
      <c r="G691" t="s">
        <v>2760</v>
      </c>
    </row>
    <row r="692" spans="1:7" x14ac:dyDescent="0.3">
      <c r="A692" s="302">
        <v>46200.624814814815</v>
      </c>
      <c r="B692" t="s">
        <v>2915</v>
      </c>
      <c r="C692" t="s">
        <v>2689</v>
      </c>
      <c r="D692" t="s">
        <v>2715</v>
      </c>
      <c r="E692" t="s">
        <v>2919</v>
      </c>
      <c r="F692" t="s">
        <v>3094</v>
      </c>
      <c r="G692" t="s">
        <v>2760</v>
      </c>
    </row>
    <row r="693" spans="1:7" x14ac:dyDescent="0.3">
      <c r="A693" s="302">
        <v>46200.624814814815</v>
      </c>
      <c r="B693" t="s">
        <v>2915</v>
      </c>
      <c r="C693" t="s">
        <v>2689</v>
      </c>
      <c r="D693" t="s">
        <v>2715</v>
      </c>
      <c r="E693" t="s">
        <v>2919</v>
      </c>
      <c r="F693" t="s">
        <v>3095</v>
      </c>
      <c r="G693" t="s">
        <v>2774</v>
      </c>
    </row>
    <row r="694" spans="1:7" x14ac:dyDescent="0.3">
      <c r="A694" s="302">
        <v>46200.624814814815</v>
      </c>
      <c r="B694" t="s">
        <v>2915</v>
      </c>
      <c r="C694" t="s">
        <v>2689</v>
      </c>
      <c r="D694" t="s">
        <v>2715</v>
      </c>
      <c r="E694" t="s">
        <v>2919</v>
      </c>
      <c r="F694" t="s">
        <v>3097</v>
      </c>
      <c r="G694" t="s">
        <v>3098</v>
      </c>
    </row>
    <row r="695" spans="1:7" x14ac:dyDescent="0.3">
      <c r="A695" s="302">
        <v>46200.624814814815</v>
      </c>
      <c r="B695" t="s">
        <v>2915</v>
      </c>
      <c r="C695" t="s">
        <v>2689</v>
      </c>
      <c r="D695" t="s">
        <v>2715</v>
      </c>
      <c r="E695" t="s">
        <v>2919</v>
      </c>
      <c r="F695" t="s">
        <v>3100</v>
      </c>
      <c r="G695" t="s">
        <v>2784</v>
      </c>
    </row>
    <row r="696" spans="1:7" x14ac:dyDescent="0.3">
      <c r="A696" s="302">
        <v>46200.624826388892</v>
      </c>
      <c r="B696" t="s">
        <v>2915</v>
      </c>
      <c r="C696" t="s">
        <v>2689</v>
      </c>
      <c r="D696" t="s">
        <v>2715</v>
      </c>
      <c r="E696" t="s">
        <v>2919</v>
      </c>
      <c r="F696" t="s">
        <v>3101</v>
      </c>
      <c r="G696" t="s">
        <v>3109</v>
      </c>
    </row>
    <row r="697" spans="1:7" x14ac:dyDescent="0.3">
      <c r="A697" s="302">
        <v>46200.624826388892</v>
      </c>
      <c r="B697" t="s">
        <v>2915</v>
      </c>
      <c r="C697" t="s">
        <v>2689</v>
      </c>
      <c r="D697" t="s">
        <v>2715</v>
      </c>
      <c r="E697" t="s">
        <v>2919</v>
      </c>
      <c r="F697" t="s">
        <v>3103</v>
      </c>
      <c r="G697" t="s">
        <v>3104</v>
      </c>
    </row>
    <row r="698" spans="1:7" x14ac:dyDescent="0.3">
      <c r="A698" s="302">
        <v>46200.624826388892</v>
      </c>
      <c r="B698" t="s">
        <v>2915</v>
      </c>
      <c r="C698" t="s">
        <v>2689</v>
      </c>
      <c r="D698" t="s">
        <v>2715</v>
      </c>
      <c r="E698" t="s">
        <v>2919</v>
      </c>
      <c r="F698" t="s">
        <v>3105</v>
      </c>
      <c r="G698" t="s">
        <v>2957</v>
      </c>
    </row>
    <row r="699" spans="1:7" x14ac:dyDescent="0.3">
      <c r="A699" s="302">
        <v>46200.624826388892</v>
      </c>
      <c r="B699" t="s">
        <v>2915</v>
      </c>
      <c r="C699" t="s">
        <v>2689</v>
      </c>
      <c r="D699" t="s">
        <v>2715</v>
      </c>
      <c r="E699" t="s">
        <v>2919</v>
      </c>
      <c r="F699" t="s">
        <v>3106</v>
      </c>
      <c r="G699" t="s">
        <v>3107</v>
      </c>
    </row>
    <row r="700" spans="1:7" x14ac:dyDescent="0.3">
      <c r="A700" s="302">
        <v>46200.624826388892</v>
      </c>
      <c r="B700" t="s">
        <v>2915</v>
      </c>
      <c r="C700" t="s">
        <v>2689</v>
      </c>
      <c r="D700" t="s">
        <v>2960</v>
      </c>
      <c r="E700" t="s">
        <v>2961</v>
      </c>
      <c r="F700">
        <v>17757691</v>
      </c>
    </row>
    <row r="701" spans="1:7" x14ac:dyDescent="0.3">
      <c r="A701" s="302">
        <v>46200.626458333332</v>
      </c>
      <c r="B701" t="s">
        <v>2915</v>
      </c>
      <c r="C701" t="s">
        <v>2689</v>
      </c>
      <c r="D701" t="s">
        <v>2715</v>
      </c>
      <c r="E701" t="s">
        <v>2919</v>
      </c>
      <c r="F701" t="s">
        <v>3110</v>
      </c>
      <c r="G701" t="s">
        <v>2784</v>
      </c>
    </row>
    <row r="702" spans="1:7" x14ac:dyDescent="0.3">
      <c r="A702" s="302">
        <v>46200.626458333332</v>
      </c>
      <c r="B702" t="s">
        <v>2915</v>
      </c>
      <c r="C702" t="s">
        <v>2689</v>
      </c>
      <c r="D702" t="s">
        <v>2715</v>
      </c>
      <c r="E702" t="s">
        <v>2919</v>
      </c>
      <c r="F702" t="s">
        <v>3111</v>
      </c>
      <c r="G702" t="s">
        <v>2784</v>
      </c>
    </row>
    <row r="703" spans="1:7" x14ac:dyDescent="0.3">
      <c r="A703" s="302">
        <v>46200.626458333332</v>
      </c>
      <c r="B703" t="s">
        <v>2915</v>
      </c>
      <c r="C703" t="s">
        <v>2689</v>
      </c>
      <c r="D703" t="s">
        <v>2715</v>
      </c>
      <c r="E703" t="s">
        <v>2919</v>
      </c>
      <c r="F703" t="s">
        <v>3112</v>
      </c>
      <c r="G703" t="s">
        <v>2784</v>
      </c>
    </row>
    <row r="704" spans="1:7" x14ac:dyDescent="0.3">
      <c r="A704" s="302">
        <v>46200.626458333332</v>
      </c>
      <c r="B704" t="s">
        <v>2915</v>
      </c>
      <c r="C704" t="s">
        <v>2689</v>
      </c>
      <c r="D704" t="s">
        <v>2715</v>
      </c>
      <c r="E704" t="s">
        <v>2919</v>
      </c>
      <c r="F704" t="s">
        <v>3113</v>
      </c>
      <c r="G704" t="s">
        <v>3039</v>
      </c>
    </row>
    <row r="705" spans="1:7" x14ac:dyDescent="0.3">
      <c r="A705" s="302">
        <v>46200.626458333332</v>
      </c>
      <c r="B705" t="s">
        <v>2915</v>
      </c>
      <c r="C705" t="s">
        <v>2689</v>
      </c>
      <c r="D705" t="s">
        <v>2715</v>
      </c>
      <c r="E705" t="s">
        <v>2919</v>
      </c>
      <c r="F705" t="s">
        <v>3114</v>
      </c>
      <c r="G705" t="s">
        <v>2929</v>
      </c>
    </row>
    <row r="706" spans="1:7" x14ac:dyDescent="0.3">
      <c r="A706" s="302">
        <v>46200.626458333332</v>
      </c>
      <c r="B706" t="s">
        <v>2915</v>
      </c>
      <c r="C706" t="s">
        <v>2689</v>
      </c>
      <c r="D706" t="s">
        <v>2715</v>
      </c>
      <c r="E706" t="s">
        <v>2919</v>
      </c>
      <c r="F706" t="s">
        <v>3115</v>
      </c>
      <c r="G706" t="s">
        <v>2929</v>
      </c>
    </row>
    <row r="707" spans="1:7" x14ac:dyDescent="0.3">
      <c r="A707" s="302">
        <v>46200.626458333332</v>
      </c>
      <c r="B707" t="s">
        <v>2915</v>
      </c>
      <c r="C707" t="s">
        <v>2689</v>
      </c>
      <c r="D707" t="s">
        <v>2715</v>
      </c>
      <c r="E707" t="s">
        <v>2919</v>
      </c>
      <c r="F707" t="s">
        <v>3116</v>
      </c>
      <c r="G707" t="s">
        <v>2931</v>
      </c>
    </row>
    <row r="708" spans="1:7" x14ac:dyDescent="0.3">
      <c r="A708" s="302">
        <v>46200.626458333332</v>
      </c>
      <c r="B708" t="s">
        <v>2915</v>
      </c>
      <c r="C708" t="s">
        <v>2689</v>
      </c>
      <c r="D708" t="s">
        <v>2715</v>
      </c>
      <c r="E708" t="s">
        <v>2919</v>
      </c>
      <c r="F708" t="s">
        <v>3117</v>
      </c>
      <c r="G708" t="s">
        <v>2822</v>
      </c>
    </row>
    <row r="709" spans="1:7" x14ac:dyDescent="0.3">
      <c r="A709" s="302">
        <v>46200.626458333332</v>
      </c>
      <c r="B709" t="s">
        <v>2915</v>
      </c>
      <c r="C709" t="s">
        <v>2689</v>
      </c>
      <c r="D709" t="s">
        <v>2715</v>
      </c>
      <c r="E709" t="s">
        <v>2919</v>
      </c>
      <c r="F709" t="s">
        <v>3118</v>
      </c>
      <c r="G709" t="s">
        <v>3119</v>
      </c>
    </row>
    <row r="710" spans="1:7" x14ac:dyDescent="0.3">
      <c r="A710" s="302">
        <v>46200.626458333332</v>
      </c>
      <c r="B710" t="s">
        <v>2915</v>
      </c>
      <c r="C710" t="s">
        <v>2689</v>
      </c>
      <c r="D710" t="s">
        <v>2715</v>
      </c>
      <c r="E710" t="s">
        <v>2919</v>
      </c>
      <c r="F710" t="s">
        <v>3120</v>
      </c>
      <c r="G710" t="s">
        <v>2978</v>
      </c>
    </row>
    <row r="711" spans="1:7" x14ac:dyDescent="0.3">
      <c r="A711" s="302">
        <v>46200.626469907409</v>
      </c>
      <c r="B711" t="s">
        <v>2915</v>
      </c>
      <c r="C711" t="s">
        <v>2689</v>
      </c>
      <c r="D711" t="s">
        <v>2715</v>
      </c>
      <c r="E711" t="s">
        <v>2919</v>
      </c>
      <c r="F711" t="s">
        <v>3121</v>
      </c>
      <c r="G711" t="s">
        <v>3048</v>
      </c>
    </row>
    <row r="712" spans="1:7" x14ac:dyDescent="0.3">
      <c r="A712" s="302">
        <v>46200.626469907409</v>
      </c>
      <c r="B712" t="s">
        <v>2915</v>
      </c>
      <c r="C712" t="s">
        <v>2689</v>
      </c>
      <c r="D712" t="s">
        <v>2715</v>
      </c>
      <c r="E712" t="s">
        <v>2919</v>
      </c>
      <c r="F712" t="s">
        <v>3122</v>
      </c>
      <c r="G712" t="s">
        <v>3123</v>
      </c>
    </row>
    <row r="713" spans="1:7" x14ac:dyDescent="0.3">
      <c r="A713" s="302">
        <v>46200.626469907409</v>
      </c>
      <c r="B713" t="s">
        <v>2915</v>
      </c>
      <c r="C713" t="s">
        <v>2689</v>
      </c>
      <c r="D713" t="s">
        <v>2715</v>
      </c>
      <c r="E713" t="s">
        <v>2919</v>
      </c>
      <c r="F713" t="s">
        <v>3124</v>
      </c>
      <c r="G713" t="s">
        <v>3052</v>
      </c>
    </row>
    <row r="714" spans="1:7" x14ac:dyDescent="0.3">
      <c r="A714" s="302">
        <v>46200.626469907409</v>
      </c>
      <c r="B714" t="s">
        <v>2915</v>
      </c>
      <c r="C714" t="s">
        <v>2689</v>
      </c>
      <c r="D714" t="s">
        <v>2715</v>
      </c>
      <c r="E714" t="s">
        <v>2919</v>
      </c>
      <c r="F714" t="s">
        <v>3125</v>
      </c>
      <c r="G714" t="s">
        <v>3126</v>
      </c>
    </row>
    <row r="715" spans="1:7" x14ac:dyDescent="0.3">
      <c r="A715" s="302">
        <v>46200.626469907409</v>
      </c>
      <c r="B715" t="s">
        <v>2915</v>
      </c>
      <c r="C715" t="s">
        <v>2689</v>
      </c>
      <c r="D715" t="s">
        <v>2715</v>
      </c>
      <c r="E715" t="s">
        <v>2919</v>
      </c>
      <c r="F715" t="s">
        <v>3127</v>
      </c>
      <c r="G715" t="s">
        <v>3128</v>
      </c>
    </row>
    <row r="716" spans="1:7" x14ac:dyDescent="0.3">
      <c r="A716" s="302">
        <v>46200.626469907409</v>
      </c>
      <c r="B716" t="s">
        <v>2915</v>
      </c>
      <c r="C716" t="s">
        <v>2689</v>
      </c>
      <c r="D716" t="s">
        <v>2715</v>
      </c>
      <c r="E716" t="s">
        <v>2919</v>
      </c>
      <c r="F716" t="s">
        <v>3129</v>
      </c>
      <c r="G716" t="s">
        <v>2760</v>
      </c>
    </row>
    <row r="717" spans="1:7" x14ac:dyDescent="0.3">
      <c r="A717" s="302">
        <v>46200.626469907409</v>
      </c>
      <c r="B717" t="s">
        <v>2915</v>
      </c>
      <c r="C717" t="s">
        <v>2689</v>
      </c>
      <c r="D717" t="s">
        <v>2715</v>
      </c>
      <c r="E717" t="s">
        <v>2919</v>
      </c>
      <c r="F717" t="s">
        <v>3130</v>
      </c>
      <c r="G717" t="s">
        <v>2776</v>
      </c>
    </row>
    <row r="718" spans="1:7" x14ac:dyDescent="0.3">
      <c r="A718" s="302">
        <v>46200.626469907409</v>
      </c>
      <c r="B718" t="s">
        <v>2915</v>
      </c>
      <c r="C718" t="s">
        <v>2689</v>
      </c>
      <c r="D718" t="s">
        <v>2715</v>
      </c>
      <c r="E718" t="s">
        <v>2919</v>
      </c>
      <c r="F718" t="s">
        <v>3131</v>
      </c>
      <c r="G718" t="s">
        <v>2774</v>
      </c>
    </row>
    <row r="719" spans="1:7" x14ac:dyDescent="0.3">
      <c r="A719" s="302">
        <v>46200.626469907409</v>
      </c>
      <c r="B719" t="s">
        <v>2915</v>
      </c>
      <c r="C719" t="s">
        <v>2689</v>
      </c>
      <c r="D719" t="s">
        <v>2715</v>
      </c>
      <c r="E719" t="s">
        <v>2919</v>
      </c>
      <c r="F719" t="s">
        <v>3133</v>
      </c>
      <c r="G719" t="s">
        <v>3134</v>
      </c>
    </row>
    <row r="720" spans="1:7" x14ac:dyDescent="0.3">
      <c r="A720" s="302">
        <v>46200.626469907409</v>
      </c>
      <c r="B720" t="s">
        <v>2915</v>
      </c>
      <c r="C720" t="s">
        <v>2689</v>
      </c>
      <c r="D720" t="s">
        <v>2715</v>
      </c>
      <c r="E720" t="s">
        <v>2919</v>
      </c>
      <c r="F720" t="s">
        <v>3135</v>
      </c>
      <c r="G720" t="s">
        <v>2784</v>
      </c>
    </row>
    <row r="721" spans="1:7" x14ac:dyDescent="0.3">
      <c r="A721" s="302">
        <v>46200.626469907409</v>
      </c>
      <c r="B721" t="s">
        <v>2915</v>
      </c>
      <c r="C721" t="s">
        <v>2689</v>
      </c>
      <c r="D721" t="s">
        <v>2715</v>
      </c>
      <c r="E721" t="s">
        <v>2919</v>
      </c>
      <c r="F721" t="s">
        <v>3136</v>
      </c>
      <c r="G721" t="s">
        <v>2784</v>
      </c>
    </row>
    <row r="722" spans="1:7" x14ac:dyDescent="0.3">
      <c r="A722" s="302">
        <v>46200.626469907409</v>
      </c>
      <c r="B722" t="s">
        <v>2915</v>
      </c>
      <c r="C722" t="s">
        <v>2689</v>
      </c>
      <c r="D722" t="s">
        <v>2715</v>
      </c>
      <c r="E722" t="s">
        <v>2919</v>
      </c>
      <c r="F722" t="s">
        <v>3137</v>
      </c>
      <c r="G722" t="s">
        <v>3138</v>
      </c>
    </row>
    <row r="723" spans="1:7" x14ac:dyDescent="0.3">
      <c r="A723" s="302">
        <v>46200.626481481479</v>
      </c>
      <c r="B723" t="s">
        <v>2915</v>
      </c>
      <c r="C723" t="s">
        <v>2689</v>
      </c>
      <c r="D723" t="s">
        <v>2715</v>
      </c>
      <c r="E723" t="s">
        <v>2919</v>
      </c>
      <c r="F723" t="s">
        <v>3139</v>
      </c>
      <c r="G723" t="s">
        <v>3140</v>
      </c>
    </row>
    <row r="724" spans="1:7" x14ac:dyDescent="0.3">
      <c r="A724" s="302">
        <v>46200.626481481479</v>
      </c>
      <c r="B724" t="s">
        <v>2915</v>
      </c>
      <c r="C724" t="s">
        <v>2689</v>
      </c>
      <c r="D724" t="s">
        <v>2715</v>
      </c>
      <c r="E724" t="s">
        <v>2919</v>
      </c>
      <c r="F724" t="s">
        <v>3141</v>
      </c>
      <c r="G724" t="s">
        <v>2957</v>
      </c>
    </row>
    <row r="725" spans="1:7" x14ac:dyDescent="0.3">
      <c r="A725" s="302">
        <v>46200.626481481479</v>
      </c>
      <c r="B725" t="s">
        <v>2915</v>
      </c>
      <c r="C725" t="s">
        <v>2689</v>
      </c>
      <c r="D725" t="s">
        <v>2715</v>
      </c>
      <c r="E725" t="s">
        <v>2919</v>
      </c>
      <c r="F725" t="s">
        <v>3142</v>
      </c>
      <c r="G725" t="s">
        <v>3143</v>
      </c>
    </row>
    <row r="726" spans="1:7" x14ac:dyDescent="0.3">
      <c r="A726" s="302">
        <v>46200.626481481479</v>
      </c>
      <c r="B726" t="s">
        <v>2915</v>
      </c>
      <c r="C726" t="s">
        <v>2689</v>
      </c>
      <c r="D726" t="s">
        <v>2715</v>
      </c>
      <c r="E726" t="s">
        <v>2919</v>
      </c>
      <c r="F726" t="s">
        <v>3110</v>
      </c>
      <c r="G726" t="s">
        <v>2795</v>
      </c>
    </row>
    <row r="727" spans="1:7" x14ac:dyDescent="0.3">
      <c r="A727" s="302">
        <v>46200.626481481479</v>
      </c>
      <c r="B727" t="s">
        <v>2915</v>
      </c>
      <c r="C727" t="s">
        <v>2689</v>
      </c>
      <c r="D727" t="s">
        <v>2715</v>
      </c>
      <c r="E727" t="s">
        <v>2919</v>
      </c>
      <c r="F727" t="s">
        <v>3111</v>
      </c>
      <c r="G727" t="s">
        <v>2784</v>
      </c>
    </row>
    <row r="728" spans="1:7" x14ac:dyDescent="0.3">
      <c r="A728" s="302">
        <v>46200.626481481479</v>
      </c>
      <c r="B728" t="s">
        <v>2915</v>
      </c>
      <c r="C728" t="s">
        <v>2689</v>
      </c>
      <c r="D728" t="s">
        <v>2715</v>
      </c>
      <c r="E728" t="s">
        <v>2919</v>
      </c>
      <c r="F728" t="s">
        <v>3112</v>
      </c>
      <c r="G728" t="s">
        <v>3031</v>
      </c>
    </row>
    <row r="729" spans="1:7" x14ac:dyDescent="0.3">
      <c r="A729" s="302">
        <v>46200.626481481479</v>
      </c>
      <c r="B729" t="s">
        <v>2915</v>
      </c>
      <c r="C729" t="s">
        <v>2689</v>
      </c>
      <c r="D729" t="s">
        <v>3032</v>
      </c>
      <c r="E729" t="s">
        <v>2961</v>
      </c>
      <c r="F729">
        <v>17758397</v>
      </c>
      <c r="G729" t="s">
        <v>3073</v>
      </c>
    </row>
    <row r="730" spans="1:7" x14ac:dyDescent="0.3">
      <c r="A730" s="302">
        <v>46200.626747685186</v>
      </c>
      <c r="B730" t="s">
        <v>2915</v>
      </c>
      <c r="C730" t="s">
        <v>2689</v>
      </c>
      <c r="D730" t="s">
        <v>2962</v>
      </c>
      <c r="E730" t="s">
        <v>2961</v>
      </c>
      <c r="F730">
        <v>17758397</v>
      </c>
      <c r="G730" t="s">
        <v>3034</v>
      </c>
    </row>
    <row r="731" spans="1:7" x14ac:dyDescent="0.3">
      <c r="A731" s="302">
        <v>46200.626759259256</v>
      </c>
      <c r="B731" t="s">
        <v>2915</v>
      </c>
      <c r="C731" t="s">
        <v>2689</v>
      </c>
      <c r="D731" t="s">
        <v>2715</v>
      </c>
      <c r="E731" t="s">
        <v>2919</v>
      </c>
      <c r="F731" t="s">
        <v>3113</v>
      </c>
      <c r="G731" t="s">
        <v>3039</v>
      </c>
    </row>
    <row r="732" spans="1:7" x14ac:dyDescent="0.3">
      <c r="A732" s="302">
        <v>46200.626770833333</v>
      </c>
      <c r="B732" t="s">
        <v>2915</v>
      </c>
      <c r="C732" t="s">
        <v>2689</v>
      </c>
      <c r="D732" t="s">
        <v>2715</v>
      </c>
      <c r="E732" t="s">
        <v>2919</v>
      </c>
      <c r="F732" t="s">
        <v>3114</v>
      </c>
      <c r="G732" t="s">
        <v>2929</v>
      </c>
    </row>
    <row r="733" spans="1:7" x14ac:dyDescent="0.3">
      <c r="A733" s="302">
        <v>46200.626770833333</v>
      </c>
      <c r="B733" t="s">
        <v>2915</v>
      </c>
      <c r="C733" t="s">
        <v>2689</v>
      </c>
      <c r="D733" t="s">
        <v>2715</v>
      </c>
      <c r="E733" t="s">
        <v>2919</v>
      </c>
      <c r="F733" t="s">
        <v>3115</v>
      </c>
      <c r="G733" t="s">
        <v>2929</v>
      </c>
    </row>
    <row r="734" spans="1:7" x14ac:dyDescent="0.3">
      <c r="A734" s="302">
        <v>46200.626770833333</v>
      </c>
      <c r="B734" t="s">
        <v>2915</v>
      </c>
      <c r="C734" t="s">
        <v>2689</v>
      </c>
      <c r="D734" t="s">
        <v>2715</v>
      </c>
      <c r="E734" t="s">
        <v>2919</v>
      </c>
      <c r="F734" t="s">
        <v>3116</v>
      </c>
      <c r="G734" t="s">
        <v>2931</v>
      </c>
    </row>
    <row r="735" spans="1:7" x14ac:dyDescent="0.3">
      <c r="A735" s="302">
        <v>46200.626770833333</v>
      </c>
      <c r="B735" t="s">
        <v>2915</v>
      </c>
      <c r="C735" t="s">
        <v>2689</v>
      </c>
      <c r="D735" t="s">
        <v>2715</v>
      </c>
      <c r="E735" t="s">
        <v>2919</v>
      </c>
      <c r="F735" t="s">
        <v>3117</v>
      </c>
      <c r="G735" t="s">
        <v>2822</v>
      </c>
    </row>
    <row r="736" spans="1:7" x14ac:dyDescent="0.3">
      <c r="A736" s="302">
        <v>46200.626770833333</v>
      </c>
      <c r="B736" t="s">
        <v>2915</v>
      </c>
      <c r="C736" t="s">
        <v>2689</v>
      </c>
      <c r="D736" t="s">
        <v>2715</v>
      </c>
      <c r="E736" t="s">
        <v>2919</v>
      </c>
      <c r="F736" t="s">
        <v>3118</v>
      </c>
      <c r="G736" t="s">
        <v>3119</v>
      </c>
    </row>
    <row r="737" spans="1:7" x14ac:dyDescent="0.3">
      <c r="A737" s="302">
        <v>46200.626770833333</v>
      </c>
      <c r="B737" t="s">
        <v>2915</v>
      </c>
      <c r="C737" t="s">
        <v>2689</v>
      </c>
      <c r="D737" t="s">
        <v>2715</v>
      </c>
      <c r="E737" t="s">
        <v>2919</v>
      </c>
      <c r="F737" t="s">
        <v>3120</v>
      </c>
      <c r="G737" t="s">
        <v>2978</v>
      </c>
    </row>
    <row r="738" spans="1:7" x14ac:dyDescent="0.3">
      <c r="A738" s="302">
        <v>46200.626770833333</v>
      </c>
      <c r="B738" t="s">
        <v>2915</v>
      </c>
      <c r="C738" t="s">
        <v>2689</v>
      </c>
      <c r="D738" t="s">
        <v>2715</v>
      </c>
      <c r="E738" t="s">
        <v>2919</v>
      </c>
      <c r="F738" t="s">
        <v>3121</v>
      </c>
      <c r="G738" t="s">
        <v>3048</v>
      </c>
    </row>
    <row r="739" spans="1:7" x14ac:dyDescent="0.3">
      <c r="A739" s="302">
        <v>46200.626770833333</v>
      </c>
      <c r="B739" t="s">
        <v>2915</v>
      </c>
      <c r="C739" t="s">
        <v>2689</v>
      </c>
      <c r="D739" t="s">
        <v>2715</v>
      </c>
      <c r="E739" t="s">
        <v>2919</v>
      </c>
      <c r="F739" t="s">
        <v>3122</v>
      </c>
      <c r="G739" t="s">
        <v>3123</v>
      </c>
    </row>
    <row r="740" spans="1:7" x14ac:dyDescent="0.3">
      <c r="A740" s="302">
        <v>46200.626770833333</v>
      </c>
      <c r="B740" t="s">
        <v>2915</v>
      </c>
      <c r="C740" t="s">
        <v>2689</v>
      </c>
      <c r="D740" t="s">
        <v>2715</v>
      </c>
      <c r="E740" t="s">
        <v>2919</v>
      </c>
      <c r="F740" t="s">
        <v>3124</v>
      </c>
      <c r="G740" t="s">
        <v>3052</v>
      </c>
    </row>
    <row r="741" spans="1:7" x14ac:dyDescent="0.3">
      <c r="A741" s="302">
        <v>46200.626770833333</v>
      </c>
      <c r="B741" t="s">
        <v>2915</v>
      </c>
      <c r="C741" t="s">
        <v>2689</v>
      </c>
      <c r="D741" t="s">
        <v>2715</v>
      </c>
      <c r="E741" t="s">
        <v>2919</v>
      </c>
      <c r="F741" t="s">
        <v>3125</v>
      </c>
      <c r="G741" t="s">
        <v>3126</v>
      </c>
    </row>
    <row r="742" spans="1:7" x14ac:dyDescent="0.3">
      <c r="A742" s="302">
        <v>46200.626782407409</v>
      </c>
      <c r="B742" t="s">
        <v>2915</v>
      </c>
      <c r="C742" t="s">
        <v>2689</v>
      </c>
      <c r="D742" t="s">
        <v>2715</v>
      </c>
      <c r="E742" t="s">
        <v>2919</v>
      </c>
      <c r="F742" t="s">
        <v>3127</v>
      </c>
      <c r="G742" t="s">
        <v>3128</v>
      </c>
    </row>
    <row r="743" spans="1:7" x14ac:dyDescent="0.3">
      <c r="A743" s="302">
        <v>46200.626782407409</v>
      </c>
      <c r="B743" t="s">
        <v>2915</v>
      </c>
      <c r="C743" t="s">
        <v>2689</v>
      </c>
      <c r="D743" t="s">
        <v>2715</v>
      </c>
      <c r="E743" t="s">
        <v>2919</v>
      </c>
      <c r="F743" t="s">
        <v>3129</v>
      </c>
      <c r="G743" t="s">
        <v>2760</v>
      </c>
    </row>
    <row r="744" spans="1:7" x14ac:dyDescent="0.3">
      <c r="A744" s="302">
        <v>46200.626782407409</v>
      </c>
      <c r="B744" t="s">
        <v>2915</v>
      </c>
      <c r="C744" t="s">
        <v>2689</v>
      </c>
      <c r="D744" t="s">
        <v>2715</v>
      </c>
      <c r="E744" t="s">
        <v>2919</v>
      </c>
      <c r="F744" t="s">
        <v>3130</v>
      </c>
      <c r="G744" t="s">
        <v>2776</v>
      </c>
    </row>
    <row r="745" spans="1:7" x14ac:dyDescent="0.3">
      <c r="A745" s="302">
        <v>46200.626782407409</v>
      </c>
      <c r="B745" t="s">
        <v>2915</v>
      </c>
      <c r="C745" t="s">
        <v>2689</v>
      </c>
      <c r="D745" t="s">
        <v>2715</v>
      </c>
      <c r="E745" t="s">
        <v>2919</v>
      </c>
      <c r="F745" t="s">
        <v>3131</v>
      </c>
      <c r="G745" t="s">
        <v>2774</v>
      </c>
    </row>
    <row r="746" spans="1:7" x14ac:dyDescent="0.3">
      <c r="A746" s="302">
        <v>46200.626782407409</v>
      </c>
      <c r="B746" t="s">
        <v>2915</v>
      </c>
      <c r="C746" t="s">
        <v>2689</v>
      </c>
      <c r="D746" t="s">
        <v>2715</v>
      </c>
      <c r="E746" t="s">
        <v>2919</v>
      </c>
      <c r="F746" t="s">
        <v>3133</v>
      </c>
      <c r="G746" t="s">
        <v>3134</v>
      </c>
    </row>
    <row r="747" spans="1:7" x14ac:dyDescent="0.3">
      <c r="A747" s="302">
        <v>46200.626782407409</v>
      </c>
      <c r="B747" t="s">
        <v>2915</v>
      </c>
      <c r="C747" t="s">
        <v>2689</v>
      </c>
      <c r="D747" t="s">
        <v>2715</v>
      </c>
      <c r="E747" t="s">
        <v>2919</v>
      </c>
      <c r="F747" t="s">
        <v>3136</v>
      </c>
      <c r="G747" t="s">
        <v>2784</v>
      </c>
    </row>
    <row r="748" spans="1:7" x14ac:dyDescent="0.3">
      <c r="A748" s="302">
        <v>46200.626782407409</v>
      </c>
      <c r="B748" t="s">
        <v>2915</v>
      </c>
      <c r="C748" t="s">
        <v>2689</v>
      </c>
      <c r="D748" t="s">
        <v>2715</v>
      </c>
      <c r="E748" t="s">
        <v>2919</v>
      </c>
      <c r="F748" t="s">
        <v>3139</v>
      </c>
      <c r="G748" t="s">
        <v>3140</v>
      </c>
    </row>
    <row r="749" spans="1:7" x14ac:dyDescent="0.3">
      <c r="A749" s="302">
        <v>46200.626782407409</v>
      </c>
      <c r="B749" t="s">
        <v>2915</v>
      </c>
      <c r="C749" t="s">
        <v>2689</v>
      </c>
      <c r="D749" t="s">
        <v>2715</v>
      </c>
      <c r="E749" t="s">
        <v>2919</v>
      </c>
      <c r="F749" t="s">
        <v>3141</v>
      </c>
      <c r="G749" t="s">
        <v>2957</v>
      </c>
    </row>
    <row r="750" spans="1:7" x14ac:dyDescent="0.3">
      <c r="A750" s="302">
        <v>46200.626782407409</v>
      </c>
      <c r="B750" t="s">
        <v>2915</v>
      </c>
      <c r="C750" t="s">
        <v>2689</v>
      </c>
      <c r="D750" t="s">
        <v>2715</v>
      </c>
      <c r="E750" t="s">
        <v>2919</v>
      </c>
      <c r="F750" t="s">
        <v>3142</v>
      </c>
      <c r="G750" t="s">
        <v>3143</v>
      </c>
    </row>
    <row r="751" spans="1:7" x14ac:dyDescent="0.3">
      <c r="A751" s="302">
        <v>46200.626793981479</v>
      </c>
      <c r="B751" t="s">
        <v>2915</v>
      </c>
      <c r="C751" t="s">
        <v>2689</v>
      </c>
      <c r="D751" t="s">
        <v>2960</v>
      </c>
      <c r="E751" t="s">
        <v>2961</v>
      </c>
      <c r="F751">
        <v>17758397</v>
      </c>
    </row>
    <row r="752" spans="1:7" x14ac:dyDescent="0.3">
      <c r="A752" s="302">
        <v>46200.627824074072</v>
      </c>
      <c r="B752" t="s">
        <v>2915</v>
      </c>
      <c r="C752" t="s">
        <v>2689</v>
      </c>
      <c r="D752" t="s">
        <v>2715</v>
      </c>
      <c r="E752" t="s">
        <v>2919</v>
      </c>
      <c r="F752" t="s">
        <v>2998</v>
      </c>
      <c r="G752" t="s">
        <v>2999</v>
      </c>
    </row>
    <row r="753" spans="1:7" x14ac:dyDescent="0.3">
      <c r="A753" s="302">
        <v>46200.627824074072</v>
      </c>
      <c r="B753" t="s">
        <v>2915</v>
      </c>
      <c r="C753" t="s">
        <v>2689</v>
      </c>
      <c r="D753" t="s">
        <v>2715</v>
      </c>
      <c r="E753" t="s">
        <v>2919</v>
      </c>
      <c r="F753" t="s">
        <v>3000</v>
      </c>
      <c r="G753" t="s">
        <v>2929</v>
      </c>
    </row>
    <row r="754" spans="1:7" x14ac:dyDescent="0.3">
      <c r="A754" s="302">
        <v>46200.627824074072</v>
      </c>
      <c r="B754" t="s">
        <v>2915</v>
      </c>
      <c r="C754" t="s">
        <v>2689</v>
      </c>
      <c r="D754" t="s">
        <v>2715</v>
      </c>
      <c r="E754" t="s">
        <v>2919</v>
      </c>
      <c r="F754" t="s">
        <v>3001</v>
      </c>
      <c r="G754" t="s">
        <v>2929</v>
      </c>
    </row>
    <row r="755" spans="1:7" x14ac:dyDescent="0.3">
      <c r="A755" s="302">
        <v>46200.627824074072</v>
      </c>
      <c r="B755" t="s">
        <v>2915</v>
      </c>
      <c r="C755" t="s">
        <v>2689</v>
      </c>
      <c r="D755" t="s">
        <v>2715</v>
      </c>
      <c r="E755" t="s">
        <v>2919</v>
      </c>
      <c r="F755" t="s">
        <v>3002</v>
      </c>
      <c r="G755" t="s">
        <v>2931</v>
      </c>
    </row>
    <row r="756" spans="1:7" x14ac:dyDescent="0.3">
      <c r="A756" s="302">
        <v>46200.627824074072</v>
      </c>
      <c r="B756" t="s">
        <v>2915</v>
      </c>
      <c r="C756" t="s">
        <v>2689</v>
      </c>
      <c r="D756" t="s">
        <v>2715</v>
      </c>
      <c r="E756" t="s">
        <v>2919</v>
      </c>
      <c r="F756" t="s">
        <v>3003</v>
      </c>
      <c r="G756" t="s">
        <v>2822</v>
      </c>
    </row>
    <row r="757" spans="1:7" x14ac:dyDescent="0.3">
      <c r="A757" s="302">
        <v>46200.627824074072</v>
      </c>
      <c r="B757" t="s">
        <v>2915</v>
      </c>
      <c r="C757" t="s">
        <v>2689</v>
      </c>
      <c r="D757" t="s">
        <v>2715</v>
      </c>
      <c r="E757" t="s">
        <v>2919</v>
      </c>
      <c r="F757" t="s">
        <v>3144</v>
      </c>
      <c r="G757" t="s">
        <v>2978</v>
      </c>
    </row>
    <row r="758" spans="1:7" x14ac:dyDescent="0.3">
      <c r="A758" s="302">
        <v>46200.627824074072</v>
      </c>
      <c r="B758" t="s">
        <v>2915</v>
      </c>
      <c r="C758" t="s">
        <v>2689</v>
      </c>
      <c r="D758" t="s">
        <v>2715</v>
      </c>
      <c r="E758" t="s">
        <v>2919</v>
      </c>
      <c r="F758" t="s">
        <v>3006</v>
      </c>
      <c r="G758" t="s">
        <v>2825</v>
      </c>
    </row>
    <row r="759" spans="1:7" x14ac:dyDescent="0.3">
      <c r="A759" s="302">
        <v>46200.627824074072</v>
      </c>
      <c r="B759" t="s">
        <v>2915</v>
      </c>
      <c r="C759" t="s">
        <v>2689</v>
      </c>
      <c r="D759" t="s">
        <v>2715</v>
      </c>
      <c r="E759" t="s">
        <v>2919</v>
      </c>
      <c r="F759" t="s">
        <v>3007</v>
      </c>
      <c r="G759" t="s">
        <v>3008</v>
      </c>
    </row>
    <row r="760" spans="1:7" x14ac:dyDescent="0.3">
      <c r="A760" s="302">
        <v>46200.627824074072</v>
      </c>
      <c r="B760" t="s">
        <v>2915</v>
      </c>
      <c r="C760" t="s">
        <v>2689</v>
      </c>
      <c r="D760" t="s">
        <v>2715</v>
      </c>
      <c r="E760" t="s">
        <v>2919</v>
      </c>
      <c r="F760" t="s">
        <v>3009</v>
      </c>
      <c r="G760" t="s">
        <v>2942</v>
      </c>
    </row>
    <row r="761" spans="1:7" x14ac:dyDescent="0.3">
      <c r="A761" s="302">
        <v>46200.627835648149</v>
      </c>
      <c r="B761" t="s">
        <v>2915</v>
      </c>
      <c r="C761" t="s">
        <v>2689</v>
      </c>
      <c r="D761" t="s">
        <v>2715</v>
      </c>
      <c r="E761" t="s">
        <v>2919</v>
      </c>
      <c r="F761" t="s">
        <v>3010</v>
      </c>
      <c r="G761" t="s">
        <v>3011</v>
      </c>
    </row>
    <row r="762" spans="1:7" x14ac:dyDescent="0.3">
      <c r="A762" s="302">
        <v>46200.627835648149</v>
      </c>
      <c r="B762" t="s">
        <v>2915</v>
      </c>
      <c r="C762" t="s">
        <v>2689</v>
      </c>
      <c r="D762" t="s">
        <v>2715</v>
      </c>
      <c r="E762" t="s">
        <v>2919</v>
      </c>
      <c r="F762" t="s">
        <v>3012</v>
      </c>
      <c r="G762" t="s">
        <v>3013</v>
      </c>
    </row>
    <row r="763" spans="1:7" x14ac:dyDescent="0.3">
      <c r="A763" s="302">
        <v>46200.627835648149</v>
      </c>
      <c r="B763" t="s">
        <v>2915</v>
      </c>
      <c r="C763" t="s">
        <v>2689</v>
      </c>
      <c r="D763" t="s">
        <v>2715</v>
      </c>
      <c r="E763" t="s">
        <v>2919</v>
      </c>
      <c r="F763" t="s">
        <v>3014</v>
      </c>
      <c r="G763" t="s">
        <v>2760</v>
      </c>
    </row>
    <row r="764" spans="1:7" x14ac:dyDescent="0.3">
      <c r="A764" s="302">
        <v>46200.627835648149</v>
      </c>
      <c r="B764" t="s">
        <v>2915</v>
      </c>
      <c r="C764" t="s">
        <v>2689</v>
      </c>
      <c r="D764" t="s">
        <v>2715</v>
      </c>
      <c r="E764" t="s">
        <v>2919</v>
      </c>
      <c r="F764" t="s">
        <v>3015</v>
      </c>
      <c r="G764" t="s">
        <v>2791</v>
      </c>
    </row>
    <row r="765" spans="1:7" x14ac:dyDescent="0.3">
      <c r="A765" s="302">
        <v>46200.627835648149</v>
      </c>
      <c r="B765" t="s">
        <v>2915</v>
      </c>
      <c r="C765" t="s">
        <v>2689</v>
      </c>
      <c r="D765" t="s">
        <v>2715</v>
      </c>
      <c r="E765" t="s">
        <v>2919</v>
      </c>
      <c r="F765" t="s">
        <v>3016</v>
      </c>
      <c r="G765" t="s">
        <v>2760</v>
      </c>
    </row>
    <row r="766" spans="1:7" x14ac:dyDescent="0.3">
      <c r="A766" s="302">
        <v>46200.627835648149</v>
      </c>
      <c r="B766" t="s">
        <v>2915</v>
      </c>
      <c r="C766" t="s">
        <v>2689</v>
      </c>
      <c r="D766" t="s">
        <v>2715</v>
      </c>
      <c r="E766" t="s">
        <v>2919</v>
      </c>
      <c r="F766" t="s">
        <v>3017</v>
      </c>
      <c r="G766" t="s">
        <v>2774</v>
      </c>
    </row>
    <row r="767" spans="1:7" x14ac:dyDescent="0.3">
      <c r="A767" s="302">
        <v>46200.627835648149</v>
      </c>
      <c r="B767" t="s">
        <v>2915</v>
      </c>
      <c r="C767" t="s">
        <v>2689</v>
      </c>
      <c r="D767" t="s">
        <v>2715</v>
      </c>
      <c r="E767" t="s">
        <v>2919</v>
      </c>
      <c r="F767" t="s">
        <v>3019</v>
      </c>
      <c r="G767" t="s">
        <v>3020</v>
      </c>
    </row>
    <row r="768" spans="1:7" x14ac:dyDescent="0.3">
      <c r="A768" s="302">
        <v>46200.627835648149</v>
      </c>
      <c r="B768" t="s">
        <v>2915</v>
      </c>
      <c r="C768" t="s">
        <v>2689</v>
      </c>
      <c r="D768" t="s">
        <v>2715</v>
      </c>
      <c r="E768" t="s">
        <v>2919</v>
      </c>
      <c r="F768" t="s">
        <v>3021</v>
      </c>
      <c r="G768" t="s">
        <v>2776</v>
      </c>
    </row>
    <row r="769" spans="1:7" x14ac:dyDescent="0.3">
      <c r="A769" s="302">
        <v>46200.627835648149</v>
      </c>
      <c r="B769" t="s">
        <v>2915</v>
      </c>
      <c r="C769" t="s">
        <v>2689</v>
      </c>
      <c r="D769" t="s">
        <v>2715</v>
      </c>
      <c r="E769" t="s">
        <v>2919</v>
      </c>
      <c r="F769" t="s">
        <v>3023</v>
      </c>
      <c r="G769" t="s">
        <v>2784</v>
      </c>
    </row>
    <row r="770" spans="1:7" x14ac:dyDescent="0.3">
      <c r="A770" s="302">
        <v>46200.627835648149</v>
      </c>
      <c r="B770" t="s">
        <v>2915</v>
      </c>
      <c r="C770" t="s">
        <v>2689</v>
      </c>
      <c r="D770" t="s">
        <v>2715</v>
      </c>
      <c r="E770" t="s">
        <v>2919</v>
      </c>
      <c r="F770" t="s">
        <v>3026</v>
      </c>
      <c r="G770" t="s">
        <v>3027</v>
      </c>
    </row>
    <row r="771" spans="1:7" x14ac:dyDescent="0.3">
      <c r="A771" s="302">
        <v>46200.627835648149</v>
      </c>
      <c r="B771" t="s">
        <v>2915</v>
      </c>
      <c r="C771" t="s">
        <v>2689</v>
      </c>
      <c r="D771" t="s">
        <v>2715</v>
      </c>
      <c r="E771" t="s">
        <v>2919</v>
      </c>
      <c r="F771" t="s">
        <v>3028</v>
      </c>
      <c r="G771" t="s">
        <v>2957</v>
      </c>
    </row>
    <row r="772" spans="1:7" x14ac:dyDescent="0.3">
      <c r="A772" s="302">
        <v>46200.627835648149</v>
      </c>
      <c r="B772" t="s">
        <v>2915</v>
      </c>
      <c r="C772" t="s">
        <v>2689</v>
      </c>
      <c r="D772" t="s">
        <v>2715</v>
      </c>
      <c r="E772" t="s">
        <v>2919</v>
      </c>
      <c r="F772" t="s">
        <v>3029</v>
      </c>
      <c r="G772" t="s">
        <v>3030</v>
      </c>
    </row>
    <row r="773" spans="1:7" x14ac:dyDescent="0.3">
      <c r="A773" s="302">
        <v>46200.627847222226</v>
      </c>
      <c r="B773" t="s">
        <v>2915</v>
      </c>
      <c r="C773" t="s">
        <v>2689</v>
      </c>
      <c r="D773" t="s">
        <v>2960</v>
      </c>
      <c r="E773" t="s">
        <v>2961</v>
      </c>
      <c r="F773">
        <v>17753919</v>
      </c>
    </row>
    <row r="774" spans="1:7" x14ac:dyDescent="0.3">
      <c r="A774" s="302">
        <v>46201.661956018521</v>
      </c>
      <c r="B774" t="s">
        <v>2669</v>
      </c>
      <c r="C774" t="s">
        <v>2671</v>
      </c>
      <c r="D774" t="s">
        <v>2708</v>
      </c>
      <c r="E774" t="s">
        <v>2709</v>
      </c>
      <c r="F774" t="s">
        <v>2669</v>
      </c>
      <c r="G774" t="s">
        <v>2710</v>
      </c>
    </row>
    <row r="775" spans="1:7" x14ac:dyDescent="0.3">
      <c r="A775" s="302">
        <v>46201.663402777776</v>
      </c>
      <c r="B775" t="s">
        <v>2669</v>
      </c>
      <c r="C775" t="s">
        <v>2671</v>
      </c>
      <c r="D775" t="s">
        <v>2708</v>
      </c>
      <c r="E775" t="s">
        <v>2709</v>
      </c>
      <c r="F775" t="s">
        <v>2669</v>
      </c>
      <c r="G775" t="s">
        <v>2710</v>
      </c>
    </row>
    <row r="776" spans="1:7" x14ac:dyDescent="0.3">
      <c r="A776" s="302">
        <v>46201.664247685185</v>
      </c>
      <c r="B776" t="s">
        <v>2669</v>
      </c>
      <c r="C776" t="s">
        <v>2671</v>
      </c>
      <c r="D776" t="s">
        <v>2708</v>
      </c>
      <c r="E776" t="s">
        <v>2709</v>
      </c>
      <c r="F776" t="s">
        <v>2669</v>
      </c>
      <c r="G776" t="s">
        <v>2710</v>
      </c>
    </row>
    <row r="777" spans="1:7" x14ac:dyDescent="0.3">
      <c r="A777" s="302">
        <v>46201.711631944447</v>
      </c>
      <c r="B777" t="s">
        <v>2669</v>
      </c>
      <c r="C777" t="s">
        <v>2671</v>
      </c>
      <c r="D777" t="s">
        <v>2708</v>
      </c>
      <c r="E777" t="s">
        <v>2709</v>
      </c>
      <c r="F777" t="s">
        <v>2669</v>
      </c>
      <c r="G777" t="s">
        <v>2710</v>
      </c>
    </row>
    <row r="778" spans="1:7" x14ac:dyDescent="0.3">
      <c r="A778" s="302">
        <v>46201.983124999999</v>
      </c>
      <c r="B778" t="s">
        <v>2669</v>
      </c>
      <c r="C778" t="s">
        <v>2671</v>
      </c>
      <c r="D778" t="s">
        <v>2708</v>
      </c>
      <c r="E778" t="s">
        <v>2709</v>
      </c>
      <c r="F778" t="s">
        <v>2669</v>
      </c>
      <c r="G778" t="s">
        <v>2710</v>
      </c>
    </row>
    <row r="779" spans="1:7" x14ac:dyDescent="0.3">
      <c r="A779" s="302">
        <v>46201.983506944445</v>
      </c>
      <c r="B779" t="s">
        <v>2669</v>
      </c>
      <c r="C779" t="s">
        <v>2671</v>
      </c>
      <c r="D779" t="s">
        <v>2715</v>
      </c>
      <c r="E779" t="s">
        <v>2919</v>
      </c>
      <c r="F779" t="s">
        <v>3148</v>
      </c>
      <c r="G779" t="s">
        <v>3149</v>
      </c>
    </row>
    <row r="780" spans="1:7" x14ac:dyDescent="0.3">
      <c r="A780" s="302">
        <v>46201.983506944445</v>
      </c>
      <c r="B780" t="s">
        <v>2669</v>
      </c>
      <c r="C780" t="s">
        <v>2671</v>
      </c>
      <c r="D780" t="s">
        <v>2715</v>
      </c>
      <c r="E780" t="s">
        <v>2919</v>
      </c>
      <c r="F780" t="s">
        <v>3150</v>
      </c>
      <c r="G780" t="s">
        <v>2929</v>
      </c>
    </row>
    <row r="781" spans="1:7" x14ac:dyDescent="0.3">
      <c r="A781" s="302">
        <v>46201.983506944445</v>
      </c>
      <c r="B781" t="s">
        <v>2669</v>
      </c>
      <c r="C781" t="s">
        <v>2671</v>
      </c>
      <c r="D781" t="s">
        <v>2715</v>
      </c>
      <c r="E781" t="s">
        <v>2919</v>
      </c>
      <c r="F781" t="s">
        <v>3151</v>
      </c>
      <c r="G781" t="s">
        <v>2929</v>
      </c>
    </row>
    <row r="782" spans="1:7" x14ac:dyDescent="0.3">
      <c r="A782" s="302">
        <v>46201.983506944445</v>
      </c>
      <c r="B782" t="s">
        <v>2669</v>
      </c>
      <c r="C782" t="s">
        <v>2671</v>
      </c>
      <c r="D782" t="s">
        <v>2715</v>
      </c>
      <c r="E782" t="s">
        <v>2919</v>
      </c>
      <c r="F782" t="s">
        <v>3152</v>
      </c>
      <c r="G782" t="s">
        <v>2931</v>
      </c>
    </row>
    <row r="783" spans="1:7" x14ac:dyDescent="0.3">
      <c r="A783" s="302">
        <v>46201.983506944445</v>
      </c>
      <c r="B783" t="s">
        <v>2669</v>
      </c>
      <c r="C783" t="s">
        <v>2671</v>
      </c>
      <c r="D783" t="s">
        <v>2715</v>
      </c>
      <c r="E783" t="s">
        <v>2919</v>
      </c>
      <c r="F783" t="s">
        <v>3153</v>
      </c>
      <c r="G783" t="s">
        <v>2758</v>
      </c>
    </row>
    <row r="784" spans="1:7" x14ac:dyDescent="0.3">
      <c r="A784" s="302">
        <v>46201.983506944445</v>
      </c>
      <c r="B784" t="s">
        <v>2669</v>
      </c>
      <c r="C784" t="s">
        <v>2671</v>
      </c>
      <c r="D784" t="s">
        <v>2715</v>
      </c>
      <c r="E784" t="s">
        <v>2919</v>
      </c>
      <c r="F784" t="s">
        <v>3154</v>
      </c>
      <c r="G784" t="s">
        <v>3155</v>
      </c>
    </row>
    <row r="785" spans="1:7" x14ac:dyDescent="0.3">
      <c r="A785" s="302">
        <v>46201.983506944445</v>
      </c>
      <c r="B785" t="s">
        <v>2669</v>
      </c>
      <c r="C785" t="s">
        <v>2671</v>
      </c>
      <c r="D785" t="s">
        <v>2715</v>
      </c>
      <c r="E785" t="s">
        <v>2919</v>
      </c>
      <c r="F785" t="s">
        <v>3156</v>
      </c>
      <c r="G785" t="s">
        <v>3157</v>
      </c>
    </row>
    <row r="786" spans="1:7" x14ac:dyDescent="0.3">
      <c r="A786" s="302">
        <v>46201.983506944445</v>
      </c>
      <c r="B786" t="s">
        <v>2669</v>
      </c>
      <c r="C786" t="s">
        <v>2671</v>
      </c>
      <c r="D786" t="s">
        <v>2715</v>
      </c>
      <c r="E786" t="s">
        <v>2919</v>
      </c>
      <c r="F786" t="s">
        <v>3158</v>
      </c>
      <c r="G786" t="s">
        <v>3159</v>
      </c>
    </row>
    <row r="787" spans="1:7" x14ac:dyDescent="0.3">
      <c r="A787" s="302">
        <v>46201.983506944445</v>
      </c>
      <c r="B787" t="s">
        <v>2669</v>
      </c>
      <c r="C787" t="s">
        <v>2671</v>
      </c>
      <c r="D787" t="s">
        <v>2715</v>
      </c>
      <c r="E787" t="s">
        <v>2919</v>
      </c>
      <c r="F787" t="s">
        <v>3160</v>
      </c>
      <c r="G787" t="s">
        <v>3161</v>
      </c>
    </row>
    <row r="788" spans="1:7" x14ac:dyDescent="0.3">
      <c r="A788" s="302">
        <v>46201.983506944445</v>
      </c>
      <c r="B788" t="s">
        <v>2669</v>
      </c>
      <c r="C788" t="s">
        <v>2671</v>
      </c>
      <c r="D788" t="s">
        <v>2715</v>
      </c>
      <c r="E788" t="s">
        <v>2919</v>
      </c>
      <c r="F788" t="s">
        <v>3162</v>
      </c>
      <c r="G788" t="s">
        <v>2942</v>
      </c>
    </row>
    <row r="789" spans="1:7" x14ac:dyDescent="0.3">
      <c r="A789" s="302">
        <v>46201.983506944445</v>
      </c>
      <c r="B789" t="s">
        <v>2669</v>
      </c>
      <c r="C789" t="s">
        <v>2671</v>
      </c>
      <c r="D789" t="s">
        <v>2715</v>
      </c>
      <c r="E789" t="s">
        <v>2919</v>
      </c>
      <c r="F789" t="s">
        <v>3163</v>
      </c>
      <c r="G789" t="s">
        <v>3164</v>
      </c>
    </row>
    <row r="790" spans="1:7" x14ac:dyDescent="0.3">
      <c r="A790" s="302">
        <v>46201.983506944445</v>
      </c>
      <c r="B790" t="s">
        <v>2669</v>
      </c>
      <c r="C790" t="s">
        <v>2671</v>
      </c>
      <c r="D790" t="s">
        <v>2715</v>
      </c>
      <c r="E790" t="s">
        <v>2919</v>
      </c>
      <c r="F790" t="s">
        <v>3165</v>
      </c>
      <c r="G790" t="s">
        <v>3166</v>
      </c>
    </row>
    <row r="791" spans="1:7" x14ac:dyDescent="0.3">
      <c r="A791" s="302">
        <v>46201.983506944445</v>
      </c>
      <c r="B791" t="s">
        <v>2669</v>
      </c>
      <c r="C791" t="s">
        <v>2671</v>
      </c>
      <c r="D791" t="s">
        <v>2715</v>
      </c>
      <c r="E791" t="s">
        <v>2919</v>
      </c>
      <c r="F791" t="s">
        <v>3167</v>
      </c>
      <c r="G791" t="s">
        <v>2760</v>
      </c>
    </row>
    <row r="792" spans="1:7" x14ac:dyDescent="0.3">
      <c r="A792" s="302">
        <v>46201.983506944445</v>
      </c>
      <c r="B792" t="s">
        <v>2669</v>
      </c>
      <c r="C792" t="s">
        <v>2671</v>
      </c>
      <c r="D792" t="s">
        <v>2715</v>
      </c>
      <c r="E792" t="s">
        <v>2919</v>
      </c>
      <c r="F792" t="s">
        <v>3168</v>
      </c>
      <c r="G792" t="s">
        <v>2791</v>
      </c>
    </row>
    <row r="793" spans="1:7" x14ac:dyDescent="0.3">
      <c r="A793" s="302">
        <v>46201.983518518522</v>
      </c>
      <c r="B793" t="s">
        <v>2669</v>
      </c>
      <c r="C793" t="s">
        <v>2671</v>
      </c>
      <c r="D793" t="s">
        <v>2715</v>
      </c>
      <c r="E793" t="s">
        <v>2919</v>
      </c>
      <c r="F793" t="s">
        <v>3169</v>
      </c>
      <c r="G793" t="s">
        <v>2774</v>
      </c>
    </row>
    <row r="794" spans="1:7" x14ac:dyDescent="0.3">
      <c r="A794" s="302">
        <v>46201.983518518522</v>
      </c>
      <c r="B794" t="s">
        <v>2669</v>
      </c>
      <c r="C794" t="s">
        <v>2671</v>
      </c>
      <c r="D794" t="s">
        <v>2715</v>
      </c>
      <c r="E794" t="s">
        <v>2919</v>
      </c>
      <c r="F794" t="s">
        <v>3170</v>
      </c>
      <c r="G794" t="s">
        <v>3171</v>
      </c>
    </row>
    <row r="795" spans="1:7" x14ac:dyDescent="0.3">
      <c r="A795" s="302">
        <v>46201.983518518522</v>
      </c>
      <c r="B795" t="s">
        <v>2669</v>
      </c>
      <c r="C795" t="s">
        <v>2671</v>
      </c>
      <c r="D795" t="s">
        <v>2715</v>
      </c>
      <c r="E795" t="s">
        <v>2919</v>
      </c>
      <c r="F795" t="s">
        <v>3172</v>
      </c>
      <c r="G795" t="s">
        <v>2784</v>
      </c>
    </row>
    <row r="796" spans="1:7" x14ac:dyDescent="0.3">
      <c r="A796" s="302">
        <v>46201.983518518522</v>
      </c>
      <c r="B796" t="s">
        <v>2669</v>
      </c>
      <c r="C796" t="s">
        <v>2671</v>
      </c>
      <c r="D796" t="s">
        <v>2715</v>
      </c>
      <c r="E796" t="s">
        <v>2919</v>
      </c>
      <c r="F796" t="s">
        <v>3173</v>
      </c>
      <c r="G796" t="s">
        <v>3174</v>
      </c>
    </row>
    <row r="797" spans="1:7" x14ac:dyDescent="0.3">
      <c r="A797" s="302">
        <v>46201.983518518522</v>
      </c>
      <c r="B797" t="s">
        <v>2669</v>
      </c>
      <c r="C797" t="s">
        <v>2671</v>
      </c>
      <c r="D797" t="s">
        <v>2715</v>
      </c>
      <c r="E797" t="s">
        <v>2919</v>
      </c>
      <c r="F797" t="s">
        <v>3175</v>
      </c>
      <c r="G797" t="s">
        <v>2784</v>
      </c>
    </row>
    <row r="798" spans="1:7" x14ac:dyDescent="0.3">
      <c r="A798" s="302">
        <v>46201.983518518522</v>
      </c>
      <c r="B798" t="s">
        <v>2669</v>
      </c>
      <c r="C798" t="s">
        <v>2671</v>
      </c>
      <c r="D798" t="s">
        <v>2715</v>
      </c>
      <c r="E798" t="s">
        <v>2919</v>
      </c>
      <c r="F798" t="s">
        <v>3176</v>
      </c>
      <c r="G798" t="s">
        <v>2784</v>
      </c>
    </row>
    <row r="799" spans="1:7" x14ac:dyDescent="0.3">
      <c r="A799" s="302">
        <v>46201.983518518522</v>
      </c>
      <c r="B799" t="s">
        <v>2669</v>
      </c>
      <c r="C799" t="s">
        <v>2671</v>
      </c>
      <c r="D799" t="s">
        <v>2715</v>
      </c>
      <c r="E799" t="s">
        <v>2919</v>
      </c>
      <c r="F799" t="s">
        <v>3177</v>
      </c>
      <c r="G799" t="s">
        <v>2957</v>
      </c>
    </row>
    <row r="800" spans="1:7" x14ac:dyDescent="0.3">
      <c r="A800" s="302">
        <v>46201.983518518522</v>
      </c>
      <c r="B800" t="s">
        <v>2669</v>
      </c>
      <c r="C800" t="s">
        <v>2671</v>
      </c>
      <c r="D800" t="s">
        <v>2715</v>
      </c>
      <c r="E800" t="s">
        <v>2919</v>
      </c>
      <c r="F800" t="s">
        <v>3178</v>
      </c>
      <c r="G800" t="s">
        <v>3179</v>
      </c>
    </row>
    <row r="801" spans="1:7" x14ac:dyDescent="0.3">
      <c r="A801" s="302">
        <v>46201.983518518522</v>
      </c>
      <c r="B801" t="s">
        <v>2669</v>
      </c>
      <c r="C801" t="s">
        <v>2671</v>
      </c>
      <c r="D801" t="s">
        <v>2715</v>
      </c>
      <c r="E801" t="s">
        <v>2919</v>
      </c>
      <c r="F801" t="s">
        <v>3180</v>
      </c>
      <c r="G801" t="s">
        <v>3181</v>
      </c>
    </row>
    <row r="802" spans="1:7" x14ac:dyDescent="0.3">
      <c r="A802" s="302">
        <v>46201.983518518522</v>
      </c>
      <c r="B802" t="s">
        <v>2669</v>
      </c>
      <c r="C802" t="s">
        <v>2671</v>
      </c>
      <c r="D802" t="s">
        <v>2715</v>
      </c>
      <c r="E802" t="s">
        <v>2919</v>
      </c>
      <c r="F802" t="s">
        <v>3182</v>
      </c>
      <c r="G802" t="s">
        <v>3183</v>
      </c>
    </row>
    <row r="803" spans="1:7" x14ac:dyDescent="0.3">
      <c r="A803" s="302">
        <v>46201.983518518522</v>
      </c>
      <c r="B803" t="s">
        <v>2669</v>
      </c>
      <c r="C803" t="s">
        <v>2671</v>
      </c>
      <c r="D803" t="s">
        <v>2960</v>
      </c>
      <c r="E803" t="s">
        <v>2961</v>
      </c>
      <c r="F803">
        <v>16300986</v>
      </c>
    </row>
    <row r="804" spans="1:7" x14ac:dyDescent="0.3">
      <c r="A804" s="302">
        <v>46201.983969907407</v>
      </c>
      <c r="B804" t="s">
        <v>2669</v>
      </c>
      <c r="C804" t="s">
        <v>2671</v>
      </c>
      <c r="D804" t="s">
        <v>2715</v>
      </c>
      <c r="E804" t="s">
        <v>2919</v>
      </c>
      <c r="F804" t="s">
        <v>3148</v>
      </c>
      <c r="G804" t="s">
        <v>3149</v>
      </c>
    </row>
    <row r="805" spans="1:7" x14ac:dyDescent="0.3">
      <c r="A805" s="302">
        <v>46201.983969907407</v>
      </c>
      <c r="B805" t="s">
        <v>2669</v>
      </c>
      <c r="C805" t="s">
        <v>2671</v>
      </c>
      <c r="D805" t="s">
        <v>2715</v>
      </c>
      <c r="E805" t="s">
        <v>2919</v>
      </c>
      <c r="F805" t="s">
        <v>3150</v>
      </c>
      <c r="G805" t="s">
        <v>2929</v>
      </c>
    </row>
    <row r="806" spans="1:7" x14ac:dyDescent="0.3">
      <c r="A806" s="302">
        <v>46201.983969907407</v>
      </c>
      <c r="B806" t="s">
        <v>2669</v>
      </c>
      <c r="C806" t="s">
        <v>2671</v>
      </c>
      <c r="D806" t="s">
        <v>2715</v>
      </c>
      <c r="E806" t="s">
        <v>2919</v>
      </c>
      <c r="F806" t="s">
        <v>3151</v>
      </c>
      <c r="G806" t="s">
        <v>2929</v>
      </c>
    </row>
    <row r="807" spans="1:7" x14ac:dyDescent="0.3">
      <c r="A807" s="302">
        <v>46201.983969907407</v>
      </c>
      <c r="B807" t="s">
        <v>2669</v>
      </c>
      <c r="C807" t="s">
        <v>2671</v>
      </c>
      <c r="D807" t="s">
        <v>2715</v>
      </c>
      <c r="E807" t="s">
        <v>2919</v>
      </c>
      <c r="F807" t="s">
        <v>3152</v>
      </c>
      <c r="G807" t="s">
        <v>2931</v>
      </c>
    </row>
    <row r="808" spans="1:7" x14ac:dyDescent="0.3">
      <c r="A808" s="302">
        <v>46201.983969907407</v>
      </c>
      <c r="B808" t="s">
        <v>2669</v>
      </c>
      <c r="C808" t="s">
        <v>2671</v>
      </c>
      <c r="D808" t="s">
        <v>2715</v>
      </c>
      <c r="E808" t="s">
        <v>2919</v>
      </c>
      <c r="F808" t="s">
        <v>3153</v>
      </c>
      <c r="G808" t="s">
        <v>2758</v>
      </c>
    </row>
    <row r="809" spans="1:7" x14ac:dyDescent="0.3">
      <c r="A809" s="302">
        <v>46201.983969907407</v>
      </c>
      <c r="B809" t="s">
        <v>2669</v>
      </c>
      <c r="C809" t="s">
        <v>2671</v>
      </c>
      <c r="D809" t="s">
        <v>2715</v>
      </c>
      <c r="E809" t="s">
        <v>2919</v>
      </c>
      <c r="F809" t="s">
        <v>3154</v>
      </c>
      <c r="G809" t="s">
        <v>3155</v>
      </c>
    </row>
    <row r="810" spans="1:7" x14ac:dyDescent="0.3">
      <c r="A810" s="302">
        <v>46201.983969907407</v>
      </c>
      <c r="B810" t="s">
        <v>2669</v>
      </c>
      <c r="C810" t="s">
        <v>2671</v>
      </c>
      <c r="D810" t="s">
        <v>2715</v>
      </c>
      <c r="E810" t="s">
        <v>2919</v>
      </c>
      <c r="F810" t="s">
        <v>3156</v>
      </c>
      <c r="G810" t="s">
        <v>3157</v>
      </c>
    </row>
    <row r="811" spans="1:7" x14ac:dyDescent="0.3">
      <c r="A811" s="302">
        <v>46201.983969907407</v>
      </c>
      <c r="B811" t="s">
        <v>2669</v>
      </c>
      <c r="C811" t="s">
        <v>2671</v>
      </c>
      <c r="D811" t="s">
        <v>2715</v>
      </c>
      <c r="E811" t="s">
        <v>2919</v>
      </c>
      <c r="F811" t="s">
        <v>3158</v>
      </c>
      <c r="G811" t="s">
        <v>3159</v>
      </c>
    </row>
    <row r="812" spans="1:7" x14ac:dyDescent="0.3">
      <c r="A812" s="302">
        <v>46201.983969907407</v>
      </c>
      <c r="B812" t="s">
        <v>2669</v>
      </c>
      <c r="C812" t="s">
        <v>2671</v>
      </c>
      <c r="D812" t="s">
        <v>2715</v>
      </c>
      <c r="E812" t="s">
        <v>2919</v>
      </c>
      <c r="F812" t="s">
        <v>3160</v>
      </c>
      <c r="G812" t="s">
        <v>3184</v>
      </c>
    </row>
    <row r="813" spans="1:7" x14ac:dyDescent="0.3">
      <c r="A813" s="302">
        <v>46201.983969907407</v>
      </c>
      <c r="B813" t="s">
        <v>2669</v>
      </c>
      <c r="C813" t="s">
        <v>2671</v>
      </c>
      <c r="D813" t="s">
        <v>2715</v>
      </c>
      <c r="E813" t="s">
        <v>2919</v>
      </c>
      <c r="F813" t="s">
        <v>3162</v>
      </c>
      <c r="G813" t="s">
        <v>2942</v>
      </c>
    </row>
    <row r="814" spans="1:7" x14ac:dyDescent="0.3">
      <c r="A814" s="302">
        <v>46201.983969907407</v>
      </c>
      <c r="B814" t="s">
        <v>2669</v>
      </c>
      <c r="C814" t="s">
        <v>2671</v>
      </c>
      <c r="D814" t="s">
        <v>2715</v>
      </c>
      <c r="E814" t="s">
        <v>2919</v>
      </c>
      <c r="F814" t="s">
        <v>3163</v>
      </c>
      <c r="G814" t="s">
        <v>3164</v>
      </c>
    </row>
    <row r="815" spans="1:7" x14ac:dyDescent="0.3">
      <c r="A815" s="302">
        <v>46201.983969907407</v>
      </c>
      <c r="B815" t="s">
        <v>2669</v>
      </c>
      <c r="C815" t="s">
        <v>2671</v>
      </c>
      <c r="D815" t="s">
        <v>2715</v>
      </c>
      <c r="E815" t="s">
        <v>2919</v>
      </c>
      <c r="F815" t="s">
        <v>3165</v>
      </c>
      <c r="G815" t="s">
        <v>3166</v>
      </c>
    </row>
    <row r="816" spans="1:7" x14ac:dyDescent="0.3">
      <c r="A816" s="302">
        <v>46201.983969907407</v>
      </c>
      <c r="B816" t="s">
        <v>2669</v>
      </c>
      <c r="C816" t="s">
        <v>2671</v>
      </c>
      <c r="D816" t="s">
        <v>2715</v>
      </c>
      <c r="E816" t="s">
        <v>2919</v>
      </c>
      <c r="F816" t="s">
        <v>3167</v>
      </c>
      <c r="G816" t="s">
        <v>2760</v>
      </c>
    </row>
    <row r="817" spans="1:7" x14ac:dyDescent="0.3">
      <c r="A817" s="302">
        <v>46201.983969907407</v>
      </c>
      <c r="B817" t="s">
        <v>2669</v>
      </c>
      <c r="C817" t="s">
        <v>2671</v>
      </c>
      <c r="D817" t="s">
        <v>2715</v>
      </c>
      <c r="E817" t="s">
        <v>2919</v>
      </c>
      <c r="F817" t="s">
        <v>3168</v>
      </c>
      <c r="G817" t="s">
        <v>2791</v>
      </c>
    </row>
    <row r="818" spans="1:7" x14ac:dyDescent="0.3">
      <c r="A818" s="302">
        <v>46201.983969907407</v>
      </c>
      <c r="B818" t="s">
        <v>2669</v>
      </c>
      <c r="C818" t="s">
        <v>2671</v>
      </c>
      <c r="D818" t="s">
        <v>2715</v>
      </c>
      <c r="E818" t="s">
        <v>2919</v>
      </c>
      <c r="F818" t="s">
        <v>3169</v>
      </c>
      <c r="G818" t="s">
        <v>2774</v>
      </c>
    </row>
    <row r="819" spans="1:7" x14ac:dyDescent="0.3">
      <c r="A819" s="302">
        <v>46201.983981481484</v>
      </c>
      <c r="B819" t="s">
        <v>2669</v>
      </c>
      <c r="C819" t="s">
        <v>2671</v>
      </c>
      <c r="D819" t="s">
        <v>2715</v>
      </c>
      <c r="E819" t="s">
        <v>2919</v>
      </c>
      <c r="F819" t="s">
        <v>3170</v>
      </c>
      <c r="G819" t="s">
        <v>3171</v>
      </c>
    </row>
    <row r="820" spans="1:7" x14ac:dyDescent="0.3">
      <c r="A820" s="302">
        <v>46201.983981481484</v>
      </c>
      <c r="B820" t="s">
        <v>2669</v>
      </c>
      <c r="C820" t="s">
        <v>2671</v>
      </c>
      <c r="D820" t="s">
        <v>2715</v>
      </c>
      <c r="E820" t="s">
        <v>2919</v>
      </c>
      <c r="F820" t="s">
        <v>3172</v>
      </c>
      <c r="G820" t="s">
        <v>2784</v>
      </c>
    </row>
    <row r="821" spans="1:7" x14ac:dyDescent="0.3">
      <c r="A821" s="302">
        <v>46201.983981481484</v>
      </c>
      <c r="B821" t="s">
        <v>2669</v>
      </c>
      <c r="C821" t="s">
        <v>2671</v>
      </c>
      <c r="D821" t="s">
        <v>2715</v>
      </c>
      <c r="E821" t="s">
        <v>2919</v>
      </c>
      <c r="F821" t="s">
        <v>3173</v>
      </c>
      <c r="G821" t="s">
        <v>3174</v>
      </c>
    </row>
    <row r="822" spans="1:7" x14ac:dyDescent="0.3">
      <c r="A822" s="302">
        <v>46201.983981481484</v>
      </c>
      <c r="B822" t="s">
        <v>2669</v>
      </c>
      <c r="C822" t="s">
        <v>2671</v>
      </c>
      <c r="D822" t="s">
        <v>2715</v>
      </c>
      <c r="E822" t="s">
        <v>2919</v>
      </c>
      <c r="F822" t="s">
        <v>3176</v>
      </c>
      <c r="G822" t="s">
        <v>2784</v>
      </c>
    </row>
    <row r="823" spans="1:7" x14ac:dyDescent="0.3">
      <c r="A823" s="302">
        <v>46201.983981481484</v>
      </c>
      <c r="B823" t="s">
        <v>2669</v>
      </c>
      <c r="C823" t="s">
        <v>2671</v>
      </c>
      <c r="D823" t="s">
        <v>2715</v>
      </c>
      <c r="E823" t="s">
        <v>2919</v>
      </c>
      <c r="F823" t="s">
        <v>3177</v>
      </c>
      <c r="G823" t="s">
        <v>2957</v>
      </c>
    </row>
    <row r="824" spans="1:7" x14ac:dyDescent="0.3">
      <c r="A824" s="302">
        <v>46201.983981481484</v>
      </c>
      <c r="B824" t="s">
        <v>2669</v>
      </c>
      <c r="C824" t="s">
        <v>2671</v>
      </c>
      <c r="D824" t="s">
        <v>2715</v>
      </c>
      <c r="E824" t="s">
        <v>2919</v>
      </c>
      <c r="F824" t="s">
        <v>3178</v>
      </c>
      <c r="G824" t="s">
        <v>3179</v>
      </c>
    </row>
    <row r="825" spans="1:7" x14ac:dyDescent="0.3">
      <c r="A825" s="302">
        <v>46201.983981481484</v>
      </c>
      <c r="B825" t="s">
        <v>2669</v>
      </c>
      <c r="C825" t="s">
        <v>2671</v>
      </c>
      <c r="D825" t="s">
        <v>2715</v>
      </c>
      <c r="E825" t="s">
        <v>2919</v>
      </c>
      <c r="F825" t="s">
        <v>3180</v>
      </c>
      <c r="G825" t="s">
        <v>3181</v>
      </c>
    </row>
    <row r="826" spans="1:7" x14ac:dyDescent="0.3">
      <c r="A826" s="302">
        <v>46201.983981481484</v>
      </c>
      <c r="B826" t="s">
        <v>2669</v>
      </c>
      <c r="C826" t="s">
        <v>2671</v>
      </c>
      <c r="D826" t="s">
        <v>2715</v>
      </c>
      <c r="E826" t="s">
        <v>2919</v>
      </c>
      <c r="F826" t="s">
        <v>3182</v>
      </c>
      <c r="G826" t="s">
        <v>3183</v>
      </c>
    </row>
    <row r="827" spans="1:7" x14ac:dyDescent="0.3">
      <c r="A827" s="302">
        <v>46201.983981481484</v>
      </c>
      <c r="B827" t="s">
        <v>2669</v>
      </c>
      <c r="C827" t="s">
        <v>2671</v>
      </c>
      <c r="D827" t="s">
        <v>2960</v>
      </c>
      <c r="E827" t="s">
        <v>2961</v>
      </c>
      <c r="F827">
        <v>16300986</v>
      </c>
    </row>
    <row r="828" spans="1:7" x14ac:dyDescent="0.3">
      <c r="A828" s="302">
        <v>46202.545092592591</v>
      </c>
      <c r="B828" t="s">
        <v>2669</v>
      </c>
      <c r="C828" t="s">
        <v>2671</v>
      </c>
      <c r="D828" t="s">
        <v>2708</v>
      </c>
      <c r="E828" t="s">
        <v>2709</v>
      </c>
      <c r="F828" t="s">
        <v>2669</v>
      </c>
      <c r="G828" t="s">
        <v>2710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FDD84F-27B1-457E-B0CC-E7A1303CAF5A}">
  <sheetPr codeName="Sheet17"/>
  <dimension ref="A1:U7"/>
  <sheetViews>
    <sheetView showGridLines="0" showRowColHeaders="0" workbookViewId="0"/>
  </sheetViews>
  <sheetFormatPr defaultRowHeight="14.4" x14ac:dyDescent="0.3"/>
  <sheetData>
    <row r="1" spans="1:21" x14ac:dyDescent="0.3">
      <c r="A1" t="s">
        <v>4</v>
      </c>
      <c r="B1" t="s">
        <v>5</v>
      </c>
      <c r="C1" t="s">
        <v>14</v>
      </c>
      <c r="D1" t="s">
        <v>8</v>
      </c>
      <c r="E1" t="s">
        <v>9</v>
      </c>
      <c r="F1" t="s">
        <v>19</v>
      </c>
      <c r="G1" t="s">
        <v>10</v>
      </c>
      <c r="H1" t="s">
        <v>11</v>
      </c>
      <c r="I1" t="s">
        <v>12</v>
      </c>
      <c r="J1" t="s">
        <v>18</v>
      </c>
      <c r="K1" t="s">
        <v>15</v>
      </c>
      <c r="L1" t="s">
        <v>16</v>
      </c>
      <c r="M1" t="s">
        <v>17</v>
      </c>
      <c r="N1" t="s">
        <v>20</v>
      </c>
      <c r="O1" t="s">
        <v>22</v>
      </c>
      <c r="P1" t="s">
        <v>24</v>
      </c>
      <c r="Q1" t="s">
        <v>25</v>
      </c>
      <c r="R1" t="s">
        <v>26</v>
      </c>
      <c r="S1" t="s">
        <v>27</v>
      </c>
      <c r="T1" t="s">
        <v>28</v>
      </c>
      <c r="U1" t="s">
        <v>29</v>
      </c>
    </row>
    <row r="2" spans="1:21" x14ac:dyDescent="0.3">
      <c r="A2" t="s">
        <v>61</v>
      </c>
      <c r="B2">
        <v>17524233</v>
      </c>
      <c r="C2">
        <v>1</v>
      </c>
      <c r="D2" t="s">
        <v>114</v>
      </c>
      <c r="E2" t="s">
        <v>128</v>
      </c>
      <c r="F2" s="303" t="s">
        <v>216</v>
      </c>
      <c r="G2" s="303">
        <v>46225</v>
      </c>
      <c r="H2" s="303">
        <v>46239</v>
      </c>
      <c r="I2">
        <v>14</v>
      </c>
      <c r="J2" t="s">
        <v>53</v>
      </c>
      <c r="K2">
        <v>3</v>
      </c>
      <c r="O2" s="304"/>
      <c r="P2" s="304">
        <v>2244</v>
      </c>
      <c r="Q2" s="304">
        <v>2328</v>
      </c>
      <c r="R2">
        <v>84</v>
      </c>
      <c r="U2">
        <v>0</v>
      </c>
    </row>
    <row r="3" spans="1:21" x14ac:dyDescent="0.3">
      <c r="F3" s="303"/>
      <c r="G3" s="303"/>
    </row>
    <row r="4" spans="1:21" x14ac:dyDescent="0.3">
      <c r="F4" s="303"/>
      <c r="G4" s="303"/>
    </row>
    <row r="5" spans="1:21" x14ac:dyDescent="0.3">
      <c r="F5" s="303"/>
      <c r="G5" s="303"/>
    </row>
    <row r="6" spans="1:21" x14ac:dyDescent="0.3">
      <c r="F6" s="303"/>
      <c r="G6" s="303"/>
    </row>
    <row r="7" spans="1:21" x14ac:dyDescent="0.3">
      <c r="F7" s="303"/>
      <c r="G7" s="303"/>
    </row>
  </sheetData>
  <pageMargins left="0.7" right="0.7" top="0.75" bottom="0.75" header="0.3" footer="0.3"/>
</worksheet>
</file>

<file path=customUI/_rels/customUI14.xml.rels><?xml version="1.0" encoding="UTF-8" standalone="yes"?>
<Relationships xmlns="http://schemas.openxmlformats.org/package/2006/relationships"><Relationship Id="imgDashboard" Type="http://schemas.openxmlformats.org/officeDocument/2006/relationships/image" Target="images/dashboard.png"/><Relationship Id="imgMaterialization" Type="http://schemas.openxmlformats.org/officeDocument/2006/relationships/image" Target="images/materialization.png"/><Relationship Id="imgPaymentOptions" Type="http://schemas.openxmlformats.org/officeDocument/2006/relationships/image" Target="images/payment-options.png"/><Relationship Id="imgEBDLists" Type="http://schemas.openxmlformats.org/officeDocument/2006/relationships/image" Target="images/ebd-lists.png"/><Relationship Id="imgSPOCheck" Type="http://schemas.openxmlformats.org/officeDocument/2006/relationships/image" Target="images/spo-check.png"/><Relationship Id="imgBooking" Type="http://schemas.openxmlformats.org/officeDocument/2006/relationships/image" Target="images/booking.png"/><Relationship Id="imgSystemParameters" Type="http://schemas.openxmlformats.org/officeDocument/2006/relationships/image" Target="images/system-parameters.png"/><Relationship Id="imgBookingFinance" Type="http://schemas.openxmlformats.org/officeDocument/2006/relationships/image" Target="images/booking-finance.png"/><Relationship Id="imgManageUsers" Type="http://schemas.openxmlformats.org/officeDocument/2006/relationships/image" Target="images/manage-users.png"/><Relationship Id="imgInvoices" Type="http://schemas.openxmlformats.org/officeDocument/2006/relationships/image" Target="images/invoices.png"/><Relationship Id="imgBKGBank" Type="http://schemas.openxmlformats.org/officeDocument/2006/relationships/image" Target="images/bkg-bank.png"/><Relationship Id="imgAuditLog" Type="http://schemas.openxmlformats.org/officeDocument/2006/relationships/image" Target="images/audit-log.png"/><Relationship Id="imgSave" Type="http://schemas.openxmlformats.org/officeDocument/2006/relationships/image" Target="images/save.png"/><Relationship Id="imgHotelArrivals" Type="http://schemas.openxmlformats.org/officeDocument/2006/relationships/image" Target="images/hotel-arrivals.png"/></Relationships>
</file>

<file path=customUI/customUI14.xml><?xml version="1.0" encoding="utf-8"?>
<customUI xmlns="http://schemas.microsoft.com/office/2009/07/customui" onLoad="rxOnLoad">
  <ribbon startFromScratch="true">
    <tabs>
      <tab id="tabFulvago" label="iTour Reservation Lite">
        <group id="grpHome" label="Home">
          <button id="btnDashboard" label="Dashboard" size="large" image="imgDashboard" onAction="rxDashboard" getEnabled="rxEnabled"/>
          <toggleButton id="btnDarkMode" label="Dark Mode" size="large" imageMso="ColorBrightnessGallery" onAction="rxDarkMode" getPressed="rxDarkPressed"/>
        </group>
        <group id="grpOps" label="Operations">
          <button id="btnBooking" label="Booking" size="large" image="imgBooking" onAction="rxBooking" getEnabled="rxEnabled"/>
          <button id="btnBookingFinance" label="Booking Finance" size="large" image="imgBookingFinance" onAction="rxBookingFinance" getEnabled="rxEnabled"/>
          <button id="btnHotelArrivals" label="Hotel Arrivals" size="large" image="imgHotelArrivals" onAction="rxHotelArrivals" getEnabled="rxEnabled"/>
          <button id="btnMaterialization" label="Materialization" size="large" image="imgMaterialization" onAction="rxMaterialization" getEnabled="rxEnabled"/>
          <button id="btnSPOCheck" label="SPO Check" size="large" image="imgSPOCheck" onAction="rxSPOCheck" getEnabled="rxEnabled"/>
        </group>
        <group id="grpFinance" label="Finance">
          <button id="btnPaymentOptions" label="Payment Options" size="large" image="imgPaymentOptions" onAction="rxPaymentOptions" getEnabled="rxEnabled"/>
          <button id="btnInvoices" label="Invoices" size="large" image="imgInvoices" onAction="rxInvoices" getEnabled="rxEnabled"/>
          <button id="btnEBDLists" label="EBD Lists" size="large" image="imgEBDLists" onAction="rxEBDLists" getEnabled="rxEnabled"/>
          <button id="btnBKGBank" label="BKG Bank" size="large" image="imgBKGBank" onAction="rxBKGBank" getEnabled="rxEnabled"/>
        </group>
        <group id="grpSystem" label="System">
          <button id="btnSystemParameters" label="System Parameters" size="large" image="imgSystemParameters" onAction="rxSystemParameters" getEnabled="rxEnabled"/>
          <button id="btnManageUsers" label="Manage Users" size="large" image="imgManageUsers" onAction="rxManageUsers" getEnabled="rxEnabled"/>
          <button id="btnAuditLog" label="Audit Log" size="large" image="imgAuditLog" onAction="rxAuditLog" getEnabled="rxEnabled"/>
          <button id="btnSave" label="Save" size="large" image="imgSave" onAction="rxSave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AD2FBDA-39F7-443B-9AC2-E4E09511B8A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21</vt:i4>
      </vt:variant>
    </vt:vector>
  </HeadingPairs>
  <TitlesOfParts>
    <vt:vector size="22" baseType="lpstr">
      <vt:lpstr>Splash</vt:lpstr>
      <vt:lpstr>Curr</vt:lpstr>
      <vt:lpstr>Market</vt:lpstr>
      <vt:lpstr>MB</vt:lpstr>
      <vt:lpstr>Payment</vt:lpstr>
      <vt:lpstr>Arrival_Transfers!Print_Area</vt:lpstr>
      <vt:lpstr>ArrivalReport!Print_Area</vt:lpstr>
      <vt:lpstr>BookingFinanceReport!Print_Area</vt:lpstr>
      <vt:lpstr>'Departure_Transfers '!Print_Area</vt:lpstr>
      <vt:lpstr>EBDListReport!Print_Area</vt:lpstr>
      <vt:lpstr>Mat!Print_Area</vt:lpstr>
      <vt:lpstr>PaymentOptionReport!Print_Area</vt:lpstr>
      <vt:lpstr>ArrivalReport!Print_Titles</vt:lpstr>
      <vt:lpstr>BookingFinanceReport!Print_Titles</vt:lpstr>
      <vt:lpstr>EBDListReport!Print_Titles</vt:lpstr>
      <vt:lpstr>PaymentOptionReport!Print_Titles</vt:lpstr>
      <vt:lpstr>Resort</vt:lpstr>
      <vt:lpstr>Room</vt:lpstr>
      <vt:lpstr>SPO</vt:lpstr>
      <vt:lpstr>Status</vt:lpstr>
      <vt:lpstr>T_O</vt:lpstr>
      <vt:lpstr>xei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Mohamed Gouda</dc:creator>
  <cp:keywords/>
  <dc:description/>
  <cp:lastModifiedBy>Mohamed Gouda</cp:lastModifiedBy>
  <cp:revision/>
  <cp:lastPrinted>2026-06-26T15:50:29Z</cp:lastPrinted>
  <dcterms:created xsi:type="dcterms:W3CDTF">2014-05-05T10:49:43Z</dcterms:created>
  <dcterms:modified xsi:type="dcterms:W3CDTF">2026-06-29T10:19:58Z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2025-11-01T16:33:41Z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e42f1e60-58fa-4e34-b31e-00430b3b3dac</vt:lpwstr>
  </property>
  <property fmtid="{D5CDD505-2E9C-101B-9397-08002B2CF9AE}" pid="7" name="MSIP_Label_defa4170-0d19-0005-0004-bc88714345d2_ActionId">
    <vt:lpwstr>2b06e2ed-4b91-4799-8849-ca993a7163c5</vt:lpwstr>
  </property>
  <property fmtid="{D5CDD505-2E9C-101B-9397-08002B2CF9AE}" pid="8" name="MSIP_Label_defa4170-0d19-0005-0004-bc88714345d2_ContentBits">
    <vt:lpwstr>0</vt:lpwstr>
  </property>
  <property fmtid="{D5CDD505-2E9C-101B-9397-08002B2CF9AE}" pid="9" name="MSIP_Label_defa4170-0d19-0005-0004-bc88714345d2_Tag">
    <vt:lpwstr>10, 3, 0, 1</vt:lpwstr>
  </property>
</Properties>
</file>